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tables/table1.xml" ContentType="application/vnd.openxmlformats-officedocument.spreadsheetml.table+xml"/>
  <Override PartName="/xl/slicers/slicer1.xml" ContentType="application/vnd.ms-excel.slicer+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8.xml" ContentType="application/vnd.openxmlformats-officedocument.spreadsheetml.table+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9.xml" ContentType="application/vnd.openxmlformats-officedocument.spreadsheetml.table+xml"/>
  <Override PartName="/xl/drawings/drawing5.xml" ContentType="application/vnd.openxmlformats-officedocument.drawing+xml"/>
  <Override PartName="/xl/activeX/activeX38.xml" ContentType="application/vnd.ms-office.activeX+xml"/>
  <Override PartName="/xl/activeX/activeX38.bin" ContentType="application/vnd.ms-office.activeX"/>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drawings/drawing6.xml" ContentType="application/vnd.openxmlformats-officedocument.drawing+xml"/>
  <Override PartName="/xl/activeX/activeX39.xml" ContentType="application/vnd.ms-office.activeX+xml"/>
  <Override PartName="/xl/activeX/activeX39.bin" ContentType="application/vnd.ms-office.activeX"/>
  <Override PartName="/xl/drawings/drawing7.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drawings/drawing8.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queryTables/queryTable1.xml" ContentType="application/vnd.openxmlformats-officedocument.spreadsheetml.queryTable+xml"/>
  <Override PartName="/xl/tables/table28.xml" ContentType="application/vnd.openxmlformats-officedocument.spreadsheetml.table+xml"/>
  <Override PartName="/xl/queryTables/queryTable2.xml" ContentType="application/vnd.openxmlformats-officedocument.spreadsheetml.queryTable+xml"/>
  <Override PartName="/xl/tables/table29.xml" ContentType="application/vnd.openxmlformats-officedocument.spreadsheetml.table+xml"/>
  <Override PartName="/xl/queryTables/queryTable3.xml" ContentType="application/vnd.openxmlformats-officedocument.spreadsheetml.queryTable+xml"/>
  <Override PartName="/xl/tables/table30.xml" ContentType="application/vnd.openxmlformats-officedocument.spreadsheetml.table+xml"/>
  <Override PartName="/xl/tables/table31.xml" ContentType="application/vnd.openxmlformats-officedocument.spreadsheetml.table+xml"/>
  <Override PartName="/xl/queryTables/queryTable4.xml" ContentType="application/vnd.openxmlformats-officedocument.spreadsheetml.queryTable+xml"/>
  <Override PartName="/xl/tables/table32.xml" ContentType="application/vnd.openxmlformats-officedocument.spreadsheetml.table+xml"/>
  <Override PartName="/xl/queryTables/queryTable5.xml" ContentType="application/vnd.openxmlformats-officedocument.spreadsheetml.queryTable+xml"/>
  <Override PartName="/xl/tables/table33.xml" ContentType="application/vnd.openxmlformats-officedocument.spreadsheetml.table+xml"/>
  <Override PartName="/xl/queryTables/queryTable6.xml" ContentType="application/vnd.openxmlformats-officedocument.spreadsheetml.queryTable+xml"/>
  <Override PartName="/xl/tables/table34.xml" ContentType="application/vnd.openxmlformats-officedocument.spreadsheetml.table+xml"/>
  <Override PartName="/xl/queryTables/queryTable7.xml" ContentType="application/vnd.openxmlformats-officedocument.spreadsheetml.queryTable+xml"/>
  <Override PartName="/xl/tables/table35.xml" ContentType="application/vnd.openxmlformats-officedocument.spreadsheetml.table+xml"/>
  <Override PartName="/xl/queryTables/queryTable8.xml" ContentType="application/vnd.openxmlformats-officedocument.spreadsheetml.queryTable+xml"/>
  <Override PartName="/xl/tables/table36.xml" ContentType="application/vnd.openxmlformats-officedocument.spreadsheetml.table+xml"/>
  <Override PartName="/xl/queryTables/queryTable9.xml" ContentType="application/vnd.openxmlformats-officedocument.spreadsheetml.queryTable+xml"/>
  <Override PartName="/xl/tables/table37.xml" ContentType="application/vnd.openxmlformats-officedocument.spreadsheetml.table+xml"/>
  <Override PartName="/xl/queryTables/queryTable10.xml" ContentType="application/vnd.openxmlformats-officedocument.spreadsheetml.queryTable+xml"/>
  <Override PartName="/xl/tables/table38.xml" ContentType="application/vnd.openxmlformats-officedocument.spreadsheetml.table+xml"/>
  <Override PartName="/xl/queryTables/queryTable11.xml" ContentType="application/vnd.openxmlformats-officedocument.spreadsheetml.query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queryTables/queryTable12.xml" ContentType="application/vnd.openxmlformats-officedocument.spreadsheetml.query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comments3.xml" ContentType="application/vnd.openxmlformats-officedocument.spreadsheetml.comments+xml"/>
  <Override PartName="/xl/tables/table46.xml" ContentType="application/vnd.openxmlformats-officedocument.spreadsheetml.table+xml"/>
  <Override PartName="/xl/tables/table47.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9.xml" ContentType="application/vnd.openxmlformats-officedocument.drawing+xml"/>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theme/themeOverride1.xml" ContentType="application/vnd.openxmlformats-officedocument.themeOverrid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queryTables/queryTable13.xml" ContentType="application/vnd.openxmlformats-officedocument.spreadsheetml.query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queryTables/queryTable14.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D:\Documents RAMCAS\RAM CAS\MEJORA CONTINUA\CONTROL DE BUFFERS\BASE\"/>
    </mc:Choice>
  </mc:AlternateContent>
  <bookViews>
    <workbookView xWindow="5985" yWindow="0" windowWidth="5820" windowHeight="2925"/>
  </bookViews>
  <sheets>
    <sheet name="Bodega" sheetId="2" r:id="rId1"/>
    <sheet name="Form" sheetId="45" state="veryHidden" r:id="rId2"/>
    <sheet name="Inventario_con_descripciones" sheetId="74" state="veryHidden" r:id="rId3"/>
    <sheet name="TRANSITODETALLADO" sheetId="72" state="veryHidden" r:id="rId4"/>
    <sheet name="REPORTETRANSITO" sheetId="73" state="veryHidden" r:id="rId5"/>
    <sheet name="Mal_Atendidos_Frecuencia" sheetId="70" state="veryHidden" r:id="rId6"/>
    <sheet name="Mal_Atendidos_Suministro" sheetId="71" state="veryHidden" r:id="rId7"/>
    <sheet name="Transferencias_Transito" sheetId="69" state="veryHidden" r:id="rId8"/>
    <sheet name="Duplicados" sheetId="68" state="veryHidden" r:id="rId9"/>
    <sheet name="Redondeo_Pedido_Minimo" sheetId="67" state="veryHidden" r:id="rId10"/>
    <sheet name="Directorios" sheetId="63" state="veryHidden" r:id="rId11"/>
    <sheet name="AYUDA" sheetId="62" state="veryHidden" r:id="rId12"/>
    <sheet name="NoBorrar" sheetId="6" state="veryHidden" r:id="rId13"/>
    <sheet name="Empresa" sheetId="16" state="veryHidden" r:id="rId14"/>
    <sheet name="Parametros" sheetId="27" state="veryHidden" r:id="rId15"/>
    <sheet name="EMPRESAACTIVA" sheetId="58" state="veryHidden" r:id="rId16"/>
    <sheet name="ARCHIVOSCB" sheetId="29" state="veryHidden" r:id="rId17"/>
    <sheet name="ARCHIVOSBODEGAS" sheetId="38" state="veryHidden" r:id="rId18"/>
    <sheet name="PROVEEDORES" sheetId="37" state="veryHidden" r:id="rId19"/>
    <sheet name="PERFILES" sheetId="52" state="veryHidden" r:id="rId20"/>
    <sheet name="BodegasPermitidas" sheetId="44" state="veryHidden" r:id="rId21"/>
    <sheet name="ProveedoresPermitidos" sheetId="49" state="veryHidden" r:id="rId22"/>
    <sheet name="PerfilesPermitidos" sheetId="51" state="veryHidden" r:id="rId23"/>
    <sheet name="DatosCodigo" sheetId="24" state="veryHidden" r:id="rId24"/>
    <sheet name="InvFisico" sheetId="48" state="veryHidden" r:id="rId25"/>
    <sheet name="Transferencias" sheetId="14" state="veryHidden" r:id="rId26"/>
    <sheet name="Comprometido" sheetId="13" state="veryHidden" r:id="rId27"/>
    <sheet name="Backorders" sheetId="17" state="veryHidden" r:id="rId28"/>
    <sheet name="ROI" sheetId="28" state="veryHidden" r:id="rId29"/>
    <sheet name="VEL_EFECTIVO" sheetId="30" state="veryHidden" r:id="rId30"/>
    <sheet name="UltCambioBuffer" sheetId="32" state="veryHidden" r:id="rId31"/>
    <sheet name="NivSer" sheetId="18" state="veryHidden" r:id="rId32"/>
    <sheet name="Causas" sheetId="35" state="veryHidden" r:id="rId33"/>
    <sheet name="Consumo" sheetId="55" state="veryHidden" r:id="rId34"/>
    <sheet name="Horizonte" sheetId="36" state="veryHidden" r:id="rId35"/>
    <sheet name="EstacionalidadDatos" sheetId="54" state="veryHidden" r:id="rId36"/>
    <sheet name="EstacionalidadCalc" sheetId="34" state="veryHidden" r:id="rId37"/>
    <sheet name="Buffer_Fecha" sheetId="25" state="veryHidden" r:id="rId38"/>
    <sheet name="DiccionarioAgrota" sheetId="22" state="veryHidden" r:id="rId39"/>
    <sheet name="GráficoDin" sheetId="20" state="veryHidden" r:id="rId40"/>
    <sheet name="BuffHist" sheetId="19" state="veryHidden" r:id="rId41"/>
    <sheet name="ConsHist" sheetId="66" state="veryHidden" r:id="rId42"/>
    <sheet name="InvFisicoPrueba" sheetId="43" state="veryHidden" r:id="rId43"/>
    <sheet name="Clue" sheetId="46" state="veryHidden" r:id="rId44"/>
    <sheet name="CriteriosFiltros" sheetId="50" state="veryHidden" r:id="rId45"/>
    <sheet name="UltFechaBuffer" sheetId="21" state="veryHidden" r:id="rId46"/>
    <sheet name="MatrizEstPerf" sheetId="53" state="veryHidden" r:id="rId47"/>
    <sheet name="RecupBuffHist" sheetId="56" state="veryHidden" r:id="rId48"/>
    <sheet name="Inventario" sheetId="57" state="veryHidden" r:id="rId49"/>
    <sheet name="ROIManual" sheetId="59" state="veryHidden" r:id="rId50"/>
    <sheet name="Rentabilidad" sheetId="60" state="veryHidden" r:id="rId51"/>
    <sheet name="USER" sheetId="61" state="veryHidden" r:id="rId52"/>
  </sheets>
  <functionGroups builtInGroupCount="18"/>
  <externalReferences>
    <externalReference r:id="rId53"/>
  </externalReferences>
  <definedNames>
    <definedName name="_cboCampos_Range" localSheetId="0" hidden="1">{18,233.25,FALSE,3,86.25,123}</definedName>
    <definedName name="_cboSeleccion_Range" localSheetId="0" hidden="1">{19.5,330.75,TRUE,3,51,450}</definedName>
    <definedName name="_cmdAccionesEstacionalidad_Range" localSheetId="0" hidden="1">{18.75,215.25,TRUE,3,51,19.5}</definedName>
    <definedName name="_cmdAlertas_Range" localSheetId="0" hidden="1">{18.75,181.5,TRUE,3,87,24.75}</definedName>
    <definedName name="_cmdAnadeRegistro_Range" localSheetId="0" hidden="1">{18.75,62.25,TRUE,3,69.75,15}</definedName>
    <definedName name="_cmdAscendente_Range" localSheetId="0" hidden="1">{18.75,36.75,TRUE,3,87,13.5}</definedName>
    <definedName name="_cmdAyuda_Range" localSheetId="0" hidden="1">{18.75,336.75,TRUE,3,51,19.5}</definedName>
    <definedName name="_cmdBorraRegistro_Range" localSheetId="0" hidden="1">{18.75,75.75,TRUE,3,69.75,15}</definedName>
    <definedName name="_cmdBufferHoy_Range" localSheetId="0" hidden="1">{18.75,105.75,TRUE,3,69.75,22.5}</definedName>
    <definedName name="_cmdBuscaCodigo_Range" localSheetId="0" hidden="1">{19.5,433.5,TRUE,3,70.5,56.25}</definedName>
    <definedName name="_cmdBuscarTexto_Range" localSheetId="0" hidden="1">{15,342,TRUE,3,71.25,15}</definedName>
    <definedName name="_cmdCambiaBuffer_Range" localSheetId="0" hidden="1">{18.75,234,TRUE,3,51,17.25}</definedName>
    <definedName name="_cmdCeldasBlanco_Range" localSheetId="0" hidden="1">{18.75,145.5,TRUE,3,87,18.75}</definedName>
    <definedName name="_cmdCeldasVisibles_Range" localSheetId="0" hidden="1">{18.75,126.75,TRUE,3,87,18.75}</definedName>
    <definedName name="_cmdConsumo_Range" localSheetId="0" hidden="1">{18.75,282.75,TRUE,3,51,20.25}</definedName>
    <definedName name="_cmdControl_Range" localSheetId="0" hidden="1">{18.75,133.5,TRUE,3,51,23.25}</definedName>
    <definedName name="_cmdDesc_Range" localSheetId="0" hidden="1">{19.5,336.75,TRUE,3,52.5,26.25}</definedName>
    <definedName name="_cmdDescendente_Range" localSheetId="0" hidden="1">{18.75,49.5,TRUE,3,87,13.5}</definedName>
    <definedName name="_cmdDesprotege_Range" localSheetId="0" hidden="1">{18.75,75.75,TRUE,3,69.75,15}</definedName>
    <definedName name="_cmdDuplicados_Range" localSheetId="0" hidden="1">{18.75,102,TRUE,3,87,18.75}</definedName>
    <definedName name="_cmdEliminaColumnaHorizonte_Range" localSheetId="0" hidden="1">{18.75,90.75,TRUE,3,69.75,15}</definedName>
    <definedName name="_cmdFiltraCodigo_Range" localSheetId="0" hidden="1">{19.5,488.25,TRUE,3,70.5,51}</definedName>
    <definedName name="_cmdFiltraConsolidado_Range" localSheetId="0" hidden="1">{19.5,534,TRUE,3,70.5,73.5}</definedName>
    <definedName name="_cmdFiltraErrores_Range" localSheetId="0" hidden="1">{18.75,215.25,TRUE,3,69.75,18}</definedName>
    <definedName name="_cmdFiltraItems_Range" localSheetId="0" hidden="1">{19.5,342,TRUE,3,52.5,26.25}</definedName>
    <definedName name="_cmdFiltrar_Range" localSheetId="0" hidden="1">{19.5,2.25,TRUE,3,66,22.5}</definedName>
    <definedName name="_cmdGraficoDinamico_Range" localSheetId="0" hidden="1">{18.75,267.75,TRUE,3,51,18}</definedName>
    <definedName name="_cmdHOY_Range" localSheetId="0" hidden="1">{18.75,149.25,TRUE,3,69.75,22.5}</definedName>
    <definedName name="_cmdIrFinHorizonte_Range" localSheetId="0" hidden="1">{18.75,190.5,TRUE,3,69.75,23.25}</definedName>
    <definedName name="_cmdIrInicioHorizonte_Range" localSheetId="0" hidden="1">{18.75,170.25,TRUE,3,69.75,22.5}</definedName>
    <definedName name="_cmdIrPrimerCampo_Range" localSheetId="0" hidden="1">{18.75,128.25,TRUE,3,69.75,22.5}</definedName>
    <definedName name="_cmdMalAtendidos_Range" localSheetId="0" hidden="1">{18.75,181.5,TRUE,3,87,20.25}</definedName>
    <definedName name="_cmdOcultaColumna_Range" localSheetId="0" hidden="1">{18.75,41.25,TRUE,3,69.75,20.25}</definedName>
    <definedName name="_cmdOrdenaColores_Range" localSheetId="0" hidden="1">{18.75,81.75,TRUE,3,87,20.25}</definedName>
    <definedName name="_cmdOrdenamientoMultiple_Range" localSheetId="0" hidden="1">{18.75,63,TRUE,3,87,20.25}</definedName>
    <definedName name="_cmdPosponer_Range" localSheetId="0" hidden="1">{18.75,249,TRUE,3,51,18}</definedName>
    <definedName name="_cmdQuitaFiltros_Range" localSheetId="0" hidden="1">{18.75,18,TRUE,3,87,18.75}</definedName>
    <definedName name="_cmdRefrescaFormulas_Range" localSheetId="0" hidden="1">{18.75,177.75,TRUE,3,51,20.25}</definedName>
    <definedName name="_cmdRefrescarDatos_Range" localSheetId="39" hidden="1">{15.75,842.25,TRUE,2,0.75,57}</definedName>
    <definedName name="_cmdRefrescaTodo_Range" localSheetId="0" hidden="1">{18.75,156.75,TRUE,3,51,20.25}</definedName>
    <definedName name="_cmdTransitoDetallado_Range" localSheetId="0" hidden="1">{18.75,196.5,TRUE,3,51,20.25}</definedName>
    <definedName name="_cmdVistas_Range" localSheetId="0" hidden="1">{18.75,18,TRUE,3,69.75,23.25}</definedName>
    <definedName name="_cmdVolver_Range" localSheetId="11" hidden="1">{22.5,1.5,TRUE,2,0.75,35.25}</definedName>
    <definedName name="_cmdVolver_Range" localSheetId="8" hidden="1">{15,905.25,TRUE,2,0.75,62.25}</definedName>
    <definedName name="_cmdVolver_Range" localSheetId="39" hidden="1">{15,782.25,TRUE,2,0,62.25}</definedName>
    <definedName name="_xlnm._FilterDatabase" localSheetId="0" hidden="1">Bodega!$A$2:$DI$61</definedName>
    <definedName name="_xlnm._FilterDatabase" localSheetId="40" hidden="1">BuffHist!$B$1:$E$46</definedName>
    <definedName name="_tgl_Tipo_Grafico_Range" localSheetId="0" hidden="1">{11.25,193.5,TRUE,2,1.5,30}</definedName>
    <definedName name="_txtBusqueda_Range" localSheetId="0" hidden="1">{18,233.25,TRUE,3,69.75,123}</definedName>
    <definedName name="_txtDiasGrafico_Range" localSheetId="0" hidden="1">{18.75,288,TRUE,3,51,35.25}</definedName>
    <definedName name="_xlnm.Extract" localSheetId="40">BuffHist!$K$2:$M$2</definedName>
    <definedName name="BODEG" comment="Extrae el nombre de la Bodega en la que se encuentra el archivo actual.">NoBorrar!$A$16</definedName>
    <definedName name="BODEGA" comment="Es el nombre compuesto de la Empresa y la bodega actual.">NoBorrar!$O$1</definedName>
    <definedName name="Bodega_Seleccionada">GráficoDin!$AP$3</definedName>
    <definedName name="BodegasPermitidas" comment="Rango que sirve para que el Combobox de BODEGA se alimente." localSheetId="35">Tabla_Bodegas_Permitidas[BODEGA]</definedName>
    <definedName name="BodegasPermitidas" comment="Rango que sirve para que el Combobox de BODEGA se alimente." localSheetId="6">Tabla_Bodegas_Permitidas[BODEGA]</definedName>
    <definedName name="BodegasPermitidas" comment="Rango que sirve para que el Combobox de BODEGA se alimente.">Tabla_Bodegas_Permitidas[BODEGA]</definedName>
    <definedName name="Buffer_Calculado_Usuario">GráficoDin!$J$36</definedName>
    <definedName name="CAMPO_CODIGO" comment="Se utiliza para prevenir los duplicados al poner la validación en ese campo. " localSheetId="35">CONTROL[CODIGO]</definedName>
    <definedName name="Campos" localSheetId="6">OFFSET(Bodega!$A$2,0,0,1,COLUMN(Mal_Atendidos_Suministro!PRIMER_CAMPO)-COLUMN(Bodega!$A$2))</definedName>
    <definedName name="Campos">OFFSET(Bodega!$A$2,0,0,1,COLUMN(PRIMER_CAMPO)-COLUMN(Bodega!$A$2))</definedName>
    <definedName name="COD_EMPRESA">NoBorrar!$A$19</definedName>
    <definedName name="Codigo_Seleccionado">GráficoDin!$AP$4</definedName>
    <definedName name="COLUMNAPRIMERCAMPO" comment="El número de columna en el que se encuentra el primer campo del horizonte donde se guardan los saldos de inventario.">NoBorrar!$A$50</definedName>
    <definedName name="ConAccionEstacional">GráficoDin!$O$19</definedName>
    <definedName name="ConBackorder">GráficoDin!$L$28</definedName>
    <definedName name="ConBodega">GráficoDin!$K$3</definedName>
    <definedName name="ConBufferActual">GráficoDin!$L$10</definedName>
    <definedName name="ConBufferAntesEstacion">GráficoDin!$O$22</definedName>
    <definedName name="ConBufferCalcCB">GráficoDin!$O$13</definedName>
    <definedName name="ConBufferCalcUsuario">GráficoDin!$P$13</definedName>
    <definedName name="ConBufferEstacional">GráficoDin!$O$21</definedName>
    <definedName name="ConBufferMax">GráficoDin!$L$16</definedName>
    <definedName name="ConBufferMin">GráficoDin!$L$15</definedName>
    <definedName name="ConCalendarioEstacional">GráficoDin!$O$18</definedName>
    <definedName name="ConCoberturaBuffer">GráficoDin!$O$25</definedName>
    <definedName name="ConCoberturaInvProy">GráficoDin!$O$26</definedName>
    <definedName name="ConCoberturaPedidMin">GráficoDin!$O$27</definedName>
    <definedName name="ConCodigo">GráficoDin!$L$3</definedName>
    <definedName name="ConColorFisico">GráficoDin!$AP$1</definedName>
    <definedName name="ConColorProyectado">GráficoDin!$AP$2</definedName>
    <definedName name="ConComportamiento">GráficoDin!$O$11</definedName>
    <definedName name="ConComprometido">GráficoDin!$L$27</definedName>
    <definedName name="ConConsumoAnualProyectado">GráficoDin!$O$33</definedName>
    <definedName name="ConConsumoAnualProyectadoUsuario">GráficoDin!$P$33</definedName>
    <definedName name="ConConsumoCalculado">GráficoDin!$G$34</definedName>
    <definedName name="ConConsumoPromedio">GráficoDin!$O$12</definedName>
    <definedName name="ConConsumoSemanalUsuario">GráficoDin!$P$12</definedName>
    <definedName name="ConConsumoUsuario" localSheetId="6">GráficoDin!#REF!</definedName>
    <definedName name="ConConsumoUsuario">GráficoDin!#REF!</definedName>
    <definedName name="ConCTV">GráficoDin!$L$6</definedName>
    <definedName name="ConCTVUsuario">GráficoDin!$M$6</definedName>
    <definedName name="ConDescripcion">GráficoDin!$M$3</definedName>
    <definedName name="ConEmbarcado">GráficoDin!$L$26</definedName>
    <definedName name="ConEstatus">GráficoDin!$L$4</definedName>
    <definedName name="ConEtapaEstacional">GráficoDin!$O$20</definedName>
    <definedName name="ConFactorPico">GráficoDin!$O$31</definedName>
    <definedName name="ConFactorPicoUsuario">GráficoDin!$P$31</definedName>
    <definedName name="ConFisico">GráficoDin!$L$22</definedName>
    <definedName name="ConFRep">GráficoDin!$L$34</definedName>
    <definedName name="ConFrepUsuario">GráficoDin!$M$34</definedName>
    <definedName name="ConGDB">GráficoDin!$O$10</definedName>
    <definedName name="ConHorizonte">GráficoDin!$O$8</definedName>
    <definedName name="ConInventarioProveedor">GráficoDin!$L$30</definedName>
    <definedName name="ConInversion">GráficoDin!$O$35</definedName>
    <definedName name="ConInversionUsuario">GráficoDin!$P$35</definedName>
    <definedName name="ConNegociacion">GráficoDin!$L$24</definedName>
    <definedName name="ConPedidoCalculado">GráficoDin!$L$32</definedName>
    <definedName name="ConPedidoMinimo">GráficoDin!$L$17</definedName>
    <definedName name="ConPedidoMinimoGrupo">GráficoDin!$L$18</definedName>
    <definedName name="ConPedidoPromedio">GráficoDin!$L$31</definedName>
    <definedName name="ConPerfil">GráficoDin!$L$14</definedName>
    <definedName name="ConPicoCalculado">GráficoDin!$G$35</definedName>
    <definedName name="ConPicoCB">GráficoDin!#REF!</definedName>
    <definedName name="ConPicoUsuario" localSheetId="6">GráficoDin!#REF!</definedName>
    <definedName name="ConPicoUsuario">GráficoDin!#REF!</definedName>
    <definedName name="ConProduccion">GráficoDin!$L$25</definedName>
    <definedName name="ConProveedor">GráficoDin!$L$13</definedName>
    <definedName name="ConProyectado">GráficoDin!$L$29</definedName>
    <definedName name="ConPVP">GráficoDin!$L$5</definedName>
    <definedName name="ConPVPUsuario">GráficoDin!$M$5</definedName>
    <definedName name="ConRentabilidad">GráficoDin!$O$29</definedName>
    <definedName name="ConRentabilidadProyectada">GráficoDin!$O$30</definedName>
    <definedName name="ConServicio">GráficoDin!$O$28</definedName>
    <definedName name="Consulta_desde_Agrota_2" localSheetId="23" hidden="1">DatosCodigo!#REF!</definedName>
    <definedName name="Consulta_desde_ARCHIVO" localSheetId="25" hidden="1">Transferencias!$A$1:$C$2</definedName>
    <definedName name="Consulta_desde_ARCHIVO_1" localSheetId="25" hidden="1">Transferencias!$I$1:$K$2</definedName>
    <definedName name="Consulta_desde_Asignacion_Costo_MP_a_CT" localSheetId="28" hidden="1">ROI!#REF!</definedName>
    <definedName name="Consulta_desde_Asignacion_ROI" localSheetId="28" hidden="1">ROI!#REF!</definedName>
    <definedName name="Consulta_desde_Backorders" localSheetId="27" hidden="1">Backorders!$A$1:$C$2</definedName>
    <definedName name="Consulta_desde_Backorders_1" localSheetId="27" hidden="1">Backorders!#REF!</definedName>
    <definedName name="Consulta_desde_Comprometido" localSheetId="26" hidden="1">Comprometido!#REF!</definedName>
    <definedName name="Consulta_desde_Comprometido_1" localSheetId="26" hidden="1">Comprometido!#REF!</definedName>
    <definedName name="Consulta_desde_Costos_Agroinsumos" localSheetId="28" hidden="1">ROI!#REF!</definedName>
    <definedName name="Consulta_desde_DATOS_CODIGO" localSheetId="23" hidden="1">DatosCodigo!$A$1:$BD$2</definedName>
    <definedName name="Consulta_desde_Datos_en_Access" localSheetId="31" hidden="1">NivSer!#REF!</definedName>
    <definedName name="Consulta_desde_Datos_en_Access" localSheetId="30" hidden="1">UltCambioBuffer!#REF!</definedName>
    <definedName name="Consulta_desde_Datos_en_Access_1" localSheetId="30" hidden="1">UltCambioBuffer!$E$1:$F$2</definedName>
    <definedName name="Consulta_desde_DatosConsolidados_2" localSheetId="28" hidden="1">ROI!#REF!</definedName>
    <definedName name="Consulta_desde_DatosConsolidados_3" localSheetId="28" hidden="1">ROI!#REF!</definedName>
    <definedName name="Consulta_desde_historialagrota" localSheetId="32" hidden="1">Causas!#REF!</definedName>
    <definedName name="Consulta_desde_INVENTARIO_FISICO_3" localSheetId="42" hidden="1">InvFisicoPrueba!$A$1:$R$2</definedName>
    <definedName name="Consulta_desde_ODBC_MySQL_en_AGROTA" localSheetId="32" hidden="1">Causas!$A$1:$A$22</definedName>
    <definedName name="Consulta_desde_ODBC_MySQL_en_AGROTA" localSheetId="28" hidden="1">ROI!#REF!</definedName>
    <definedName name="Consulta_desde_ODBC_MySQL_en_AGROTA" localSheetId="29" hidden="1">VEL_EFECTIVO!$E$1:$F$2</definedName>
    <definedName name="Consulta_desde_ODBC_MySQL_en_AGROTA_1" localSheetId="28" hidden="1">ROI!#REF!</definedName>
    <definedName name="Consulta_desde_ODBC_MySQL_en_AGROTA_1" localSheetId="29" hidden="1">VEL_EFECTIVO!$H$1:$I$2</definedName>
    <definedName name="Consulta_desde_ODBC_MySQL_en_AGROTA_2" localSheetId="28" hidden="1">ROI!#REF!</definedName>
    <definedName name="Consulta_desde_ODBC_MySQL_en_AGROTA_3" localSheetId="28" hidden="1">ROI!#REF!</definedName>
    <definedName name="Consulta_desde_ODBC_RAMCAS1" localSheetId="50" hidden="1">Rentabilidad!$A$1:$B$2</definedName>
    <definedName name="Consulta_desde_Reporte_ROI" localSheetId="28" hidden="1">ROI!$D$1:$E$2</definedName>
    <definedName name="Consulta_desde_Reporte_ROI_1" localSheetId="28" hidden="1">ROI!$A$1:$B$2</definedName>
    <definedName name="Consulta_desde_Reporte_ROI_2" localSheetId="28" hidden="1">ROI!$G$1:$H$2</definedName>
    <definedName name="Consulta_desde_Velocidad_CASH" localSheetId="29" hidden="1">VEL_EFECTIVO!$A$1:$C$2</definedName>
    <definedName name="Consulta_desde_yamabico" localSheetId="38" hidden="1">DiccionarioAgrota!#REF!</definedName>
    <definedName name="ConsumoUsuario">GráficoDin!$AL$10</definedName>
    <definedName name="ConTransito">GráficoDin!$L$23</definedName>
    <definedName name="ConTRep">GráficoDin!$L$33</definedName>
    <definedName name="ConTrepUsuario">GráficoDin!$M$33</definedName>
    <definedName name="ConTruputAnualProyectado">GráficoDin!$O$34</definedName>
    <definedName name="ConTruputAnualProyectadoUsuario">GráficoDin!$P$34</definedName>
    <definedName name="ConTruputUnitario">GráficoDin!$O$32</definedName>
    <definedName name="ConTruputUnitarioUsuario">GráficoDin!$P$32</definedName>
    <definedName name="ConUltimaTransferencia">GráficoDin!$L$35</definedName>
    <definedName name="ConUltimoBuffer">GráficoDin!$O$14</definedName>
    <definedName name="ConUltimoCambioBuffer">GráficoDin!$O$15</definedName>
    <definedName name="ConUnidadEmpaque">GráficoDin!$L$19</definedName>
    <definedName name="ConZonaAmarilla">GráficoDin!$L$11</definedName>
    <definedName name="ConZonaRoja">GráficoDin!$L$12</definedName>
    <definedName name="_xlnm.Criteria" localSheetId="40">BuffHist!$H$1:$H$46</definedName>
    <definedName name="DIR">Directorios!$A$1</definedName>
    <definedName name="DIRCOMPLETO" comment="Nombre del path del directorio donde se encuentra el archivo Control de Buffers">NoBorrar!$A$6</definedName>
    <definedName name="DIRECTORIOBASEMC">NoBorrar!$A$3</definedName>
    <definedName name="DIRPATHCOMPLETO" comment="Nombre del path del directorio donde se encuentra el archivo Control de Buffers más el nombre propio del mismo">NoBorrar!$A$5</definedName>
    <definedName name="EMPRES" comment="Se guarda los datos de la empresa a la cual pertenece la hoja">NoBorrar!$A$14</definedName>
    <definedName name="EMPRESABODEGA">NoBorrar!$A$12</definedName>
    <definedName name="EMPRESABODEGA1">NoBorrar!$A$10</definedName>
    <definedName name="EMPRESABODEGA2">NoBorrar!$A$18</definedName>
    <definedName name="ErrBodegaNoCorresponde">Parametros!$F$15</definedName>
    <definedName name="ErrCalendarioEstacional">Parametros!$F$20</definedName>
    <definedName name="ErrFaltaFinal">Parametros!$F$4</definedName>
    <definedName name="ErrFaltaInicio">Parametros!$F$3</definedName>
    <definedName name="ErrFechaNoPresente">Parametros!$F$2</definedName>
    <definedName name="ErrPerfilMalAsignado">Parametros!$F$19</definedName>
    <definedName name="ErrPerfilNoCorresponde">Parametros!$F$17</definedName>
    <definedName name="ErrProveedMalAsignado">Parametros!$F$18</definedName>
    <definedName name="ErrProveedorNoCorresponde">Parametros!$F$16</definedName>
    <definedName name="ErrRaros">Parametros!$C$3</definedName>
    <definedName name="EXISTEFECHA">NoBorrar!$A$25</definedName>
    <definedName name="Factor_Pico_Usuario">GráficoDin!$J$35</definedName>
    <definedName name="Falta_Periodo" comment="Celda donde se calcula si el período tiene suficientes fechas para cubrir el horizonte con el fin más lejano.">Parametros!$C$2</definedName>
    <definedName name="Fecha_Calendario">Parametros!$C$19</definedName>
    <definedName name="Fecha_Datos_Grafico">GráficoDin!$L$1</definedName>
    <definedName name="FechaEnHorizonte">Parametros!$C$18</definedName>
    <definedName name="FECHAINVFISICO" comment="Fecha correspondiente a la columna en la que se va a insertar el inventario físico actual.">NoBorrar!$A$24</definedName>
    <definedName name="FechaSeleccionada">Parametros!$C$22</definedName>
    <definedName name="fila">GráficoDin!$M$1</definedName>
    <definedName name="Fila_Cabecera_Control">NoBorrar!$C$34</definedName>
    <definedName name="FINPERIODO">NoBorrar!$D$24</definedName>
    <definedName name="FORMATOBASE" comment="Es el rango que tiene el formato base de los datos de saldos de inventari0." localSheetId="35">OFFSET(EstacionalidadDatos!PRIMER_CAMPO,1,0,1,COUNTIF(CONTROL[#Headers],"*/*"))</definedName>
    <definedName name="FORMATOBASE" comment="Es el rango que tiene el formato base de los datos de saldos de inventari0." localSheetId="6">OFFSET(Mal_Atendidos_Suministro!PRIMER_CAMPO,1,0,1,COUNTIF(CONTROL[#Headers],"*/*"))</definedName>
    <definedName name="FORMATOBASE" comment="Es el rango que tiene el formato base de los datos de saldos de inventari0.">OFFSET(PRIMER_CAMPO,1,0,1,COUNTIF(CONTROL[#Headers],"*/*"))</definedName>
    <definedName name="FORMATOCOMPLETO" comment="Es el rango al que se va a copiar los formatos de saldos de inventario." localSheetId="35">OFFSET(EstacionalidadDatos!PRIMER_CAMPO,1,0,COUNTA(Bodega!$A:$A)-1,COUNTIF(CONTROL[#Headers],"*/*"))</definedName>
    <definedName name="FORMATOCOMPLETO" comment="Es el rango al que se va a copiar los formatos de saldos de inventario." localSheetId="6">OFFSET(Mal_Atendidos_Suministro!PRIMER_CAMPO,1,0,COUNTA(Bodega!$A:$A)-1,COUNTIF(CONTROL[#Headers],"*/*"))</definedName>
    <definedName name="FORMATOCOMPLETO" comment="Es el rango al que se va a copiar los formatos de saldos de inventario.">OFFSET(PRIMER_CAMPO,1,0,COUNTA(Bodega!$A:$A)-1,COUNTIF(CONTROL[#Headers],"*/*"))</definedName>
    <definedName name="FREC_REP" comment="Define la frecuencia de reposición actualizada de la bodega actual en el archivo actual. Está expresada en semanas.">NoBorrar!$B$33</definedName>
    <definedName name="FRep">GráficoDin!$G$5</definedName>
    <definedName name="GUARDAROK">NoBorrar!$F$23</definedName>
    <definedName name="HORIZONTE" comment="El listado de días que componen el horizonte de planificación de la hoja." localSheetId="35">OFFSET(EstacionalidadDatos!PRIMER_CAMPO,0,0,1,COUNTIF(CONTROL[#Headers],"*/*"))</definedName>
    <definedName name="HORIZONTE" comment="El listado de días que componen el horizonte de planificación de la hoja." localSheetId="6">OFFSET(Mal_Atendidos_Suministro!PRIMER_CAMPO,0,0,1,COUNTIF(CONTROL[#Headers],"*/*"))</definedName>
    <definedName name="HORIZONTE" comment="El listado de días que componen el horizonte de planificación de la hoja.">OFFSET(PRIMER_CAMPO,0,0,1,COUNTIF(CONTROL[#Headers],"*/*"))</definedName>
    <definedName name="HorizonteBodega" comment="Trae el horizonte de revisión de buffers.">NoBorrar!$A$33</definedName>
    <definedName name="HOY">Parametros!$C$7</definedName>
    <definedName name="IDIOMA">Parametros!$C$5</definedName>
    <definedName name="INIPERIODO">NoBorrar!$D$23</definedName>
    <definedName name="INVFISICOACTUAL" comment="Rango que toma el inventario físico actual para pasarlo al campo de Fecha seleccionado para ir creando el historial." localSheetId="35">OFFSET(CONTROL[[#Headers],[Inv Fís Act]],1,0,COUNTA(Bodega!$A:$A)-1,1)</definedName>
    <definedName name="INVFISICOACTUAL" comment="Rango que toma el inventario físico actual para pasarlo al campo de Fecha seleccionado para ir creando el historial." localSheetId="6">OFFSET(CONTROL[[#Headers],[Inv Fís Act]],1,0,COUNTA(Bodega!$A:$A)-1,1)</definedName>
    <definedName name="INVFISICOACTUAL" comment="Rango que toma el inventario físico actual para pasarlo al campo de Fecha seleccionado para ir creando el historial.">OFFSET(CONTROL[[#Headers],[Inv Fís Act]],1,0,COUNTA(Bodega!$A:$A)-1,1)</definedName>
    <definedName name="ListaBodegaPerfil" localSheetId="35">Tabla_ArchivosBodegas[BodegaPerfil]</definedName>
    <definedName name="ListaBodegaPerfil" localSheetId="6">Tabla_ArchivosBodegas[BodegaPerfil]</definedName>
    <definedName name="ListaBodegaPerfil">Tabla_ArchivosBodegas[BodegaPerfil]</definedName>
    <definedName name="ListaBodegaProveedor" comment="Sirve para unificar la bodega con el proveedor para establecer el formato condicional que determina si el proveedor seleccionado no es compatible con la bodega seleccionada." localSheetId="35">Tabla_Proveedores[BodegaProveedor]</definedName>
    <definedName name="ListaBodegaProveedor" comment="Sirve para unificar la bodega con el proveedor para establecer el formato condicional que determina si el proveedor seleccionado no es compatible con la bodega seleccionada." localSheetId="6">Tabla_Proveedores[BodegaProveedor]</definedName>
    <definedName name="ListaBodegaProveedor" comment="Sirve para unificar la bodega con el proveedor para establecer el formato condicional que determina si el proveedor seleccionado no es compatible con la bodega seleccionada.">Tabla_Proveedores[BodegaProveedor]</definedName>
    <definedName name="ListaNombresPedidoMinimo" localSheetId="6">tbl_Nombres_Redondeo_Pedido_Minimo[NombreUnico]</definedName>
    <definedName name="ListaNombresPedidoMinimo">tbl_Nombres_Redondeo_Pedido_Minimo[NombreUnico]</definedName>
    <definedName name="ListaPerfiles" localSheetId="35">Tabla_Perfiles_Permitidos[Perfil]</definedName>
    <definedName name="ListaPerfiles" localSheetId="6">Tabla_Perfiles_Permitidos[Perfil]</definedName>
    <definedName name="ListaPerfiles">Tabla_Perfiles_Permitidos[Perfil]</definedName>
    <definedName name="ListaProveedores" comment="Lista de los Proveedores permitidos para seleccionar en las diferentes bodegas." localSheetId="35">Tabla_Proveedores_Permitidos[PROVEEDOR]</definedName>
    <definedName name="ListaProveedores" comment="Lista de los Proveedores permitidos para seleccionar en las diferentes bodegas." localSheetId="6">Tabla_Proveedores_Permitidos[PROVEEDOR]</definedName>
    <definedName name="ListaProveedores" comment="Lista de los Proveedores permitidos para seleccionar en las diferentes bodegas.">Tabla_Proveedores_Permitidos[PROVEEDOR]</definedName>
    <definedName name="Mas_menos">Parametros!$C$23</definedName>
    <definedName name="Mensaje_Prevencion">NoBorrar!$N$4</definedName>
    <definedName name="MinFinalPeriodo">Parametros!$C$20</definedName>
    <definedName name="MININICIO">NoBorrar!$O$3</definedName>
    <definedName name="NO_FECHA_PERIODO">NoBorrar!$N$17</definedName>
    <definedName name="NOMBREPESTANA">NoBorrar!$A$27</definedName>
    <definedName name="NOMBREPESTANA1">NoBorrar!$C$27</definedName>
    <definedName name="NOMBREWORKBOOK" comment="Es el nombre del workbook actual incluyendo la extensión.">NoBorrar!$A$22</definedName>
    <definedName name="NOMSIMPLIFICADO">NoBorrar!$A$21</definedName>
    <definedName name="ObsNotables">NoBorrar!$AA$1:$AA$20</definedName>
    <definedName name="ParametrosBodega" localSheetId="35">Tabla_Bodegas_Permitidas[]</definedName>
    <definedName name="PerfilesPermitidos" localSheetId="35">Tabla_Perfiles_Permitidos[Perfil]</definedName>
    <definedName name="PerfilesPermitidos" localSheetId="6">Tabla_Perfiles_Permitidos[Perfil]</definedName>
    <definedName name="PerfilesPermitidos">Tabla_Perfiles_Permitidos[Perfil]</definedName>
    <definedName name="PERIODO">NoBorrar!$O$2</definedName>
    <definedName name="PicoCalculado">GráficoDin!$AL$7</definedName>
    <definedName name="PicoUsuario">GráficoDin!$AL$11</definedName>
    <definedName name="PRIMER_CAMPO" comment="Es el primer campo de los que comienzan con fechas para guardar los saldos de inventario. Sirve como base para empezar a crear los nuevos campos." localSheetId="35">OFFSET(CONTROL[[#Headers],[BODEGA]],0,MATCH("*/*",CONTROL[#Headers],0)-1,1,1)</definedName>
    <definedName name="PRIMER_CAMPO" comment="Es el primer campo de los que comienzan con fechas para guardar los saldos de inventario. Sirve como base para empezar a crear los nuevos campos." localSheetId="6">OFFSET(CONTROL[[#Headers],[BODEGA]],0,MATCH("*/*",CONTROL[#Headers],0)-1,1,1)</definedName>
    <definedName name="PRIMER_CAMPO" comment="Es el primer campo de los que comienzan con fechas para guardar los saldos de inventario. Sirve como base para empezar a crear los nuevos campos.">OFFSET(CONTROL[[#Headers],[BODEGA]],0,MATCH("*/*",CONTROL[#Headers],0)-1,1,1)</definedName>
    <definedName name="Promedio_Mensual_Usuario">GráficoDin!$J$34</definedName>
    <definedName name="ProveedoresPermitidos" comment="Rango que tiene la lista de los Proveedores que están permitidos en el presente archivo" localSheetId="35">Tabla_Proveedores_Permitidos[PROVEEDOR]</definedName>
    <definedName name="ProveedoresPermitidos" comment="Rango que tiene la lista de los Proveedores que están permitidos en el presente archivo" localSheetId="6">Tabla_Proveedores_Permitidos[PROVEEDOR]</definedName>
    <definedName name="ProveedoresPermitidos" comment="Rango que tiene la lista de los Proveedores que están permitidos en el presente archivo">Tabla_Proveedores_Permitidos[PROVEEDOR]</definedName>
    <definedName name="RangoCausas" comment="Rango móvil que sirve para detectar las causas actualizadas y poder asignarlas al campo observación." localSheetId="35">OFFSET(Tabla_Causas[[#Headers],[Causa]],1,0,COUNTA(Tabla_Causas[]),1)</definedName>
    <definedName name="RangoCausas" comment="Rango móvil que sirve para detectar las causas actualizadas y poder asignarlas al campo observación." localSheetId="6">Tabla_Causas[Causa]</definedName>
    <definedName name="RangoCausas" comment="Rango móvil que sirve para detectar las causas actualizadas y poder asignarlas al campo observación.">Tabla_Causas[Causa]</definedName>
    <definedName name="RANGOFECHAFISICO" comment="Es el rango donde se va a incluir los datos de inventario físico según la selección que se haya hecho con el formulario de carga de inventario físico." localSheetId="35">OFFSET(EstacionalidadDatos!PRIMER_CAMPO,1,MATCH([1]!FECHAINVFISICO,EstacionalidadDatos!HORIZONTE,0)-1,COUNTA(Bodega!$A:$A)-1,1)</definedName>
    <definedName name="RANGOFECHAFISICO" comment="Es el rango donde se va a incluir los datos de inventario físico según la selección que se haya hecho con el formulario de carga de inventario físico." localSheetId="6">OFFSET(Mal_Atendidos_Suministro!PRIMER_CAMPO,1,MATCH([0]!FECHAINVFISICO,Mal_Atendidos_Suministro!HORIZONTE,0)-1,COUNTA(Bodega!$A:$A)-1,1)</definedName>
    <definedName name="RANGOFECHAFISICO" comment="Es el rango donde se va a incluir los datos de inventario físico según la selección que se haya hecho con el formulario de carga de inventario físico.">OFFSET(PRIMER_CAMPO,1,MATCH(FECHAINVFISICO,HORIZONTE,0)-1,COUNTA(Bodega!$A:$A)-1,1)</definedName>
    <definedName name="RANGOFECHAPERIODO" comment="Rango desde la fecha de inicio hasta fecha de fin del período seleccionado para cargar al Historial" localSheetId="35">OFFSET(EstacionalidadDatos!PRIMER_CAMPO,0,MATCH([1]!INIPERIODO,EstacionalidadDatos!HORIZONTE,0)-1,1,MATCH([1]!FINPERIODO,EstacionalidadDatos!HORIZONTE,0)-MATCH([1]!INIPERIODO,EstacionalidadDatos!HORIZONTE,0)+1)</definedName>
    <definedName name="RANGOFISICOHISTORICO" comment="Rango de los valores de inventario físico histórico en cada hoja de Control de Buffers. Está indexado al código y a la fecha de toma del saldo de inventario." localSheetId="35">OFFSET(EstacionalidadDatos!PRIMER_CAMPO,1,0,COUNTA(CONTROL[CODIGO]),COLUMNS(EstacionalidadDatos!HORIZONTE))</definedName>
    <definedName name="RangoInventario" localSheetId="35">OFFSET(EstacionalidadDatos!PRIMER_CAMPO,MATCH(INDIRECT("A"&amp;MATCH(CODGRAFICO,Bodega!$A:$A,0)),CONTROL[CODIGO],0),0,1,COUNTIF(CONTROL[#Headers],"*/*"))</definedName>
    <definedName name="SegmentaciónDeDatos_BODEGA">#N/A</definedName>
    <definedName name="SegmentaciónDeDatos_Clasificación">#N/A</definedName>
    <definedName name="SegmentaciónDeDatos_Color">#N/A</definedName>
    <definedName name="SegmentaciónDeDatos_Estatus">#N/A</definedName>
    <definedName name="SegmentaciónDeDatos_Perfil">#N/A</definedName>
    <definedName name="SegmentaciónDeDatos_Proveedor">#N/A</definedName>
    <definedName name="SegmentaciónDeDatos_Responsable">#N/A</definedName>
    <definedName name="SegmentaciónDeDatos_Ult_Cambio">#N/A</definedName>
    <definedName name="SeleccionCalendarios" comment="Campo que sirve para la validación de datos del Calendario Estacional." localSheetId="35">Tabla_Esta[CALENDARIO]</definedName>
    <definedName name="SeleccionCalendarios" comment="Campo que sirve para la validación de datos del Calendario Estacional." localSheetId="6">Tabla_Est[CALENDARIO]</definedName>
    <definedName name="SeleccionCalendarios" comment="Campo que sirve para la validación de datos del Calendario Estacional.">Tabla_Est[CALENDARIO]</definedName>
    <definedName name="SeleccionCalendariosNueva" localSheetId="6">Tabla_Esta[CALENDARIO]</definedName>
    <definedName name="SeleccionCalendariosNueva">Tabla_Esta[CALENDARIO]</definedName>
    <definedName name="sep_lis">Parametros!$C$6</definedName>
    <definedName name="Servicio_Calculado">Parametros!$C$21</definedName>
    <definedName name="TablaErrores">Parametros!$E$1:$F$22</definedName>
    <definedName name="tblDatosSinHistorial" comment="El rango de la hoja, pero sin incluir el historial, para permitir que se traigan los datos desde consultas ADO. Ojo, está utilizando la notación normal, pero es dinámica a la vez porque está dentro de tabla de Excel.">Bodega!$A$2:$DJ$61</definedName>
    <definedName name="tblEmpresa">Empresa!$B$1:$T$2</definedName>
    <definedName name="tblEmpresaDatos">Empresa!$K$1:$K$2</definedName>
    <definedName name="tblInventarioHoy" localSheetId="6">OFFSET(CONTROL[[#Headers],[BODEGA]],0,MATCH(TEXT([0]!HOY,"dd/mm/yyyy"),CONTROL[#Headers],0)-1,ROWS([0]!tblDatosSinHistorial),1)</definedName>
    <definedName name="tblInventarioHoy">OFFSET(CONTROL[[#Headers],[BODEGA]],0,MATCH(TEXT(HOY,"dd/mm/yyyy"),CONTROL[#Headers],0)-1,ROWS(tblDatosSinHistorial),1)</definedName>
    <definedName name="TIEMPO_SUMINISTRO" comment="Define el tiempo de reposición actualizado de la bodega actual en el archivo actual. Está expresado en semanas.">NoBorrar!$C$33</definedName>
    <definedName name="TRep">GráficoDin!$G$4</definedName>
    <definedName name="US">USER!$A$1</definedName>
    <definedName name="USUARIO">NoBorrar!$AD$1</definedName>
  </definedNames>
  <calcPr calcId="152511"/>
  <pivotCaches>
    <pivotCache cacheId="46" r:id="rId54"/>
    <pivotCache cacheId="47" r:id="rId55"/>
    <pivotCache cacheId="48" r:id="rId56"/>
    <pivotCache cacheId="49" r:id="rId57"/>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58"/>
        <x14:slicerCache r:id="rId59"/>
        <x14:slicerCache r:id="rId60"/>
        <x14:slicerCache r:id="rId61"/>
        <x14:slicerCache r:id="rId62"/>
        <x14:slicerCache r:id="rId63"/>
        <x14:slicerCache r:id="rId64"/>
        <x14:slicerCache r:id="rId65"/>
      </x15:slicerCaches>
    </ext>
  </extLst>
</workbook>
</file>

<file path=xl/calcChain.xml><?xml version="1.0" encoding="utf-8"?>
<calcChain xmlns="http://schemas.openxmlformats.org/spreadsheetml/2006/main">
  <c r="C19" i="27" l="1" a="1"/>
  <c r="C19" i="27" s="1"/>
  <c r="C2" i="44"/>
  <c r="G2" i="37"/>
  <c r="G3" i="37"/>
  <c r="G4" i="37"/>
  <c r="G5" i="37"/>
  <c r="G6" i="37"/>
  <c r="G7" i="37"/>
  <c r="G8" i="37"/>
  <c r="G9" i="37"/>
  <c r="G10" i="37"/>
  <c r="G11" i="37"/>
  <c r="G12" i="37"/>
  <c r="G13" i="37"/>
  <c r="G14" i="37"/>
  <c r="G15" i="37"/>
  <c r="G16" i="37"/>
  <c r="G17" i="37"/>
  <c r="G18" i="37"/>
  <c r="G19" i="37"/>
  <c r="G20" i="37"/>
  <c r="G21" i="37"/>
  <c r="G22" i="37"/>
  <c r="G23" i="37"/>
  <c r="G24" i="37"/>
  <c r="G25" i="37"/>
  <c r="G26" i="37"/>
  <c r="G27" i="37"/>
  <c r="G28" i="37"/>
  <c r="G29" i="37"/>
  <c r="G30" i="37"/>
  <c r="G31" i="37"/>
  <c r="G32" i="37"/>
  <c r="G33" i="37"/>
  <c r="G34" i="37"/>
  <c r="G35" i="37"/>
  <c r="G36" i="37"/>
  <c r="G37" i="37"/>
  <c r="G38" i="37"/>
  <c r="G39" i="37"/>
  <c r="G40" i="37"/>
  <c r="G41" i="37"/>
  <c r="G42" i="37"/>
  <c r="G43" i="37"/>
  <c r="G44" i="37"/>
  <c r="G45" i="37"/>
  <c r="G46" i="37"/>
  <c r="G47" i="37"/>
  <c r="G48" i="37"/>
  <c r="G49" i="37"/>
  <c r="G50" i="37"/>
  <c r="G51" i="37"/>
  <c r="G52" i="37"/>
  <c r="G53" i="37"/>
  <c r="G54" i="37"/>
  <c r="G55" i="37"/>
  <c r="G56" i="37"/>
  <c r="G57" i="37"/>
  <c r="G58" i="37"/>
  <c r="G59" i="37"/>
  <c r="G60" i="37"/>
  <c r="G61" i="37"/>
  <c r="G62" i="37"/>
  <c r="G63" i="37"/>
  <c r="G64" i="37"/>
  <c r="G65" i="37"/>
  <c r="G66" i="37"/>
  <c r="G67" i="37"/>
  <c r="G68" i="37"/>
  <c r="G69" i="37"/>
  <c r="G70" i="37"/>
  <c r="G71" i="37"/>
  <c r="G72" i="37"/>
  <c r="G73" i="37"/>
  <c r="G74" i="37"/>
  <c r="G75" i="37"/>
  <c r="G76" i="37"/>
  <c r="G77" i="37"/>
  <c r="G78" i="37"/>
  <c r="G79" i="37"/>
  <c r="G80" i="37"/>
  <c r="AA17" i="6" l="1" a="1"/>
  <c r="AA17" i="6" s="1"/>
  <c r="DR3" i="45" l="1"/>
  <c r="AD3" i="45" l="1"/>
  <c r="Z3" i="45"/>
  <c r="Q3" i="45"/>
  <c r="M3" i="45"/>
  <c r="I3" i="45"/>
  <c r="E3" i="45"/>
  <c r="AN3" i="45"/>
  <c r="AC3" i="45"/>
  <c r="Y3" i="45"/>
  <c r="P3" i="45"/>
  <c r="L3" i="45"/>
  <c r="H3" i="45"/>
  <c r="D3" i="45"/>
  <c r="AB3" i="45"/>
  <c r="X3" i="45"/>
  <c r="O3" i="45"/>
  <c r="K3" i="45"/>
  <c r="G3" i="45"/>
  <c r="N3" i="45"/>
  <c r="J3" i="45"/>
  <c r="AA3" i="45"/>
  <c r="F3" i="45"/>
  <c r="W3" i="45"/>
  <c r="BT3" i="45"/>
  <c r="BY3" i="45"/>
  <c r="BV3" i="45"/>
  <c r="BX3" i="45"/>
  <c r="CA3" i="45"/>
  <c r="BW3" i="45"/>
  <c r="BZ3" i="45"/>
  <c r="AH3" i="45" l="1"/>
  <c r="BS3" i="45" l="1"/>
  <c r="AA16" i="6" l="1"/>
  <c r="AA14" i="6"/>
  <c r="AA13" i="6"/>
  <c r="AA11" i="6"/>
  <c r="AA2" i="6" l="1"/>
  <c r="AA12" i="6"/>
  <c r="Z2" i="16" l="1"/>
  <c r="Y2" i="16"/>
  <c r="F22" i="27"/>
  <c r="AA7" i="6" l="1"/>
  <c r="AA2" i="16"/>
  <c r="BI3" i="45" l="1"/>
  <c r="CK3" i="45"/>
  <c r="BN3" i="45"/>
  <c r="F12" i="27"/>
  <c r="F11" i="27"/>
  <c r="F5" i="27"/>
  <c r="F6" i="27"/>
  <c r="F7" i="27"/>
  <c r="F8" i="27"/>
  <c r="F10" i="27"/>
  <c r="F9" i="27"/>
  <c r="DW3" i="45" l="1"/>
  <c r="BO3" i="45"/>
  <c r="CW3" i="45"/>
  <c r="F13" i="27"/>
  <c r="F15" i="27" a="1"/>
  <c r="F15" i="27" s="1"/>
  <c r="F16" i="27" a="1"/>
  <c r="F16" i="27" s="1"/>
  <c r="F17" i="27" a="1"/>
  <c r="F17" i="27" s="1"/>
  <c r="F18" i="27" a="1"/>
  <c r="F18" i="27" s="1"/>
  <c r="F19" i="27" a="1"/>
  <c r="F19" i="27" s="1"/>
  <c r="F20" i="27" a="1"/>
  <c r="F20" i="27" s="1"/>
  <c r="F21" i="27"/>
  <c r="CJ3" i="45" l="1"/>
  <c r="CN3" i="45"/>
  <c r="CG3" i="45"/>
  <c r="AA15" i="6" a="1"/>
  <c r="AA15" i="6" s="1"/>
  <c r="DS3" i="45" l="1"/>
  <c r="CQ3" i="45" l="1"/>
  <c r="CU3" i="45"/>
  <c r="CV3" i="45"/>
  <c r="F2" i="44"/>
  <c r="CF3" i="45" l="1"/>
  <c r="DU3" i="45"/>
  <c r="DP3" i="45"/>
  <c r="DT3" i="45" l="1"/>
  <c r="I2" i="16" l="1"/>
  <c r="CR3" i="45" l="1"/>
  <c r="BL3" i="45" l="1"/>
  <c r="DM3" i="45" l="1"/>
  <c r="BU3" i="45" l="1"/>
  <c r="AO3" i="45"/>
  <c r="AQ3" i="45"/>
  <c r="C34" i="6"/>
  <c r="DI3" i="45" l="1"/>
  <c r="CC3" i="45"/>
  <c r="AP3" i="45"/>
  <c r="AG3" i="45" l="1"/>
  <c r="AF3" i="45"/>
  <c r="AE3" i="45"/>
  <c r="AS3" i="45"/>
  <c r="BM3" i="45"/>
  <c r="CB3" i="45"/>
  <c r="BK3" i="45" l="1"/>
  <c r="A25" i="6"/>
  <c r="T2" i="16"/>
  <c r="F2" i="16"/>
  <c r="J2" i="16"/>
  <c r="D5" i="50" l="1"/>
  <c r="C4" i="50"/>
  <c r="B3" i="50"/>
  <c r="A2" i="50"/>
  <c r="U2" i="16" l="1"/>
  <c r="L3" i="20" l="1"/>
  <c r="K3" i="20"/>
  <c r="M1" i="20" l="1" a="1"/>
  <c r="M1" i="20" s="1"/>
  <c r="L18" i="20" s="1"/>
  <c r="G34" i="20"/>
  <c r="G35" i="20" s="1"/>
  <c r="L16" i="20" l="1"/>
  <c r="L15" i="20"/>
  <c r="L11" i="20"/>
  <c r="O26" i="20"/>
  <c r="O22" i="20"/>
  <c r="O29" i="20"/>
  <c r="O8" i="20"/>
  <c r="O18" i="20"/>
  <c r="L29" i="20"/>
  <c r="L27" i="20"/>
  <c r="L14" i="20"/>
  <c r="O28" i="20"/>
  <c r="L28" i="20"/>
  <c r="L26" i="20"/>
  <c r="L22" i="20"/>
  <c r="L36" i="20"/>
  <c r="O15" i="20"/>
  <c r="O27" i="20"/>
  <c r="L13" i="20"/>
  <c r="O14" i="20"/>
  <c r="L10" i="20"/>
  <c r="O21" i="20"/>
  <c r="L31" i="20"/>
  <c r="L25" i="20"/>
  <c r="L35" i="20"/>
  <c r="L24" i="20"/>
  <c r="L4" i="20"/>
  <c r="L33" i="20"/>
  <c r="M33" i="20" s="1"/>
  <c r="L12" i="20"/>
  <c r="L7" i="20"/>
  <c r="L30" i="20"/>
  <c r="L34" i="20"/>
  <c r="M34" i="20" s="1"/>
  <c r="J36" i="20" s="1"/>
  <c r="L19" i="20"/>
  <c r="L32" i="20"/>
  <c r="L23" i="20"/>
  <c r="O25" i="20"/>
  <c r="L5" i="20"/>
  <c r="O12" i="20"/>
  <c r="O13" i="20"/>
  <c r="L17" i="20"/>
  <c r="M3" i="20" a="1"/>
  <c r="M3" i="20" s="1"/>
  <c r="AP1" i="20" a="1"/>
  <c r="AP1" i="20" s="1"/>
  <c r="AP2" i="20" a="1"/>
  <c r="AP2" i="20" s="1"/>
  <c r="G36" i="20" l="1"/>
  <c r="P13" i="20"/>
  <c r="P35" i="20" s="1"/>
  <c r="P32" i="20"/>
  <c r="P33" i="20"/>
  <c r="P34" i="20" l="1"/>
  <c r="P36" i="20" s="1"/>
  <c r="O33" i="20"/>
  <c r="S4" i="6" l="1"/>
  <c r="O31" i="20" l="1"/>
  <c r="C6" i="27"/>
  <c r="A14" i="6" l="1"/>
  <c r="A19" i="6" s="1"/>
  <c r="C5" i="27"/>
  <c r="C7" i="27" l="1"/>
  <c r="DY3" i="45"/>
  <c r="DZ3" i="45" a="1"/>
  <c r="W3" i="38" l="1" a="1"/>
  <c r="W3" i="38" s="1"/>
  <c r="W2" i="38" a="1"/>
  <c r="W2" i="38" s="1"/>
  <c r="AJ3" i="45"/>
  <c r="AK3" i="45"/>
  <c r="AA20" i="6"/>
  <c r="AA18" i="6"/>
  <c r="AA19" i="6"/>
  <c r="DG3" i="45"/>
  <c r="AA21" i="6"/>
  <c r="CX3" i="45"/>
  <c r="AR3" i="45"/>
  <c r="F2" i="27"/>
  <c r="C20" i="27" a="1"/>
  <c r="C20" i="27" s="1"/>
  <c r="F4" i="27" a="1"/>
  <c r="F4" i="27" s="1"/>
  <c r="DZ3" i="45"/>
  <c r="G2" i="16"/>
  <c r="X2" i="38" l="1"/>
  <c r="X3" i="38"/>
  <c r="AI3" i="45"/>
  <c r="AA9" i="6"/>
  <c r="AA8" i="6"/>
  <c r="AA10" i="6"/>
  <c r="O30" i="20"/>
  <c r="S1" i="6"/>
  <c r="S3" i="6"/>
  <c r="S2" i="6"/>
  <c r="CL3" i="45"/>
  <c r="CM3" i="45"/>
  <c r="CO3" i="45"/>
  <c r="L6" i="20"/>
  <c r="O9" i="20"/>
  <c r="O7" i="20"/>
  <c r="D2" i="16"/>
  <c r="E2" i="16"/>
  <c r="O2" i="6"/>
  <c r="O32" i="20" l="1"/>
  <c r="O34" i="20" s="1" a="1"/>
  <c r="O34" i="20" s="1"/>
  <c r="O35" i="20"/>
  <c r="F14" i="27"/>
  <c r="O3" i="6"/>
  <c r="H2" i="16"/>
  <c r="D8" i="27"/>
  <c r="F3" i="27" l="1" a="1"/>
  <c r="F3" i="27" s="1"/>
  <c r="O36" i="20"/>
  <c r="AM3" i="45" l="1"/>
  <c r="C53" i="6"/>
  <c r="CZ3" i="45" l="1" a="1"/>
  <c r="CZ3" i="45" s="1"/>
  <c r="A53" i="6"/>
  <c r="DH3" i="45" l="1"/>
  <c r="DV3" i="45"/>
  <c r="DK3" i="45"/>
  <c r="F23" i="6"/>
  <c r="A50" i="6" l="1"/>
  <c r="A6" i="6" l="1"/>
  <c r="A4" i="6"/>
  <c r="A5" i="6" s="1"/>
  <c r="K2" i="16" s="1"/>
  <c r="C2" i="16" l="1"/>
  <c r="A20" i="6"/>
  <c r="A21" i="6" s="1"/>
  <c r="A8" i="6"/>
  <c r="A10" i="6" s="1"/>
  <c r="A12" i="6" s="1"/>
  <c r="A16" i="6" l="1"/>
  <c r="A22" i="6"/>
  <c r="B2" i="16" l="1"/>
  <c r="A27" i="6"/>
  <c r="C27" i="6" s="1"/>
  <c r="O1" i="6" s="1"/>
  <c r="B53" i="6"/>
  <c r="A18" i="6"/>
  <c r="CT3" i="45" l="1" a="1"/>
  <c r="CT3" i="45" s="1"/>
  <c r="AL3" i="45" l="1"/>
  <c r="C3" i="27" l="1"/>
  <c r="CS3" i="45"/>
  <c r="DX3" i="45"/>
  <c r="CY3" i="45"/>
  <c r="DD3" i="45"/>
  <c r="DB3" i="45"/>
  <c r="DC3" i="45"/>
  <c r="DA3" i="45"/>
  <c r="DE3" i="45"/>
  <c r="C2" i="27" l="1" a="1"/>
  <c r="C2" i="27" s="1"/>
  <c r="N4" i="6" s="1"/>
  <c r="DL3" i="45" a="1"/>
  <c r="DL3" i="45" s="1"/>
  <c r="DF3" i="45" a="1"/>
  <c r="DF3" i="45" s="1"/>
  <c r="DN3" i="45"/>
  <c r="N2" i="16"/>
  <c r="O2" i="16"/>
  <c r="M2" i="16"/>
  <c r="P2" i="16"/>
  <c r="O20" i="20" l="1"/>
  <c r="AA4" i="6"/>
  <c r="O11" i="20" l="1"/>
  <c r="AA6" i="6"/>
  <c r="O19" i="20"/>
  <c r="O10" i="20"/>
  <c r="AA3" i="6" l="1"/>
  <c r="AA5" i="6"/>
  <c r="AB2" i="16" l="1"/>
  <c r="V3" i="6" a="1"/>
  <c r="V3" i="6" s="1"/>
  <c r="V1" i="6" a="1"/>
  <c r="V1" i="6" s="1"/>
  <c r="V6" i="6" a="1"/>
  <c r="V6" i="6" s="1"/>
  <c r="V7" i="6" a="1"/>
  <c r="V7" i="6" s="1"/>
  <c r="V11" i="6" a="1"/>
  <c r="V11" i="6" s="1"/>
  <c r="V4" i="6" a="1"/>
  <c r="V4" i="6" s="1"/>
  <c r="V5" i="6" a="1"/>
  <c r="V5" i="6" s="1"/>
  <c r="V8" i="6" a="1"/>
  <c r="V8" i="6" s="1"/>
  <c r="V10" i="6" a="1"/>
  <c r="V10" i="6" s="1"/>
  <c r="V9" i="6" a="1"/>
  <c r="V9" i="6" s="1"/>
  <c r="V2" i="6" a="1"/>
  <c r="V2" i="6" s="1"/>
</calcChain>
</file>

<file path=xl/comments1.xml><?xml version="1.0" encoding="utf-8"?>
<comments xmlns="http://schemas.openxmlformats.org/spreadsheetml/2006/main">
  <authors>
    <author>CAS</author>
    <author>USER</author>
    <author>RAMCAS</author>
    <author>Carlos Semanate</author>
    <author>Windows User</author>
  </authors>
  <commentList>
    <comment ref="A2" authorId="0" shapeId="0">
      <text>
        <r>
          <rPr>
            <b/>
            <sz val="9"/>
            <color indexed="81"/>
            <rFont val="Tahoma"/>
            <family val="2"/>
          </rPr>
          <t>CAS:</t>
        </r>
        <r>
          <rPr>
            <sz val="9"/>
            <color indexed="81"/>
            <rFont val="Tahoma"/>
            <family val="2"/>
          </rPr>
          <t xml:space="preserve">
Nombre de la Bodega Actual. Es el nombre propio del sistema, y puede o no puede coincidir con los nombres utilizados en la empresa ya que puede ser una bodega consolidada, virtual o parte de una bodega real.</t>
        </r>
      </text>
    </comment>
    <comment ref="B2" authorId="0" shapeId="0">
      <text>
        <r>
          <rPr>
            <b/>
            <sz val="9"/>
            <color indexed="81"/>
            <rFont val="Tahoma"/>
            <family val="2"/>
          </rPr>
          <t>CAS:</t>
        </r>
        <r>
          <rPr>
            <sz val="9"/>
            <color indexed="81"/>
            <rFont val="Tahoma"/>
            <family val="2"/>
          </rPr>
          <t xml:space="preserve">
Identificador único del Ítem.
Se pinta de ROJO si hay ítems repetidos dentro de la hoja.
Se pinta de MARRÓN si el código posee espacios en blanco.</t>
        </r>
      </text>
    </comment>
    <comment ref="C2" authorId="1" shapeId="0">
      <text>
        <r>
          <rPr>
            <b/>
            <sz val="9"/>
            <color indexed="81"/>
            <rFont val="Tahoma"/>
            <family val="2"/>
          </rPr>
          <t>CAS:</t>
        </r>
        <r>
          <rPr>
            <sz val="9"/>
            <color indexed="81"/>
            <rFont val="Tahoma"/>
            <family val="2"/>
          </rPr>
          <t xml:space="preserve">
Código que está vigente dados los datos de Código vinculado y código genérico.</t>
        </r>
      </text>
    </comment>
    <comment ref="D2" authorId="1" shapeId="0">
      <text>
        <r>
          <rPr>
            <b/>
            <sz val="9"/>
            <color indexed="81"/>
            <rFont val="Tahoma"/>
            <family val="2"/>
          </rPr>
          <t xml:space="preserve">CAS:
</t>
        </r>
        <r>
          <rPr>
            <sz val="9"/>
            <color indexed="81"/>
            <rFont val="Tahoma"/>
            <family val="2"/>
          </rPr>
          <t xml:space="preserve">Código del SKU que reemplaza al actual.
</t>
        </r>
      </text>
    </comment>
    <comment ref="E2" authorId="1" shapeId="0">
      <text>
        <r>
          <rPr>
            <b/>
            <sz val="9"/>
            <color indexed="81"/>
            <rFont val="Tahoma"/>
            <family val="2"/>
          </rPr>
          <t>CAS:</t>
        </r>
        <r>
          <rPr>
            <sz val="9"/>
            <color indexed="81"/>
            <rFont val="Tahoma"/>
            <family val="2"/>
          </rPr>
          <t xml:space="preserve">
Código agrupador al cual pertenece el sku actual. Obedece a la agrupación de buffers deseada por la empresa.</t>
        </r>
      </text>
    </comment>
    <comment ref="F2" authorId="0" shapeId="0">
      <text>
        <r>
          <rPr>
            <b/>
            <sz val="9"/>
            <color indexed="81"/>
            <rFont val="Tahoma"/>
            <family val="2"/>
          </rPr>
          <t>CAS:</t>
        </r>
        <r>
          <rPr>
            <sz val="9"/>
            <color indexed="81"/>
            <rFont val="Tahoma"/>
            <family val="2"/>
          </rPr>
          <t xml:space="preserve">
Nombre descriptivo del Ítem.</t>
        </r>
      </text>
    </comment>
    <comment ref="G2" authorId="0" shapeId="0">
      <text>
        <r>
          <rPr>
            <b/>
            <sz val="9"/>
            <color indexed="81"/>
            <rFont val="Tahoma"/>
            <family val="2"/>
          </rPr>
          <t>CAS:</t>
        </r>
        <r>
          <rPr>
            <sz val="9"/>
            <color indexed="81"/>
            <rFont val="Tahoma"/>
            <family val="2"/>
          </rPr>
          <t xml:space="preserve">
Grupo al cual pertenece el Ítem.</t>
        </r>
      </text>
    </comment>
    <comment ref="H2" authorId="0" shapeId="0">
      <text>
        <r>
          <rPr>
            <b/>
            <sz val="9"/>
            <color indexed="81"/>
            <rFont val="Tahoma"/>
            <family val="2"/>
          </rPr>
          <t>CAS:</t>
        </r>
        <r>
          <rPr>
            <sz val="9"/>
            <color indexed="81"/>
            <rFont val="Tahoma"/>
            <family val="2"/>
          </rPr>
          <t xml:space="preserve">
Línea a la cual pertenece el Ítem.</t>
        </r>
      </text>
    </comment>
    <comment ref="I2" authorId="1" shapeId="0">
      <text>
        <r>
          <rPr>
            <b/>
            <sz val="9"/>
            <color indexed="81"/>
            <rFont val="Tahoma"/>
            <family val="2"/>
          </rPr>
          <t xml:space="preserve">CAS: </t>
        </r>
        <r>
          <rPr>
            <sz val="9"/>
            <color indexed="81"/>
            <rFont val="Tahoma"/>
            <family val="2"/>
          </rPr>
          <t>Sublínea a la cual pertenece el ítem.</t>
        </r>
        <r>
          <rPr>
            <sz val="9"/>
            <color indexed="81"/>
            <rFont val="Tahoma"/>
            <family val="2"/>
          </rPr>
          <t xml:space="preserve">
</t>
        </r>
      </text>
    </comment>
    <comment ref="J2" authorId="1" shapeId="0">
      <text>
        <r>
          <rPr>
            <b/>
            <sz val="9"/>
            <color indexed="81"/>
            <rFont val="Tahoma"/>
            <family val="2"/>
          </rPr>
          <t xml:space="preserve">CAS: </t>
        </r>
        <r>
          <rPr>
            <sz val="9"/>
            <color indexed="81"/>
            <rFont val="Tahoma"/>
            <family val="2"/>
          </rPr>
          <t xml:space="preserve">Familia a la cual pertenece el ítem.
</t>
        </r>
      </text>
    </comment>
    <comment ref="K2" authorId="1" shapeId="0">
      <text>
        <r>
          <rPr>
            <b/>
            <sz val="9"/>
            <color indexed="81"/>
            <rFont val="Tahoma"/>
            <family val="2"/>
          </rPr>
          <t xml:space="preserve">CAS: </t>
        </r>
        <r>
          <rPr>
            <sz val="9"/>
            <color indexed="81"/>
            <rFont val="Tahoma"/>
            <family val="2"/>
          </rPr>
          <t xml:space="preserve">Subfamilia a la cual pertenece el ítem.
</t>
        </r>
      </text>
    </comment>
    <comment ref="L2" authorId="1" shapeId="0">
      <text>
        <r>
          <rPr>
            <b/>
            <sz val="9"/>
            <color indexed="81"/>
            <rFont val="Tahoma"/>
            <family val="2"/>
          </rPr>
          <t>CAS:</t>
        </r>
        <r>
          <rPr>
            <sz val="9"/>
            <color indexed="81"/>
            <rFont val="Tahoma"/>
            <family val="2"/>
          </rPr>
          <t xml:space="preserve">
Categoría a la que pertenece el ítem.</t>
        </r>
      </text>
    </comment>
    <comment ref="M2" authorId="1" shapeId="0">
      <text>
        <r>
          <rPr>
            <b/>
            <sz val="9"/>
            <color indexed="81"/>
            <rFont val="Tahoma"/>
            <family val="2"/>
          </rPr>
          <t xml:space="preserve">CAS:
</t>
        </r>
        <r>
          <rPr>
            <sz val="9"/>
            <color indexed="81"/>
            <rFont val="Tahoma"/>
            <family val="2"/>
          </rPr>
          <t xml:space="preserve">Tipo al cual pertenece el ítem.
</t>
        </r>
      </text>
    </comment>
    <comment ref="N2" authorId="1" shapeId="0">
      <text>
        <r>
          <rPr>
            <b/>
            <sz val="9"/>
            <color indexed="81"/>
            <rFont val="Tahoma"/>
            <family val="2"/>
          </rPr>
          <t>CAS:</t>
        </r>
        <r>
          <rPr>
            <sz val="9"/>
            <color indexed="81"/>
            <rFont val="Tahoma"/>
            <family val="2"/>
          </rPr>
          <t xml:space="preserve">
Marca del ítem.</t>
        </r>
      </text>
    </comment>
    <comment ref="O2" authorId="1" shapeId="0">
      <text>
        <r>
          <rPr>
            <b/>
            <sz val="9"/>
            <color indexed="81"/>
            <rFont val="Tahoma"/>
            <family val="2"/>
          </rPr>
          <t>CAS:</t>
        </r>
        <r>
          <rPr>
            <sz val="9"/>
            <color indexed="81"/>
            <rFont val="Tahoma"/>
            <family val="2"/>
          </rPr>
          <t xml:space="preserve">
Model del ítem.</t>
        </r>
      </text>
    </comment>
    <comment ref="P2" authorId="1" shapeId="0">
      <text>
        <r>
          <rPr>
            <b/>
            <sz val="9"/>
            <color indexed="81"/>
            <rFont val="Tahoma"/>
            <family val="2"/>
          </rPr>
          <t>CAS:</t>
        </r>
        <r>
          <rPr>
            <sz val="9"/>
            <color indexed="81"/>
            <rFont val="Tahoma"/>
            <family val="2"/>
          </rPr>
          <t xml:space="preserve">
Categoría Management del ítem.</t>
        </r>
      </text>
    </comment>
    <comment ref="Q2" authorId="2" shapeId="0">
      <text>
        <r>
          <rPr>
            <b/>
            <sz val="9"/>
            <color indexed="81"/>
            <rFont val="Tahoma"/>
            <family val="2"/>
          </rPr>
          <t>RAMCAS:</t>
        </r>
        <r>
          <rPr>
            <sz val="9"/>
            <color indexed="81"/>
            <rFont val="Tahoma"/>
            <family val="2"/>
          </rPr>
          <t xml:space="preserve">
Dato si el ítem es actualmente nuevo o ya tiene reposiciones anteriores.
El número 1 significa que sí es nuevo, mientras que el número 0 significa que no es nuevo.</t>
        </r>
      </text>
    </comment>
    <comment ref="R2" authorId="1" shapeId="0">
      <text>
        <r>
          <rPr>
            <b/>
            <sz val="9"/>
            <color indexed="81"/>
            <rFont val="Tahoma"/>
            <family val="2"/>
          </rPr>
          <t>CAS:</t>
        </r>
        <r>
          <rPr>
            <sz val="9"/>
            <color indexed="81"/>
            <rFont val="Tahoma"/>
            <family val="2"/>
          </rPr>
          <t xml:space="preserve">
Categoría propia de la empresa que tipifica al ítem.</t>
        </r>
      </text>
    </comment>
    <comment ref="S2" authorId="1" shapeId="0">
      <text>
        <r>
          <rPr>
            <b/>
            <sz val="9"/>
            <color indexed="81"/>
            <rFont val="Tahoma"/>
            <family val="2"/>
          </rPr>
          <t xml:space="preserve">CAS:
</t>
        </r>
        <r>
          <rPr>
            <sz val="9"/>
            <color indexed="81"/>
            <rFont val="Tahoma"/>
            <family val="2"/>
          </rPr>
          <t>Categoría propia de la empresa que tipifica al ítem.</t>
        </r>
      </text>
    </comment>
    <comment ref="T2" authorId="1" shapeId="0">
      <text>
        <r>
          <rPr>
            <b/>
            <sz val="9"/>
            <color indexed="81"/>
            <rFont val="Tahoma"/>
            <family val="2"/>
          </rPr>
          <t xml:space="preserve">CAS:
</t>
        </r>
        <r>
          <rPr>
            <sz val="9"/>
            <color indexed="81"/>
            <rFont val="Tahoma"/>
            <family val="2"/>
          </rPr>
          <t>Categoría propia de la empresa que tipifica al ítem.</t>
        </r>
      </text>
    </comment>
    <comment ref="U2" authorId="1" shapeId="0">
      <text>
        <r>
          <rPr>
            <b/>
            <sz val="9"/>
            <color indexed="81"/>
            <rFont val="Tahoma"/>
            <family val="2"/>
          </rPr>
          <t xml:space="preserve">CAS:
</t>
        </r>
        <r>
          <rPr>
            <sz val="9"/>
            <color indexed="81"/>
            <rFont val="Tahoma"/>
            <family val="2"/>
          </rPr>
          <t>Categoría propia de la empresa que tipifica al ítem.</t>
        </r>
      </text>
    </comment>
    <comment ref="V2" authorId="1" shapeId="0">
      <text>
        <r>
          <rPr>
            <b/>
            <sz val="9"/>
            <color indexed="81"/>
            <rFont val="Tahoma"/>
            <family val="2"/>
          </rPr>
          <t xml:space="preserve">CAS:
</t>
        </r>
        <r>
          <rPr>
            <sz val="9"/>
            <color indexed="81"/>
            <rFont val="Tahoma"/>
            <family val="2"/>
          </rPr>
          <t>Categoría propia de la empresa que tipifica al ítem.</t>
        </r>
      </text>
    </comment>
    <comment ref="W2" authorId="0" shapeId="0">
      <text>
        <r>
          <rPr>
            <b/>
            <sz val="9"/>
            <color indexed="81"/>
            <rFont val="Tahoma"/>
            <family val="2"/>
          </rPr>
          <t>CAS:</t>
        </r>
        <r>
          <rPr>
            <sz val="9"/>
            <color indexed="81"/>
            <rFont val="Tahoma"/>
            <family val="2"/>
          </rPr>
          <t xml:space="preserve">
Clasificación del ítem para saber si es parte del portafolio de productos, si es nuevo o algún otro estatus que tenga presente.</t>
        </r>
      </text>
    </comment>
    <comment ref="X2" authorId="0" shapeId="0">
      <text>
        <r>
          <rPr>
            <b/>
            <sz val="9"/>
            <color indexed="81"/>
            <rFont val="Tahoma"/>
            <family val="2"/>
          </rPr>
          <t>CAS:</t>
        </r>
        <r>
          <rPr>
            <sz val="9"/>
            <color indexed="81"/>
            <rFont val="Tahoma"/>
            <family val="2"/>
          </rPr>
          <t xml:space="preserve">
Determina la importancia relativa del ítem como parte de un portafolio.
</t>
        </r>
      </text>
    </comment>
    <comment ref="Y2" authorId="0" shapeId="0">
      <text>
        <r>
          <rPr>
            <b/>
            <sz val="9"/>
            <color indexed="81"/>
            <rFont val="Tahoma"/>
            <family val="2"/>
          </rPr>
          <t>CAS:</t>
        </r>
        <r>
          <rPr>
            <sz val="9"/>
            <color indexed="81"/>
            <rFont val="Tahoma"/>
            <family val="2"/>
          </rPr>
          <t xml:space="preserve">
Jefe de la Línea o Agrupación Correspondiente.</t>
        </r>
      </text>
    </comment>
    <comment ref="Z2" authorId="0" shapeId="0">
      <text>
        <r>
          <rPr>
            <b/>
            <sz val="8"/>
            <color indexed="81"/>
            <rFont val="Tahoma"/>
            <family val="2"/>
          </rPr>
          <t>CAS:</t>
        </r>
        <r>
          <rPr>
            <sz val="8"/>
            <color indexed="81"/>
            <rFont val="Tahoma"/>
            <family val="2"/>
          </rPr>
          <t xml:space="preserve">
El Costo Totalmente Variable del Ítem.</t>
        </r>
      </text>
    </comment>
    <comment ref="AA2" authorId="0" shapeId="0">
      <text>
        <r>
          <rPr>
            <b/>
            <sz val="8"/>
            <color indexed="81"/>
            <rFont val="Tahoma"/>
            <family val="2"/>
          </rPr>
          <t>CAS:</t>
        </r>
        <r>
          <rPr>
            <sz val="8"/>
            <color indexed="81"/>
            <rFont val="Tahoma"/>
            <family val="2"/>
          </rPr>
          <t xml:space="preserve">
El Precio de Venta del Ítem en la Bodega Actual.</t>
        </r>
      </text>
    </comment>
    <comment ref="AB2" authorId="0" shapeId="0">
      <text>
        <r>
          <rPr>
            <b/>
            <sz val="9"/>
            <color indexed="81"/>
            <rFont val="Tahoma"/>
            <family val="2"/>
          </rPr>
          <t>CAS:</t>
        </r>
        <r>
          <rPr>
            <sz val="9"/>
            <color indexed="81"/>
            <rFont val="Tahoma"/>
            <family val="2"/>
          </rPr>
          <t xml:space="preserve">
Precio vigente de promoción.</t>
        </r>
      </text>
    </comment>
    <comment ref="AE2" authorId="0" shapeId="0">
      <text>
        <r>
          <rPr>
            <b/>
            <sz val="9"/>
            <color indexed="81"/>
            <rFont val="Tahoma"/>
            <family val="2"/>
          </rPr>
          <t>CAS:</t>
        </r>
        <r>
          <rPr>
            <sz val="9"/>
            <color indexed="81"/>
            <rFont val="Tahoma"/>
            <family val="2"/>
          </rPr>
          <t xml:space="preserve">
El número de semanas que componen el horizonte de análisis para el Ítem en la bodega actual.</t>
        </r>
      </text>
    </comment>
    <comment ref="AF2" authorId="0" shapeId="0">
      <text>
        <r>
          <rPr>
            <b/>
            <sz val="9"/>
            <color indexed="81"/>
            <rFont val="Tahoma"/>
            <family val="2"/>
          </rPr>
          <t>CAS:</t>
        </r>
        <r>
          <rPr>
            <sz val="9"/>
            <color indexed="81"/>
            <rFont val="Tahoma"/>
            <family val="2"/>
          </rPr>
          <t xml:space="preserve">
Tiempo de suministro para el presente ítem bodega expresado en semanas.</t>
        </r>
      </text>
    </comment>
    <comment ref="AG2" authorId="0" shapeId="0">
      <text>
        <r>
          <rPr>
            <b/>
            <sz val="9"/>
            <color indexed="81"/>
            <rFont val="Tahoma"/>
            <family val="2"/>
          </rPr>
          <t>CAS:</t>
        </r>
        <r>
          <rPr>
            <sz val="9"/>
            <color indexed="81"/>
            <rFont val="Tahoma"/>
            <family val="2"/>
          </rPr>
          <t xml:space="preserve">
Frecuencia de Reposición para el presente ítem bodega expresado en semanas.</t>
        </r>
      </text>
    </comment>
    <comment ref="AH2" authorId="0" shapeId="0">
      <text>
        <r>
          <rPr>
            <b/>
            <sz val="9"/>
            <color indexed="81"/>
            <rFont val="Tahoma"/>
            <family val="2"/>
          </rPr>
          <t>CAS:</t>
        </r>
        <r>
          <rPr>
            <sz val="9"/>
            <color indexed="81"/>
            <rFont val="Tahoma"/>
            <family val="2"/>
          </rPr>
          <t xml:space="preserve">
Define si la Gestión Dinámica de Buffers (GDB) está activa en el presente Ítem. El valor 1 significa activa mientras que el valor 0 significa inactiva.</t>
        </r>
      </text>
    </comment>
    <comment ref="AI2" authorId="0" shapeId="0">
      <text>
        <r>
          <rPr>
            <b/>
            <sz val="9"/>
            <color indexed="81"/>
            <rFont val="Tahoma"/>
            <family val="2"/>
          </rPr>
          <t>CAS:</t>
        </r>
        <r>
          <rPr>
            <sz val="9"/>
            <color indexed="81"/>
            <rFont val="Tahoma"/>
            <family val="2"/>
          </rPr>
          <t xml:space="preserve">
Muestra si un cambio está permitido, y la dirección en la que está permitido (aumento y/o disminución).</t>
        </r>
      </text>
    </comment>
    <comment ref="AJ2" authorId="0" shapeId="0">
      <text>
        <r>
          <rPr>
            <b/>
            <sz val="9"/>
            <color indexed="81"/>
            <rFont val="Tahoma"/>
            <family val="2"/>
          </rPr>
          <t>CAS:</t>
        </r>
        <r>
          <rPr>
            <sz val="9"/>
            <color indexed="81"/>
            <rFont val="Tahoma"/>
            <family val="2"/>
          </rPr>
          <t xml:space="preserve">
Define la Etapa en la cual se encuentra el producto.</t>
        </r>
      </text>
    </comment>
    <comment ref="AK2" authorId="2" shapeId="0">
      <text>
        <r>
          <rPr>
            <b/>
            <sz val="9"/>
            <color indexed="81"/>
            <rFont val="Tahoma"/>
            <family val="2"/>
          </rPr>
          <t>RAMCAS:</t>
        </r>
        <r>
          <rPr>
            <sz val="9"/>
            <color indexed="81"/>
            <rFont val="Tahoma"/>
            <family val="2"/>
          </rPr>
          <t xml:space="preserve">
Define qué tan bien está reponiéndose al buffer. Tiene mensajes que aparecen solos o combinados de acuerdo a la realidad de reposición del SKU.
MAC = Mal Atendido Cantidad cuando el Servicio es menor al 75%.
SAC = Sobre Atendido Cantidad cuando el Servicio es mayor al 125%.
MFR = Mal Atendido Frecuencia Reposición cuando no se ha hecho un pedido en la frecuencia descrita en el  Perfil. **
MTS = Mal Atendido Tiempo de Suministro cuando una reposición no llega cuando ya ha pasado más tiempo del establecido en el Perfil.**
** Al lado de estas alertas se despliega el número de días por el que se ha pasado.
</t>
        </r>
      </text>
    </comment>
    <comment ref="AL2" authorId="3" shapeId="0">
      <text>
        <r>
          <rPr>
            <b/>
            <sz val="8"/>
            <color indexed="81"/>
            <rFont val="Tahoma"/>
            <family val="2"/>
          </rPr>
          <t>RAMCAS:</t>
        </r>
        <r>
          <rPr>
            <sz val="8"/>
            <color indexed="81"/>
            <rFont val="Tahoma"/>
            <family val="2"/>
          </rPr>
          <t xml:space="preserve">
El nuevo buffer sugerido por la Gestión Dinámica de Buffers. Si se pinta su texto de verde significa una reducción, mientras que si se pinta de rojo, significa un aumento.</t>
        </r>
      </text>
    </comment>
    <comment ref="AM2" authorId="0" shapeId="0">
      <text>
        <r>
          <rPr>
            <b/>
            <sz val="9"/>
            <color indexed="81"/>
            <rFont val="Tahoma"/>
            <family val="2"/>
          </rPr>
          <t>CAS:</t>
        </r>
        <r>
          <rPr>
            <sz val="9"/>
            <color indexed="81"/>
            <rFont val="Tahoma"/>
            <family val="2"/>
          </rPr>
          <t xml:space="preserve">
Define verbalmente algún comportamiento excepcional del sku.</t>
        </r>
      </text>
    </comment>
    <comment ref="AN2" authorId="0" shapeId="0">
      <text>
        <r>
          <rPr>
            <b/>
            <sz val="9"/>
            <color indexed="81"/>
            <rFont val="Tahoma"/>
            <family val="2"/>
          </rPr>
          <t>CAS:</t>
        </r>
        <r>
          <rPr>
            <sz val="9"/>
            <color indexed="81"/>
            <rFont val="Tahoma"/>
            <family val="2"/>
          </rPr>
          <t xml:space="preserve">
Consumo histórico promedio semanal del sku en los últimos cuatro meses.</t>
        </r>
      </text>
    </comment>
    <comment ref="AO2" authorId="4" shapeId="0">
      <text>
        <r>
          <rPr>
            <b/>
            <sz val="9"/>
            <color indexed="81"/>
            <rFont val="Tahoma"/>
            <family val="2"/>
          </rPr>
          <t>CAS:</t>
        </r>
        <r>
          <rPr>
            <sz val="9"/>
            <color indexed="81"/>
            <rFont val="Tahoma"/>
            <family val="2"/>
          </rPr>
          <t xml:space="preserve">
Define para cuántos meses está calculado el buffer dado el consumo promedio.</t>
        </r>
      </text>
    </comment>
    <comment ref="AP2" authorId="4" shapeId="0">
      <text>
        <r>
          <rPr>
            <b/>
            <sz val="9"/>
            <color indexed="81"/>
            <rFont val="Tahoma"/>
            <family val="2"/>
          </rPr>
          <t xml:space="preserve">CAS:
</t>
        </r>
        <r>
          <rPr>
            <sz val="9"/>
            <color indexed="81"/>
            <rFont val="Tahoma"/>
            <family val="2"/>
          </rPr>
          <t>Define para cuántos meses hay inventario en la tubería dado el consumo promedio.</t>
        </r>
      </text>
    </comment>
    <comment ref="AQ2" authorId="0" shapeId="0">
      <text>
        <r>
          <rPr>
            <b/>
            <sz val="9"/>
            <color indexed="81"/>
            <rFont val="Tahoma"/>
            <family val="2"/>
          </rPr>
          <t>CAS:</t>
        </r>
        <r>
          <rPr>
            <sz val="9"/>
            <color indexed="81"/>
            <rFont val="Tahoma"/>
            <family val="2"/>
          </rPr>
          <t xml:space="preserve">
Determina para una cobertura de cuántos meses nuestro proveedor nos está obligando a comprarle al solicitarnos un pedido mínimo.</t>
        </r>
      </text>
    </comment>
    <comment ref="AR2" authorId="4" shapeId="0">
      <text>
        <r>
          <rPr>
            <b/>
            <sz val="9"/>
            <color indexed="81"/>
            <rFont val="Tahoma"/>
            <family val="2"/>
          </rPr>
          <t>CAS:</t>
        </r>
        <r>
          <rPr>
            <sz val="9"/>
            <color indexed="81"/>
            <rFont val="Tahoma"/>
            <family val="2"/>
          </rPr>
          <t xml:space="preserve">
Define cuántos días de un mes en el pasado, el sku ha estado desabastecido.</t>
        </r>
      </text>
    </comment>
    <comment ref="AS2" authorId="0" shapeId="0">
      <text>
        <r>
          <rPr>
            <b/>
            <sz val="9"/>
            <color indexed="81"/>
            <rFont val="Tahoma"/>
            <family val="2"/>
          </rPr>
          <t>CAS:</t>
        </r>
        <r>
          <rPr>
            <sz val="9"/>
            <color indexed="81"/>
            <rFont val="Tahoma"/>
            <family val="2"/>
          </rPr>
          <t xml:space="preserve">
Estimación de ventas perdidas.</t>
        </r>
      </text>
    </comment>
    <comment ref="AT2" authorId="0" shapeId="0">
      <text>
        <r>
          <rPr>
            <b/>
            <sz val="9"/>
            <color indexed="81"/>
            <rFont val="Tahoma"/>
            <family val="2"/>
          </rPr>
          <t>CAS:</t>
        </r>
        <r>
          <rPr>
            <sz val="9"/>
            <color indexed="81"/>
            <rFont val="Tahoma"/>
            <family val="2"/>
          </rPr>
          <t xml:space="preserve">
Fecha hasta la cual no se permitirán sugerencias de BUF.</t>
        </r>
      </text>
    </comment>
    <comment ref="AU2" authorId="0" shapeId="0">
      <text>
        <r>
          <rPr>
            <b/>
            <sz val="9"/>
            <color indexed="81"/>
            <rFont val="Tahoma"/>
            <family val="2"/>
          </rPr>
          <t>CAS:</t>
        </r>
        <r>
          <rPr>
            <sz val="9"/>
            <color indexed="81"/>
            <rFont val="Tahoma"/>
            <family val="2"/>
          </rPr>
          <t xml:space="preserve">
Fecha hasta la cual no se permitirán sugerencias de RED.</t>
        </r>
      </text>
    </comment>
    <comment ref="AV2" authorId="0" shapeId="0">
      <text>
        <r>
          <rPr>
            <b/>
            <sz val="9"/>
            <color indexed="81"/>
            <rFont val="Tahoma"/>
            <family val="2"/>
          </rPr>
          <t>CAS:</t>
        </r>
        <r>
          <rPr>
            <sz val="9"/>
            <color indexed="81"/>
            <rFont val="Tahoma"/>
            <family val="2"/>
          </rPr>
          <t xml:space="preserve">
Fecha hasta la cual no se permitirán sugerencias de GDB.</t>
        </r>
      </text>
    </comment>
    <comment ref="AW2" authorId="0" shapeId="0">
      <text>
        <r>
          <rPr>
            <b/>
            <sz val="9"/>
            <color indexed="81"/>
            <rFont val="Tahoma"/>
            <family val="2"/>
          </rPr>
          <t>CAS:</t>
        </r>
        <r>
          <rPr>
            <sz val="9"/>
            <color indexed="81"/>
            <rFont val="Tahoma"/>
            <family val="2"/>
          </rPr>
          <t xml:space="preserve">
Proveedor seleccionado para hacer las transferencias a la bodega correspondiente. No es necesariamente el proveedor primario.</t>
        </r>
      </text>
    </comment>
    <comment ref="AX2" authorId="0" shapeId="0">
      <text>
        <r>
          <rPr>
            <b/>
            <sz val="9"/>
            <color indexed="81"/>
            <rFont val="Tahoma"/>
            <family val="2"/>
          </rPr>
          <t>CAS:</t>
        </r>
        <r>
          <rPr>
            <sz val="9"/>
            <color indexed="81"/>
            <rFont val="Tahoma"/>
            <family val="2"/>
          </rPr>
          <t xml:space="preserve">
Define los parámetros de Horizonte, Tiempo de Suministro, Frecuencia de Reposición y Tiempo de Nivel de Servicio que estarán vigentes para el presente Ítem en la presente bodega en el presente archivo.</t>
        </r>
      </text>
    </comment>
    <comment ref="AY2" authorId="0" shapeId="0">
      <text>
        <r>
          <rPr>
            <b/>
            <sz val="9"/>
            <color indexed="81"/>
            <rFont val="Tahoma"/>
            <family val="2"/>
          </rPr>
          <t>CAS:</t>
        </r>
        <r>
          <rPr>
            <sz val="9"/>
            <color indexed="81"/>
            <rFont val="Tahoma"/>
            <family val="2"/>
          </rPr>
          <t xml:space="preserve">
Parámetro. Buffer mínimo al cual la GDB está permitida reducir el buffer actual.</t>
        </r>
      </text>
    </comment>
    <comment ref="AZ2" authorId="4" shapeId="0">
      <text>
        <r>
          <rPr>
            <b/>
            <sz val="9"/>
            <color indexed="81"/>
            <rFont val="Tahoma"/>
            <family val="2"/>
          </rPr>
          <t>CAS:</t>
        </r>
        <r>
          <rPr>
            <sz val="9"/>
            <color indexed="81"/>
            <rFont val="Tahoma"/>
            <family val="2"/>
          </rPr>
          <t xml:space="preserve">
Parámetro. Buffer máximo al cual la GDB está permitida aumentar el buffer actual.</t>
        </r>
      </text>
    </comment>
    <comment ref="BA2" authorId="0" shapeId="0">
      <text>
        <r>
          <rPr>
            <b/>
            <sz val="9"/>
            <color indexed="81"/>
            <rFont val="Tahoma"/>
            <family val="2"/>
          </rPr>
          <t>CAS:</t>
        </r>
        <r>
          <rPr>
            <sz val="9"/>
            <color indexed="81"/>
            <rFont val="Tahoma"/>
            <family val="2"/>
          </rPr>
          <t xml:space="preserve">
Parámetro. Pedido mínimo que acepta el proveedor de esta bodega para este ítem específico. Poner 1 si no hay Pedido Mínimo.</t>
        </r>
      </text>
    </comment>
    <comment ref="BB2" authorId="0" shapeId="0">
      <text>
        <r>
          <rPr>
            <b/>
            <sz val="9"/>
            <color indexed="81"/>
            <rFont val="Tahoma"/>
            <family val="2"/>
          </rPr>
          <t>CAS:</t>
        </r>
        <r>
          <rPr>
            <sz val="9"/>
            <color indexed="81"/>
            <rFont val="Tahoma"/>
            <family val="2"/>
          </rPr>
          <t xml:space="preserve">
Campo en el que se elige el perfil de Redondeo de Pedido Mínimo para determinar el cálculo con respecto al Pedido Calculado.</t>
        </r>
      </text>
    </comment>
    <comment ref="BC2" authorId="0" shapeId="0">
      <text>
        <r>
          <rPr>
            <b/>
            <sz val="9"/>
            <color indexed="81"/>
            <rFont val="Tahoma"/>
            <family val="2"/>
          </rPr>
          <t xml:space="preserve">CAS:
</t>
        </r>
        <r>
          <rPr>
            <sz val="9"/>
            <color indexed="81"/>
            <rFont val="Tahoma"/>
            <family val="2"/>
          </rPr>
          <t>Parámetro. Pedido mínimo que acepta el proveedor de esta bodega para el grupo al cual pertenece este ítem.</t>
        </r>
      </text>
    </comment>
    <comment ref="BD2" authorId="0" shapeId="0">
      <text>
        <r>
          <rPr>
            <b/>
            <sz val="9"/>
            <color indexed="81"/>
            <rFont val="Tahoma"/>
            <family val="2"/>
          </rPr>
          <t>CAS:</t>
        </r>
        <r>
          <rPr>
            <sz val="9"/>
            <color indexed="81"/>
            <rFont val="Tahoma"/>
            <family val="2"/>
          </rPr>
          <t xml:space="preserve">
Los pedidos tienen que calcularse como múltiplos de esta cantidad. Poner 1 si no hay unidade de empaque.</t>
        </r>
      </text>
    </comment>
    <comment ref="BE2" authorId="0" shapeId="0">
      <text>
        <r>
          <rPr>
            <b/>
            <sz val="9"/>
            <color indexed="81"/>
            <rFont val="Tahoma"/>
            <family val="2"/>
          </rPr>
          <t>CAS:</t>
        </r>
        <r>
          <rPr>
            <sz val="9"/>
            <color indexed="81"/>
            <rFont val="Tahoma"/>
            <family val="2"/>
          </rPr>
          <t xml:space="preserve">
Se define si el Pedido Calculado utilizará un redondeo Normal (=), Hacia Arriba (+) o Hacia Abajo (-) de acuerdo a la Unidad de Empaque.</t>
        </r>
      </text>
    </comment>
    <comment ref="BF2" authorId="0" shapeId="0">
      <text>
        <r>
          <rPr>
            <b/>
            <sz val="9"/>
            <color indexed="81"/>
            <rFont val="Tahoma"/>
            <family val="2"/>
          </rPr>
          <t>CAS:</t>
        </r>
        <r>
          <rPr>
            <sz val="9"/>
            <color indexed="81"/>
            <rFont val="Tahoma"/>
            <family val="2"/>
          </rPr>
          <t xml:space="preserve">
Parámetro. Porcentaje de atención que se le dará al Pedido Calculado en caso que se necesite limitarlo por alguna causa.</t>
        </r>
      </text>
    </comment>
    <comment ref="BG2" authorId="0" shapeId="0">
      <text>
        <r>
          <rPr>
            <b/>
            <sz val="9"/>
            <color indexed="81"/>
            <rFont val="Tahoma"/>
            <family val="2"/>
          </rPr>
          <t>CAS:</t>
        </r>
        <r>
          <rPr>
            <sz val="9"/>
            <color indexed="81"/>
            <rFont val="Tahoma"/>
            <family val="2"/>
          </rPr>
          <t xml:space="preserve">
Parámetro. Valor unitario de la pérdida estimada de no tener en stock el Ítem.</t>
        </r>
      </text>
    </comment>
    <comment ref="BH2" authorId="0" shapeId="0">
      <text>
        <r>
          <rPr>
            <b/>
            <sz val="8"/>
            <color indexed="81"/>
            <rFont val="Tahoma"/>
            <family val="2"/>
          </rPr>
          <t xml:space="preserve">CAS: </t>
        </r>
        <r>
          <rPr>
            <sz val="8"/>
            <color indexed="81"/>
            <rFont val="Tahoma"/>
            <family val="2"/>
          </rPr>
          <t xml:space="preserve">Lugar donde se insertan observaciones del porqué se cambia o no se cambia un buffer o de algún otro asunto excepcional.
</t>
        </r>
      </text>
    </comment>
    <comment ref="BI2" authorId="0" shapeId="0">
      <text>
        <r>
          <rPr>
            <b/>
            <sz val="9"/>
            <color indexed="81"/>
            <rFont val="Tahoma"/>
            <family val="2"/>
          </rPr>
          <t>CAS:</t>
        </r>
        <r>
          <rPr>
            <sz val="9"/>
            <color indexed="81"/>
            <rFont val="Tahoma"/>
            <family val="2"/>
          </rPr>
          <t xml:space="preserve">
Nuevo Buffer que va a reemplazar al  buffer actual.
Si es aumento, se pinta el texto de rojo. Si es reducción, se pinta el texto de verde. Si se pretende cambiar de buffer al mismo buffer actual, el texto se pinta de azul.
Si se pretende bajar el buffer por debajo del buffer mínimo, se pinta el fondo negro y el texto rojo.
Si se pretende subir el buffer por encima del buffer máximo, se pinta el fondo negro y el texto verde.</t>
        </r>
      </text>
    </comment>
    <comment ref="BJ2" authorId="0" shapeId="0">
      <text>
        <r>
          <rPr>
            <b/>
            <sz val="8"/>
            <color indexed="81"/>
            <rFont val="Tahoma"/>
            <family val="2"/>
          </rPr>
          <t>CAS:</t>
        </r>
        <r>
          <rPr>
            <sz val="8"/>
            <color indexed="81"/>
            <rFont val="Tahoma"/>
            <family val="2"/>
          </rPr>
          <t xml:space="preserve">
Buffer Actual del ítem en la presente bodega.
Se pinta de rojo el fondo y amarillo el texto si ese ítem está por fuera de la GDB por estar mal atendido en cantidad o en tiempo y frecuencia de reposición.</t>
        </r>
      </text>
    </comment>
    <comment ref="BK2" authorId="0" shapeId="0">
      <text>
        <r>
          <rPr>
            <b/>
            <sz val="9"/>
            <color indexed="81"/>
            <rFont val="Tahoma"/>
            <family val="2"/>
          </rPr>
          <t>CAS:</t>
        </r>
        <r>
          <rPr>
            <sz val="9"/>
            <color indexed="81"/>
            <rFont val="Tahoma"/>
            <family val="2"/>
          </rPr>
          <t xml:space="preserve">
Buffer calculado de acuerdo al consumo y al tiempo de reposición.</t>
        </r>
      </text>
    </comment>
    <comment ref="BN2" authorId="0" shapeId="0">
      <text>
        <r>
          <rPr>
            <b/>
            <sz val="9"/>
            <color indexed="81"/>
            <rFont val="Tahoma"/>
            <family val="2"/>
          </rPr>
          <t>CAS:</t>
        </r>
        <r>
          <rPr>
            <sz val="9"/>
            <color indexed="81"/>
            <rFont val="Tahoma"/>
            <family val="2"/>
          </rPr>
          <t xml:space="preserve">
Color que representa el estado del buffer con respecto al Inventario Físico. Son iniciales: Verde (V), Amarillo (A), Rojo (R), Negro (N), Lila (L), Gris (G) .</t>
        </r>
      </text>
    </comment>
    <comment ref="BO2" authorId="0" shapeId="0">
      <text>
        <r>
          <rPr>
            <b/>
            <sz val="9"/>
            <color indexed="81"/>
            <rFont val="Tahoma"/>
            <family val="2"/>
          </rPr>
          <t>CAS:</t>
        </r>
        <r>
          <rPr>
            <sz val="9"/>
            <color indexed="81"/>
            <rFont val="Tahoma"/>
            <family val="2"/>
          </rPr>
          <t xml:space="preserve">
Color que representa el estado del buffer en relación al Inventario Proyectado. Son iniciales: Verde (V), Amarillo (A), Rojo (R), Negro (N), Lila (L), Gris (G) .</t>
        </r>
      </text>
    </comment>
    <comment ref="BP2" authorId="0" shapeId="0">
      <text>
        <r>
          <rPr>
            <b/>
            <sz val="9"/>
            <color indexed="81"/>
            <rFont val="Tahoma"/>
            <family val="2"/>
          </rPr>
          <t>CAS:</t>
        </r>
        <r>
          <rPr>
            <sz val="9"/>
            <color indexed="81"/>
            <rFont val="Tahoma"/>
            <family val="2"/>
          </rPr>
          <t xml:space="preserve">
Es el último buffer que tenía el Ítem antes del cambio ejecutado.</t>
        </r>
      </text>
    </comment>
    <comment ref="BQ2" authorId="0" shapeId="0">
      <text>
        <r>
          <rPr>
            <b/>
            <sz val="9"/>
            <color indexed="81"/>
            <rFont val="Tahoma"/>
            <family val="2"/>
          </rPr>
          <t>CAS:</t>
        </r>
        <r>
          <rPr>
            <sz val="9"/>
            <color indexed="81"/>
            <rFont val="Tahoma"/>
            <family val="2"/>
          </rPr>
          <t xml:space="preserve">
Buffer que estuvo vigente antes de empezar los cambios por estacionalidad.</t>
        </r>
      </text>
    </comment>
    <comment ref="BR2" authorId="0" shapeId="0">
      <text>
        <r>
          <rPr>
            <b/>
            <sz val="9"/>
            <color indexed="81"/>
            <rFont val="Tahoma"/>
            <family val="2"/>
          </rPr>
          <t>CAS:</t>
        </r>
        <r>
          <rPr>
            <sz val="9"/>
            <color indexed="81"/>
            <rFont val="Tahoma"/>
            <family val="2"/>
          </rPr>
          <t xml:space="preserve">
El buffer final al cual se espera llegar en plena etapa estacional luego de ejecutar los aumentos o disminuciones respectivos.</t>
        </r>
      </text>
    </comment>
    <comment ref="BS2" authorId="0" shapeId="0">
      <text>
        <r>
          <rPr>
            <b/>
            <sz val="8"/>
            <color indexed="81"/>
            <rFont val="Tahoma"/>
            <family val="2"/>
          </rPr>
          <t>CAS:</t>
        </r>
        <r>
          <rPr>
            <sz val="8"/>
            <color indexed="81"/>
            <rFont val="Tahoma"/>
            <family val="2"/>
          </rPr>
          <t xml:space="preserve">
Inventario Físico del proveedor prioritario para el Ítem en la presente bodega. Si es 1E+09 significa que no se conoce el valor exacto o es teóricamente infinito.</t>
        </r>
      </text>
    </comment>
    <comment ref="BT2" authorId="0" shapeId="0">
      <text>
        <r>
          <rPr>
            <b/>
            <sz val="9"/>
            <color indexed="81"/>
            <rFont val="Tahoma"/>
            <family val="2"/>
          </rPr>
          <t>CAS:</t>
        </r>
        <r>
          <rPr>
            <sz val="9"/>
            <color indexed="81"/>
            <rFont val="Tahoma"/>
            <family val="2"/>
          </rPr>
          <t xml:space="preserve">
Inventario Físico actual del Ítem en la bodega definida.</t>
        </r>
      </text>
    </comment>
    <comment ref="BU2" authorId="0" shapeId="0">
      <text>
        <r>
          <rPr>
            <b/>
            <sz val="9"/>
            <color indexed="81"/>
            <rFont val="Tahoma"/>
            <family val="2"/>
          </rPr>
          <t>CAS:</t>
        </r>
        <r>
          <rPr>
            <sz val="9"/>
            <color indexed="81"/>
            <rFont val="Tahoma"/>
            <family val="2"/>
          </rPr>
          <t xml:space="preserve">
Indica el porcentaje de consumo del buffer, siendo 0% equivalente a  que no se ha consumido nada y 100% que se ha consumido todo.</t>
        </r>
      </text>
    </comment>
    <comment ref="BV2" authorId="3" shapeId="0">
      <text>
        <r>
          <rPr>
            <b/>
            <sz val="8"/>
            <color indexed="81"/>
            <rFont val="Tahoma"/>
            <family val="2"/>
          </rPr>
          <t xml:space="preserve">CAS:
</t>
        </r>
        <r>
          <rPr>
            <sz val="8"/>
            <color indexed="81"/>
            <rFont val="Tahoma"/>
            <family val="2"/>
          </rPr>
          <t>El Inventario en Tránsito del Ítem.</t>
        </r>
      </text>
    </comment>
    <comment ref="BW2" authorId="0" shapeId="0">
      <text>
        <r>
          <rPr>
            <b/>
            <sz val="9"/>
            <color indexed="81"/>
            <rFont val="Tahoma"/>
            <family val="2"/>
          </rPr>
          <t>CAS:</t>
        </r>
        <r>
          <rPr>
            <sz val="9"/>
            <color indexed="81"/>
            <rFont val="Tahoma"/>
            <family val="2"/>
          </rPr>
          <t xml:space="preserve">
Inventario en tránsito que está en proceso de negociación.</t>
        </r>
      </text>
    </comment>
    <comment ref="BX2" authorId="0" shapeId="0">
      <text>
        <r>
          <rPr>
            <b/>
            <sz val="9"/>
            <color indexed="81"/>
            <rFont val="Tahoma"/>
            <family val="2"/>
          </rPr>
          <t>CAS:</t>
        </r>
        <r>
          <rPr>
            <sz val="9"/>
            <color indexed="81"/>
            <rFont val="Tahoma"/>
            <family val="2"/>
          </rPr>
          <t xml:space="preserve">
Inventario en tránsito que está en proceso de producción.</t>
        </r>
      </text>
    </comment>
    <comment ref="BY2" authorId="0" shapeId="0">
      <text>
        <r>
          <rPr>
            <b/>
            <sz val="9"/>
            <color indexed="81"/>
            <rFont val="Tahoma"/>
            <family val="2"/>
          </rPr>
          <t>CAS:</t>
        </r>
        <r>
          <rPr>
            <sz val="9"/>
            <color indexed="81"/>
            <rFont val="Tahoma"/>
            <family val="2"/>
          </rPr>
          <t xml:space="preserve">
Inventario en tránsito que está ya embarcado.</t>
        </r>
      </text>
    </comment>
    <comment ref="BZ2" authorId="3" shapeId="0">
      <text>
        <r>
          <rPr>
            <b/>
            <sz val="8"/>
            <color indexed="81"/>
            <rFont val="Tahoma"/>
            <family val="2"/>
          </rPr>
          <t>CAS:</t>
        </r>
        <r>
          <rPr>
            <sz val="8"/>
            <color indexed="81"/>
            <rFont val="Tahoma"/>
            <family val="2"/>
          </rPr>
          <t xml:space="preserve">
Inventario que no se ha podido embarcar al cliente, y se ha comprometido en entregarlo apenas haya disponibilidad.</t>
        </r>
      </text>
    </comment>
    <comment ref="CA2" authorId="3" shapeId="0">
      <text>
        <r>
          <rPr>
            <b/>
            <sz val="8"/>
            <color indexed="81"/>
            <rFont val="Tahoma"/>
            <family val="2"/>
          </rPr>
          <t>CAS:</t>
        </r>
        <r>
          <rPr>
            <sz val="8"/>
            <color indexed="81"/>
            <rFont val="Tahoma"/>
            <family val="2"/>
          </rPr>
          <t xml:space="preserve">
Inventario que se ha pedido al proveedor, pero que por falta de disponibilidad no ha entregado, pero ha quedado comprometido en hacerlo cuando disponga de la mercadería.</t>
        </r>
      </text>
    </comment>
    <comment ref="CB2" authorId="3" shapeId="0">
      <text>
        <r>
          <rPr>
            <b/>
            <sz val="8"/>
            <color indexed="81"/>
            <rFont val="Tahoma"/>
            <family val="2"/>
          </rPr>
          <t>Carlos Semanate:</t>
        </r>
        <r>
          <rPr>
            <sz val="8"/>
            <color indexed="81"/>
            <rFont val="Tahoma"/>
            <family val="2"/>
          </rPr>
          <t xml:space="preserve">
Inventario Proyectado igual al
Inv Fis+Tráns-Compr+Backord</t>
        </r>
      </text>
    </comment>
    <comment ref="CC2" authorId="4" shapeId="0">
      <text>
        <r>
          <rPr>
            <sz val="9"/>
            <color indexed="81"/>
            <rFont val="Tahoma"/>
            <family val="2"/>
          </rPr>
          <t>CAS:
Indica el porcentaje de consumo del buffer, siendo 0% equivalente a  que no se ha consumido nada y 100% que se ha consumido todo, pero basado en el inventario proyectado.</t>
        </r>
      </text>
    </comment>
    <comment ref="CD2" authorId="0" shapeId="0">
      <text>
        <r>
          <rPr>
            <b/>
            <sz val="9"/>
            <color indexed="81"/>
            <rFont val="Tahoma"/>
            <family val="2"/>
          </rPr>
          <t>CAS:</t>
        </r>
        <r>
          <rPr>
            <sz val="9"/>
            <color indexed="81"/>
            <rFont val="Tahoma"/>
            <family val="2"/>
          </rPr>
          <t xml:space="preserve">
Unidades que han ingresado en el último día a la bodega del presente ítem.</t>
        </r>
      </text>
    </comment>
    <comment ref="CE2" authorId="0" shapeId="0">
      <text>
        <r>
          <rPr>
            <b/>
            <sz val="9"/>
            <color indexed="81"/>
            <rFont val="Tahoma"/>
            <family val="2"/>
          </rPr>
          <t>CAS:</t>
        </r>
        <r>
          <rPr>
            <sz val="9"/>
            <color indexed="81"/>
            <rFont val="Tahoma"/>
            <family val="2"/>
          </rPr>
          <t xml:space="preserve">
Unidades que han salido en el último día de la bodega del presente ítem.</t>
        </r>
      </text>
    </comment>
    <comment ref="CF2" authorId="3" shapeId="0">
      <text>
        <r>
          <rPr>
            <b/>
            <sz val="8"/>
            <color indexed="81"/>
            <rFont val="Tahoma"/>
            <family val="2"/>
          </rPr>
          <t>Carlos Semanate:</t>
        </r>
        <r>
          <rPr>
            <sz val="8"/>
            <color indexed="81"/>
            <rFont val="Tahoma"/>
            <family val="2"/>
          </rPr>
          <t xml:space="preserve">
Cantidad sugerida para pedir al proveedor y así regirse a la disciplina del buffer. 
Se pinta de amarillo, rojo, verde o negro dependiendo de qué tan cerca está para que se cumpla la Frecuencia de Reposición pactada desde la última fecha que se inició una transferencia.</t>
        </r>
      </text>
    </comment>
    <comment ref="CG2" authorId="0" shapeId="0">
      <text>
        <r>
          <rPr>
            <b/>
            <sz val="9"/>
            <color indexed="81"/>
            <rFont val="Tahoma"/>
            <family val="2"/>
          </rPr>
          <t>CAS:</t>
        </r>
        <r>
          <rPr>
            <sz val="9"/>
            <color indexed="81"/>
            <rFont val="Tahoma"/>
            <family val="2"/>
          </rPr>
          <t xml:space="preserve">
Dados el buffer actual con la frecuencia de reposición y el tiempo de reposición, se calcula el pedido promedio para satisfacer al buffer.</t>
        </r>
      </text>
    </comment>
    <comment ref="CH2" authorId="3" shapeId="0">
      <text>
        <r>
          <rPr>
            <b/>
            <sz val="8"/>
            <color indexed="81"/>
            <rFont val="Tahoma"/>
            <family val="2"/>
          </rPr>
          <t>CAS:</t>
        </r>
        <r>
          <rPr>
            <sz val="8"/>
            <color indexed="81"/>
            <rFont val="Tahoma"/>
            <family val="2"/>
          </rPr>
          <t xml:space="preserve">
Cantidad que se va a pedir realmente.</t>
        </r>
      </text>
    </comment>
    <comment ref="CI2" authorId="0" shapeId="0">
      <text>
        <r>
          <rPr>
            <b/>
            <sz val="9"/>
            <color indexed="81"/>
            <rFont val="Tahoma"/>
            <family val="2"/>
          </rPr>
          <t>CAS:</t>
        </r>
        <r>
          <rPr>
            <sz val="9"/>
            <color indexed="81"/>
            <rFont val="Tahoma"/>
            <family val="2"/>
          </rPr>
          <t xml:space="preserve">
Muestra el Calendario Estacional que sigue el ítem.</t>
        </r>
      </text>
    </comment>
    <comment ref="CJ2" authorId="0" shapeId="0">
      <text>
        <r>
          <rPr>
            <b/>
            <sz val="9"/>
            <color indexed="81"/>
            <rFont val="Tahoma"/>
            <family val="2"/>
          </rPr>
          <t>CAS:</t>
        </r>
        <r>
          <rPr>
            <sz val="9"/>
            <color indexed="81"/>
            <rFont val="Tahoma"/>
            <family val="2"/>
          </rPr>
          <t xml:space="preserve">
Indica si el ítem está dentro del período Estacional que proviene de su Calendario Estacional. Indica las acciones que debe tomar el Controlador de Buffers para responder a los cambios en Estacionalidad.</t>
        </r>
      </text>
    </comment>
    <comment ref="CK2" authorId="0" shapeId="0">
      <text>
        <r>
          <rPr>
            <b/>
            <sz val="9"/>
            <color indexed="81"/>
            <rFont val="Tahoma"/>
            <family val="2"/>
          </rPr>
          <t>CAS:</t>
        </r>
        <r>
          <rPr>
            <sz val="9"/>
            <color indexed="81"/>
            <rFont val="Tahoma"/>
            <family val="2"/>
          </rPr>
          <t xml:space="preserve">
Indica la etapa de aumento o disminución de buffers en la que se encuentra el Ítem para guiar al Controlador de Buffers.</t>
        </r>
      </text>
    </comment>
    <comment ref="CL2" authorId="0" shapeId="0">
      <text>
        <r>
          <rPr>
            <b/>
            <sz val="9"/>
            <color indexed="81"/>
            <rFont val="Tahoma"/>
            <family val="2"/>
          </rPr>
          <t>CAS:</t>
        </r>
        <r>
          <rPr>
            <sz val="9"/>
            <color indexed="81"/>
            <rFont val="Tahoma"/>
            <family val="2"/>
          </rPr>
          <t xml:space="preserve">
Trúput Dólar Día: Valor acumulado del trúput de los items que están en peligro o que ya han quedado en cero. Medida del estado de cumplimiento del buffer.</t>
        </r>
      </text>
    </comment>
    <comment ref="CM2" authorId="0" shapeId="0">
      <text>
        <r>
          <rPr>
            <b/>
            <sz val="9"/>
            <color indexed="81"/>
            <rFont val="Tahoma"/>
            <family val="2"/>
          </rPr>
          <t>CAS:</t>
        </r>
        <r>
          <rPr>
            <sz val="9"/>
            <color indexed="81"/>
            <rFont val="Tahoma"/>
            <family val="2"/>
          </rPr>
          <t xml:space="preserve">
Inventario Dólar Día: Medida del valor monetario del sobreinventario en el tiempo. Indica el impacto del sobreinventario.</t>
        </r>
      </text>
    </comment>
    <comment ref="CN2" authorId="0" shapeId="0">
      <text>
        <r>
          <rPr>
            <b/>
            <sz val="9"/>
            <color indexed="81"/>
            <rFont val="Tahoma"/>
            <family val="2"/>
          </rPr>
          <t>CAS:</t>
        </r>
        <r>
          <rPr>
            <sz val="9"/>
            <color indexed="81"/>
            <rFont val="Tahoma"/>
            <family val="2"/>
          </rPr>
          <t xml:space="preserve">
Define la rentabilidad individual de cada ítem. Generalmente son las vueltas de inventario basadas en el trúput.</t>
        </r>
      </text>
    </comment>
    <comment ref="CO2" authorId="4" shapeId="0">
      <text>
        <r>
          <rPr>
            <b/>
            <sz val="9"/>
            <color indexed="81"/>
            <rFont val="Tahoma"/>
            <family val="2"/>
          </rPr>
          <t>CAS:</t>
        </r>
        <r>
          <rPr>
            <sz val="9"/>
            <color indexed="81"/>
            <rFont val="Tahoma"/>
            <family val="2"/>
          </rPr>
          <t xml:space="preserve">
Rentabilidad Proyectada del ítem deducida del consumo esperado dado el buffer actual.</t>
        </r>
      </text>
    </comment>
    <comment ref="CP2" authorId="0" shapeId="0">
      <text>
        <r>
          <rPr>
            <b/>
            <sz val="9"/>
            <color indexed="81"/>
            <rFont val="Tahoma"/>
            <family val="2"/>
          </rPr>
          <t>CAS:</t>
        </r>
        <r>
          <rPr>
            <sz val="9"/>
            <color indexed="81"/>
            <rFont val="Tahoma"/>
            <family val="2"/>
          </rPr>
          <t xml:space="preserve">
Es el factor de velocidad de efectivo. Compara el trúput del item con el tiempo que uno tiene que esperar para que se genere ese trúput.</t>
        </r>
      </text>
    </comment>
    <comment ref="CQ2" authorId="0" shapeId="0">
      <text>
        <r>
          <rPr>
            <b/>
            <sz val="9"/>
            <color indexed="81"/>
            <rFont val="Tahoma"/>
            <family val="2"/>
          </rPr>
          <t>CAS:</t>
        </r>
        <r>
          <rPr>
            <sz val="9"/>
            <color indexed="81"/>
            <rFont val="Tahoma"/>
            <family val="2"/>
          </rPr>
          <t xml:space="preserve">
Indica qué tan bien ha sido atendido ese Ítem en esa bodega en un período pasado predeterminado.</t>
        </r>
      </text>
    </comment>
    <comment ref="CR2" authorId="0" shapeId="0">
      <text>
        <r>
          <rPr>
            <b/>
            <sz val="9"/>
            <color indexed="81"/>
            <rFont val="Tahoma"/>
            <family val="2"/>
          </rPr>
          <t>CAS:</t>
        </r>
        <r>
          <rPr>
            <sz val="9"/>
            <color indexed="81"/>
            <rFont val="Tahoma"/>
            <family val="2"/>
          </rPr>
          <t xml:space="preserve">
Fecha del último cambio de buffer para el Ítem actual.</t>
        </r>
      </text>
    </comment>
    <comment ref="CS2" authorId="0" shapeId="0">
      <text>
        <r>
          <rPr>
            <b/>
            <sz val="9"/>
            <color indexed="81"/>
            <rFont val="Tahoma"/>
            <family val="2"/>
          </rPr>
          <t>CAS:</t>
        </r>
        <r>
          <rPr>
            <sz val="9"/>
            <color indexed="81"/>
            <rFont val="Tahoma"/>
            <family val="2"/>
          </rPr>
          <t xml:space="preserve">
Fecha de inicio del horizonte de análisis actual.</t>
        </r>
      </text>
    </comment>
    <comment ref="CT2" authorId="0" shapeId="0">
      <text>
        <r>
          <rPr>
            <b/>
            <sz val="9"/>
            <color indexed="81"/>
            <rFont val="Tahoma"/>
            <family val="2"/>
          </rPr>
          <t>CAS:</t>
        </r>
        <r>
          <rPr>
            <sz val="9"/>
            <color indexed="81"/>
            <rFont val="Tahoma"/>
            <family val="2"/>
          </rPr>
          <t xml:space="preserve">
Fecha del final del horizonte de análisis de buffers actual.</t>
        </r>
      </text>
    </comment>
    <comment ref="CU2" authorId="0" shapeId="0">
      <text>
        <r>
          <rPr>
            <b/>
            <sz val="9"/>
            <color indexed="81"/>
            <rFont val="Tahoma"/>
            <family val="2"/>
          </rPr>
          <t>CAS:</t>
        </r>
        <r>
          <rPr>
            <sz val="9"/>
            <color indexed="81"/>
            <rFont val="Tahoma"/>
            <family val="2"/>
          </rPr>
          <t xml:space="preserve">
Fecha del inicio de la última transferencia registrada para este ítem en esta bodega.</t>
        </r>
      </text>
    </comment>
    <comment ref="CV2" authorId="0" shapeId="0">
      <text>
        <r>
          <rPr>
            <b/>
            <sz val="9"/>
            <color indexed="81"/>
            <rFont val="Tahoma"/>
            <family val="2"/>
          </rPr>
          <t>CAS:</t>
        </r>
        <r>
          <rPr>
            <sz val="9"/>
            <color indexed="81"/>
            <rFont val="Tahoma"/>
            <family val="2"/>
          </rPr>
          <t xml:space="preserve">
Fecha del Final de la última transferencia registrada para este ítem en esta bodega.</t>
        </r>
      </text>
    </comment>
    <comment ref="CW2" authorId="2" shapeId="0">
      <text>
        <r>
          <rPr>
            <b/>
            <sz val="9"/>
            <color indexed="81"/>
            <rFont val="Tahoma"/>
            <family val="2"/>
          </rPr>
          <t>RAMCAS:</t>
        </r>
        <r>
          <rPr>
            <sz val="9"/>
            <color indexed="81"/>
            <rFont val="Tahoma"/>
            <family val="2"/>
          </rPr>
          <t xml:space="preserve">
Fecha en la que se espera que el Controlador de Buffers realice una nueva reposición. En esa fecha ya habrá transcurrido toda una frecuencia de reposición desde la última vez que se creó una reposición.</t>
        </r>
      </text>
    </comment>
    <comment ref="CX2" authorId="2" shapeId="0">
      <text>
        <r>
          <rPr>
            <b/>
            <sz val="9"/>
            <color indexed="81"/>
            <rFont val="Tahoma"/>
            <family val="2"/>
          </rPr>
          <t>RAMCAS:</t>
        </r>
        <r>
          <rPr>
            <sz val="9"/>
            <color indexed="81"/>
            <rFont val="Tahoma"/>
            <family val="2"/>
          </rPr>
          <t xml:space="preserve">
Fecha en la que se espera que arribe la reposición vigente del SKU. En esa fecha ya habrá transcurrido el tiempo estipulado de suministro que se encuentra en el Perfil del SKU.</t>
        </r>
      </text>
    </comment>
    <comment ref="CY2" authorId="0" shapeId="0">
      <text>
        <r>
          <rPr>
            <b/>
            <sz val="9"/>
            <color indexed="81"/>
            <rFont val="Tahoma"/>
            <family val="2"/>
          </rPr>
          <t>CAS:</t>
        </r>
        <r>
          <rPr>
            <sz val="9"/>
            <color indexed="81"/>
            <rFont val="Tahoma"/>
            <family val="2"/>
          </rPr>
          <t xml:space="preserve">
Factor de variabilidad de los saldos de inventario en el horizonte de análisis.</t>
        </r>
      </text>
    </comment>
    <comment ref="CZ2" authorId="0" shapeId="0">
      <text>
        <r>
          <rPr>
            <b/>
            <sz val="9"/>
            <color indexed="81"/>
            <rFont val="Tahoma"/>
            <family val="2"/>
          </rPr>
          <t>CAS:</t>
        </r>
        <r>
          <rPr>
            <sz val="9"/>
            <color indexed="81"/>
            <rFont val="Tahoma"/>
            <family val="2"/>
          </rPr>
          <t xml:space="preserve">
Acumulado de penetraciones en zonas de peligro (negro y rojo). Se pone en rojo cuando el valor sobrepasa una zona roja.</t>
        </r>
      </text>
    </comment>
    <comment ref="DA2" authorId="0" shapeId="0">
      <text>
        <r>
          <rPr>
            <b/>
            <sz val="9"/>
            <color indexed="81"/>
            <rFont val="Tahoma"/>
            <family val="2"/>
          </rPr>
          <t>CAS:</t>
        </r>
        <r>
          <rPr>
            <sz val="9"/>
            <color indexed="81"/>
            <rFont val="Tahoma"/>
            <family val="2"/>
          </rPr>
          <t xml:space="preserve">
Porcentaje del horizonte de análisis actual que el buffer ha estado en negro.</t>
        </r>
      </text>
    </comment>
    <comment ref="DB2" authorId="0" shapeId="0">
      <text>
        <r>
          <rPr>
            <b/>
            <sz val="9"/>
            <color indexed="81"/>
            <rFont val="Tahoma"/>
            <family val="2"/>
          </rPr>
          <t xml:space="preserve">CAS:
</t>
        </r>
        <r>
          <rPr>
            <sz val="9"/>
            <color indexed="81"/>
            <rFont val="Tahoma"/>
            <family val="2"/>
          </rPr>
          <t>Porcentaje del horizonte de análisis actual que el buffer ha estado en rojo.</t>
        </r>
      </text>
    </comment>
    <comment ref="DC2" authorId="0" shapeId="0">
      <text>
        <r>
          <rPr>
            <b/>
            <sz val="9"/>
            <color indexed="81"/>
            <rFont val="Tahoma"/>
            <family val="2"/>
          </rPr>
          <t xml:space="preserve">CAS:
</t>
        </r>
        <r>
          <rPr>
            <sz val="9"/>
            <color indexed="81"/>
            <rFont val="Tahoma"/>
            <family val="2"/>
          </rPr>
          <t>Porcentaje del horizonte de análisis actual que el buffer ha estado en amarillo.</t>
        </r>
      </text>
    </comment>
    <comment ref="DD2" authorId="0" shapeId="0">
      <text>
        <r>
          <rPr>
            <b/>
            <sz val="9"/>
            <color indexed="81"/>
            <rFont val="Tahoma"/>
            <family val="2"/>
          </rPr>
          <t xml:space="preserve">CAS:
</t>
        </r>
        <r>
          <rPr>
            <sz val="9"/>
            <color indexed="81"/>
            <rFont val="Tahoma"/>
            <family val="2"/>
          </rPr>
          <t>Porcentaje del horizonte de análisis actual que el buffer ha estado en verde.</t>
        </r>
      </text>
    </comment>
    <comment ref="DE2" authorId="0" shapeId="0">
      <text>
        <r>
          <rPr>
            <b/>
            <sz val="9"/>
            <color indexed="81"/>
            <rFont val="Tahoma"/>
            <family val="2"/>
          </rPr>
          <t xml:space="preserve">CAS:
</t>
        </r>
        <r>
          <rPr>
            <sz val="9"/>
            <color indexed="81"/>
            <rFont val="Tahoma"/>
            <family val="2"/>
          </rPr>
          <t>Porcentaje del horizonte de análisis actual que el buffer ha estado en lila o morado.</t>
        </r>
      </text>
    </comment>
    <comment ref="DN2" authorId="0" shapeId="0">
      <text>
        <r>
          <rPr>
            <b/>
            <sz val="9"/>
            <color indexed="81"/>
            <rFont val="Tahoma"/>
            <family val="2"/>
          </rPr>
          <t>CAS:</t>
        </r>
        <r>
          <rPr>
            <sz val="9"/>
            <color indexed="81"/>
            <rFont val="Tahoma"/>
            <family val="2"/>
          </rPr>
          <t xml:space="preserve">
Porcentaje del horizonte que está lleno.</t>
        </r>
      </text>
    </comment>
  </commentList>
</comments>
</file>

<file path=xl/comments2.xml><?xml version="1.0" encoding="utf-8"?>
<comments xmlns="http://schemas.openxmlformats.org/spreadsheetml/2006/main">
  <authors>
    <author>CAS</author>
    <author>Carlos Semanate</author>
  </authors>
  <commentList>
    <comment ref="Z2" authorId="0" shapeId="0">
      <text>
        <r>
          <rPr>
            <b/>
            <sz val="8"/>
            <color indexed="81"/>
            <rFont val="Tahoma"/>
            <family val="2"/>
          </rPr>
          <t>CAS:</t>
        </r>
        <r>
          <rPr>
            <sz val="8"/>
            <color indexed="81"/>
            <rFont val="Tahoma"/>
            <family val="2"/>
          </rPr>
          <t xml:space="preserve">
El Costo Totalmente Variable del Ítem.</t>
        </r>
      </text>
    </comment>
    <comment ref="AA2" authorId="0" shapeId="0">
      <text>
        <r>
          <rPr>
            <b/>
            <sz val="8"/>
            <color indexed="81"/>
            <rFont val="Tahoma"/>
            <family val="2"/>
          </rPr>
          <t>CAS:</t>
        </r>
        <r>
          <rPr>
            <sz val="8"/>
            <color indexed="81"/>
            <rFont val="Tahoma"/>
            <family val="2"/>
          </rPr>
          <t xml:space="preserve">
El Precio de Venta del Ítem en la bodega seleccionada.</t>
        </r>
      </text>
    </comment>
    <comment ref="AE2" authorId="0" shapeId="0">
      <text>
        <r>
          <rPr>
            <b/>
            <sz val="9"/>
            <color indexed="81"/>
            <rFont val="Tahoma"/>
            <family val="2"/>
          </rPr>
          <t>CAS:</t>
        </r>
        <r>
          <rPr>
            <sz val="9"/>
            <color indexed="81"/>
            <rFont val="Tahoma"/>
            <family val="2"/>
          </rPr>
          <t xml:space="preserve">
El número de días que componen el horizonte de análisis para el presente ítem bodega.</t>
        </r>
      </text>
    </comment>
    <comment ref="AF2" authorId="0" shapeId="0">
      <text>
        <r>
          <rPr>
            <b/>
            <sz val="9"/>
            <color indexed="81"/>
            <rFont val="Tahoma"/>
            <family val="2"/>
          </rPr>
          <t>CAS:</t>
        </r>
        <r>
          <rPr>
            <sz val="9"/>
            <color indexed="81"/>
            <rFont val="Tahoma"/>
            <family val="2"/>
          </rPr>
          <t xml:space="preserve">
Tiempo de suministro para el presente ítem bodega en días.</t>
        </r>
      </text>
    </comment>
    <comment ref="AG2" authorId="0" shapeId="0">
      <text>
        <r>
          <rPr>
            <b/>
            <sz val="9"/>
            <color indexed="81"/>
            <rFont val="Tahoma"/>
            <family val="2"/>
          </rPr>
          <t>CAS:</t>
        </r>
        <r>
          <rPr>
            <sz val="9"/>
            <color indexed="81"/>
            <rFont val="Tahoma"/>
            <family val="2"/>
          </rPr>
          <t xml:space="preserve">
Frecuencia de Reposición para el presente ítem bodega en días.</t>
        </r>
      </text>
    </comment>
    <comment ref="AH2" authorId="0" shapeId="0">
      <text>
        <r>
          <rPr>
            <b/>
            <sz val="9"/>
            <color indexed="81"/>
            <rFont val="Tahoma"/>
            <family val="2"/>
          </rPr>
          <t>CAS:</t>
        </r>
        <r>
          <rPr>
            <sz val="9"/>
            <color indexed="81"/>
            <rFont val="Tahoma"/>
            <family val="2"/>
          </rPr>
          <t xml:space="preserve">
1 si está activa la Gestión Dinámica de Buffers o 0 si está inactiva.</t>
        </r>
      </text>
    </comment>
    <comment ref="AI2" authorId="0" shapeId="0">
      <text>
        <r>
          <rPr>
            <b/>
            <sz val="9"/>
            <color indexed="81"/>
            <rFont val="Tahoma"/>
            <family val="2"/>
          </rPr>
          <t>CAS:</t>
        </r>
        <r>
          <rPr>
            <sz val="9"/>
            <color indexed="81"/>
            <rFont val="Tahoma"/>
            <family val="2"/>
          </rPr>
          <t xml:space="preserve">
Identifica si se cumplen los parámetros que permiten hacer un cambio de buffer.</t>
        </r>
      </text>
    </comment>
    <comment ref="AL2" authorId="1" shapeId="0">
      <text>
        <r>
          <rPr>
            <b/>
            <sz val="8"/>
            <color indexed="81"/>
            <rFont val="Tahoma"/>
            <family val="2"/>
          </rPr>
          <t>Carlos Semanate:</t>
        </r>
        <r>
          <rPr>
            <sz val="8"/>
            <color indexed="81"/>
            <rFont val="Tahoma"/>
            <family val="2"/>
          </rPr>
          <t xml:space="preserve">
El buffer sugerido por el redimensionamiento dinámico.</t>
        </r>
      </text>
    </comment>
    <comment ref="AT2" authorId="0" shapeId="0">
      <text>
        <r>
          <rPr>
            <b/>
            <sz val="9"/>
            <color indexed="81"/>
            <rFont val="Tahoma"/>
            <family val="2"/>
          </rPr>
          <t>CAS:</t>
        </r>
        <r>
          <rPr>
            <sz val="9"/>
            <color indexed="81"/>
            <rFont val="Tahoma"/>
            <family val="2"/>
          </rPr>
          <t xml:space="preserve">
Fecha hasta la cual no se permitirán sugerencias de BUF.</t>
        </r>
      </text>
    </comment>
    <comment ref="AU2" authorId="0" shapeId="0">
      <text>
        <r>
          <rPr>
            <b/>
            <sz val="9"/>
            <color indexed="81"/>
            <rFont val="Tahoma"/>
            <family val="2"/>
          </rPr>
          <t>CAS:</t>
        </r>
        <r>
          <rPr>
            <sz val="9"/>
            <color indexed="81"/>
            <rFont val="Tahoma"/>
            <family val="2"/>
          </rPr>
          <t xml:space="preserve">
Fecha hasta la cual no se permitirán sugerencias de RED.</t>
        </r>
      </text>
    </comment>
    <comment ref="AV2" authorId="0" shapeId="0">
      <text>
        <r>
          <rPr>
            <b/>
            <sz val="9"/>
            <color indexed="81"/>
            <rFont val="Tahoma"/>
            <family val="2"/>
          </rPr>
          <t>CAS:</t>
        </r>
        <r>
          <rPr>
            <sz val="9"/>
            <color indexed="81"/>
            <rFont val="Tahoma"/>
            <family val="2"/>
          </rPr>
          <t xml:space="preserve">
Fecha hasta la cual no se permitirán sugerencias de GDB.</t>
        </r>
      </text>
    </comment>
    <comment ref="BH2" authorId="0" shapeId="0">
      <text>
        <r>
          <rPr>
            <b/>
            <sz val="8"/>
            <color indexed="81"/>
            <rFont val="Tahoma"/>
            <family val="2"/>
          </rPr>
          <t xml:space="preserve">CAS: </t>
        </r>
        <r>
          <rPr>
            <sz val="8"/>
            <color indexed="81"/>
            <rFont val="Tahoma"/>
            <family val="2"/>
          </rPr>
          <t xml:space="preserve">Lugar donde se insertan observaciones del porqué se cambia o no se cambia un buffer o de algún asunto excepcional.
</t>
        </r>
      </text>
    </comment>
    <comment ref="BN2" authorId="0" shapeId="0">
      <text>
        <r>
          <rPr>
            <b/>
            <sz val="9"/>
            <color indexed="81"/>
            <rFont val="Tahoma"/>
            <family val="2"/>
          </rPr>
          <t>CAS:</t>
        </r>
        <r>
          <rPr>
            <sz val="9"/>
            <color indexed="81"/>
            <rFont val="Tahoma"/>
            <family val="2"/>
          </rPr>
          <t xml:space="preserve">
Color que representa el estado del buffer. Son iniciales: Verde (V), Amarillo (A), Rojo (R), Negro (N), Lila (L), Gris (G) .</t>
        </r>
      </text>
    </comment>
    <comment ref="BP2" authorId="0" shapeId="0">
      <text>
        <r>
          <rPr>
            <b/>
            <sz val="9"/>
            <color indexed="81"/>
            <rFont val="Tahoma"/>
            <family val="2"/>
          </rPr>
          <t>CAS:</t>
        </r>
        <r>
          <rPr>
            <sz val="9"/>
            <color indexed="81"/>
            <rFont val="Tahoma"/>
            <family val="2"/>
          </rPr>
          <t xml:space="preserve">
Es el último buffer que tenía el SKU antes del cambio generado por Gestión Dinámica de Buffers (GDB).</t>
        </r>
      </text>
    </comment>
    <comment ref="BQ2" authorId="0" shapeId="0">
      <text>
        <r>
          <rPr>
            <b/>
            <sz val="9"/>
            <color indexed="81"/>
            <rFont val="Tahoma"/>
            <family val="2"/>
          </rPr>
          <t>CAS:</t>
        </r>
        <r>
          <rPr>
            <sz val="9"/>
            <color indexed="81"/>
            <rFont val="Tahoma"/>
            <family val="2"/>
          </rPr>
          <t xml:space="preserve">
Buffer Vigente antes de empezar la estacionalidad.</t>
        </r>
      </text>
    </comment>
    <comment ref="BR2" authorId="0" shapeId="0">
      <text>
        <r>
          <rPr>
            <b/>
            <sz val="9"/>
            <color indexed="81"/>
            <rFont val="Tahoma"/>
            <family val="2"/>
          </rPr>
          <t>CAS:</t>
        </r>
        <r>
          <rPr>
            <sz val="9"/>
            <color indexed="81"/>
            <rFont val="Tahoma"/>
            <family val="2"/>
          </rPr>
          <t xml:space="preserve">
Buffer Objetivo con al cual se espera llegar luego de los aumentos o disminuciones.</t>
        </r>
      </text>
    </comment>
    <comment ref="BS2" authorId="0" shapeId="0">
      <text>
        <r>
          <rPr>
            <b/>
            <sz val="8"/>
            <color indexed="81"/>
            <rFont val="Tahoma"/>
            <family val="2"/>
          </rPr>
          <t>CAS:</t>
        </r>
        <r>
          <rPr>
            <sz val="8"/>
            <color indexed="81"/>
            <rFont val="Tahoma"/>
            <family val="2"/>
          </rPr>
          <t xml:space="preserve">
Inventario Físico del proveedor de la presente bodega. Si es 1E+09 significa que el proveedor es la COMPRA.</t>
        </r>
      </text>
    </comment>
    <comment ref="BT2" authorId="0" shapeId="0">
      <text>
        <r>
          <rPr>
            <b/>
            <sz val="9"/>
            <color indexed="81"/>
            <rFont val="Tahoma"/>
            <family val="2"/>
          </rPr>
          <t>CAS:</t>
        </r>
        <r>
          <rPr>
            <sz val="9"/>
            <color indexed="81"/>
            <rFont val="Tahoma"/>
            <family val="2"/>
          </rPr>
          <t xml:space="preserve">
Inventario Físico actual del item en la bodega activa.</t>
        </r>
      </text>
    </comment>
    <comment ref="BU2" authorId="0" shapeId="0">
      <text>
        <r>
          <rPr>
            <b/>
            <sz val="9"/>
            <color indexed="81"/>
            <rFont val="Tahoma"/>
            <family val="2"/>
          </rPr>
          <t>CAS:</t>
        </r>
        <r>
          <rPr>
            <sz val="9"/>
            <color indexed="81"/>
            <rFont val="Tahoma"/>
            <family val="2"/>
          </rPr>
          <t xml:space="preserve">
Indica el porcentaje de consumo del buffer, siendo 0% que no se ha consumido nada, y 100%, que se ha consumido todo.</t>
        </r>
      </text>
    </comment>
    <comment ref="BV2" authorId="1" shapeId="0">
      <text>
        <r>
          <rPr>
            <b/>
            <sz val="8"/>
            <color indexed="81"/>
            <rFont val="Tahoma"/>
            <family val="2"/>
          </rPr>
          <t>CAS:
Inventario en Tránsito Actualizado.</t>
        </r>
      </text>
    </comment>
    <comment ref="BZ2" authorId="1" shapeId="0">
      <text>
        <r>
          <rPr>
            <b/>
            <sz val="8"/>
            <color indexed="81"/>
            <rFont val="Tahoma"/>
            <family val="2"/>
          </rPr>
          <t>CAS:</t>
        </r>
        <r>
          <rPr>
            <sz val="8"/>
            <color indexed="81"/>
            <rFont val="Tahoma"/>
            <family val="2"/>
          </rPr>
          <t xml:space="preserve">
Inventario Comprometido Actualizado.</t>
        </r>
      </text>
    </comment>
    <comment ref="CA2" authorId="1" shapeId="0">
      <text>
        <r>
          <rPr>
            <b/>
            <sz val="8"/>
            <color indexed="81"/>
            <rFont val="Tahoma"/>
            <family val="2"/>
          </rPr>
          <t>CAS:</t>
        </r>
        <r>
          <rPr>
            <sz val="8"/>
            <color indexed="81"/>
            <rFont val="Tahoma"/>
            <family val="2"/>
          </rPr>
          <t xml:space="preserve">
Inventario en Backorder Actualizado.</t>
        </r>
      </text>
    </comment>
    <comment ref="CB2" authorId="1" shapeId="0">
      <text>
        <r>
          <rPr>
            <b/>
            <sz val="8"/>
            <color indexed="81"/>
            <rFont val="Tahoma"/>
            <family val="2"/>
          </rPr>
          <t>Carlos Semanate:</t>
        </r>
        <r>
          <rPr>
            <sz val="8"/>
            <color indexed="81"/>
            <rFont val="Tahoma"/>
            <family val="2"/>
          </rPr>
          <t xml:space="preserve">
Inventario Proyectado Actualizado.
Inv Fis+Tráns-Compr+Backord</t>
        </r>
      </text>
    </comment>
    <comment ref="CF2" authorId="1" shapeId="0">
      <text>
        <r>
          <rPr>
            <b/>
            <sz val="8"/>
            <color indexed="81"/>
            <rFont val="Tahoma"/>
            <family val="2"/>
          </rPr>
          <t>Carlos Semanate:</t>
        </r>
        <r>
          <rPr>
            <sz val="8"/>
            <color indexed="81"/>
            <rFont val="Tahoma"/>
            <family val="2"/>
          </rPr>
          <t xml:space="preserve">
Cantidad sugerida de pedido para regirse a la disciplina del buffer. Es cero o negativo si no hay que pedir.</t>
        </r>
      </text>
    </comment>
    <comment ref="CG2" authorId="0" shapeId="0">
      <text>
        <r>
          <rPr>
            <b/>
            <sz val="9"/>
            <color indexed="81"/>
            <rFont val="Tahoma"/>
            <family val="2"/>
          </rPr>
          <t>CAS:</t>
        </r>
        <r>
          <rPr>
            <sz val="9"/>
            <color indexed="81"/>
            <rFont val="Tahoma"/>
            <family val="2"/>
          </rPr>
          <t xml:space="preserve">
Dados el buffer actual con el la frecuencia de reposición y el tiempo de reposición, se calcula el pedido promedio para satisfacer al buffer.</t>
        </r>
      </text>
    </comment>
    <comment ref="CH2" authorId="1" shapeId="0">
      <text>
        <r>
          <rPr>
            <b/>
            <sz val="8"/>
            <color indexed="81"/>
            <rFont val="Tahoma"/>
            <family val="2"/>
          </rPr>
          <t>CAS:</t>
        </r>
        <r>
          <rPr>
            <sz val="8"/>
            <color indexed="81"/>
            <rFont val="Tahoma"/>
            <family val="2"/>
          </rPr>
          <t xml:space="preserve">
Cantidad que se va a pedir realmente.</t>
        </r>
      </text>
    </comment>
    <comment ref="CI2" authorId="0" shapeId="0">
      <text>
        <r>
          <rPr>
            <b/>
            <sz val="9"/>
            <color indexed="81"/>
            <rFont val="Tahoma"/>
            <family val="2"/>
          </rPr>
          <t>CAS:</t>
        </r>
        <r>
          <rPr>
            <sz val="9"/>
            <color indexed="81"/>
            <rFont val="Tahoma"/>
            <family val="2"/>
          </rPr>
          <t xml:space="preserve">
Muestra el Calendario Estacional que sigue el ítem.</t>
        </r>
      </text>
    </comment>
    <comment ref="CL2" authorId="0" shapeId="0">
      <text>
        <r>
          <rPr>
            <b/>
            <sz val="9"/>
            <color indexed="81"/>
            <rFont val="Tahoma"/>
            <family val="2"/>
          </rPr>
          <t>CAS:</t>
        </r>
        <r>
          <rPr>
            <sz val="9"/>
            <color indexed="81"/>
            <rFont val="Tahoma"/>
            <family val="2"/>
          </rPr>
          <t xml:space="preserve">
Trúput Dólar Día: Valor acumulado del trúput de los items que están en peligro o ya han quedado en cero. Medida del estado de cumplimiento del buffer.</t>
        </r>
      </text>
    </comment>
    <comment ref="CM2" authorId="0" shapeId="0">
      <text>
        <r>
          <rPr>
            <b/>
            <sz val="9"/>
            <color indexed="81"/>
            <rFont val="Tahoma"/>
            <family val="2"/>
          </rPr>
          <t>CAS:</t>
        </r>
        <r>
          <rPr>
            <sz val="9"/>
            <color indexed="81"/>
            <rFont val="Tahoma"/>
            <family val="2"/>
          </rPr>
          <t xml:space="preserve">
Inventario Dólar Día: Medida del valor monetario del inventario que está más arriba del verde. Indica el impacto del sobreinventario.</t>
        </r>
      </text>
    </comment>
    <comment ref="CN2" authorId="0" shapeId="0">
      <text>
        <r>
          <rPr>
            <b/>
            <sz val="9"/>
            <color indexed="81"/>
            <rFont val="Tahoma"/>
            <family val="2"/>
          </rPr>
          <t>CAS:</t>
        </r>
        <r>
          <rPr>
            <sz val="9"/>
            <color indexed="81"/>
            <rFont val="Tahoma"/>
            <family val="2"/>
          </rPr>
          <t xml:space="preserve">
Define la rentabilidad individual de cada ítem. Generalmente son las vueltas de inventario basadas en el trúput.</t>
        </r>
      </text>
    </comment>
    <comment ref="CP2" authorId="0" shapeId="0">
      <text>
        <r>
          <rPr>
            <b/>
            <sz val="9"/>
            <color indexed="81"/>
            <rFont val="Tahoma"/>
            <family val="2"/>
          </rPr>
          <t>CAS:</t>
        </r>
        <r>
          <rPr>
            <sz val="9"/>
            <color indexed="81"/>
            <rFont val="Tahoma"/>
            <family val="2"/>
          </rPr>
          <t xml:space="preserve">
Es el factor de velocidad de efectivo. Compara el trúput del item con el tiempo que uno tiene que esperar para que se genere ese trúput.</t>
        </r>
      </text>
    </comment>
    <comment ref="CQ2" authorId="0" shapeId="0">
      <text>
        <r>
          <rPr>
            <b/>
            <sz val="9"/>
            <color indexed="81"/>
            <rFont val="Tahoma"/>
            <family val="2"/>
          </rPr>
          <t>CAS:</t>
        </r>
        <r>
          <rPr>
            <sz val="9"/>
            <color indexed="81"/>
            <rFont val="Tahoma"/>
            <family val="2"/>
          </rPr>
          <t xml:space="preserve">
Indica qué tan bien ha sido atendido ese ítem en esa bodega en un período predeterminado.</t>
        </r>
      </text>
    </comment>
    <comment ref="CR2" authorId="0" shapeId="0">
      <text>
        <r>
          <rPr>
            <b/>
            <sz val="9"/>
            <color indexed="81"/>
            <rFont val="Tahoma"/>
            <family val="2"/>
          </rPr>
          <t>CAS:</t>
        </r>
        <r>
          <rPr>
            <sz val="9"/>
            <color indexed="81"/>
            <rFont val="Tahoma"/>
            <family val="2"/>
          </rPr>
          <t xml:space="preserve">
Fecha del último cambio de buffer para el item actual.</t>
        </r>
      </text>
    </comment>
    <comment ref="CS2" authorId="0" shapeId="0">
      <text>
        <r>
          <rPr>
            <b/>
            <sz val="9"/>
            <color indexed="81"/>
            <rFont val="Tahoma"/>
            <family val="2"/>
          </rPr>
          <t>CAS:</t>
        </r>
        <r>
          <rPr>
            <sz val="9"/>
            <color indexed="81"/>
            <rFont val="Tahoma"/>
            <family val="2"/>
          </rPr>
          <t xml:space="preserve">
Fecha de inicio del período de análisis.</t>
        </r>
      </text>
    </comment>
    <comment ref="CT2" authorId="0" shapeId="0">
      <text>
        <r>
          <rPr>
            <b/>
            <sz val="9"/>
            <color indexed="81"/>
            <rFont val="Tahoma"/>
            <family val="2"/>
          </rPr>
          <t>CAS:</t>
        </r>
        <r>
          <rPr>
            <sz val="9"/>
            <color indexed="81"/>
            <rFont val="Tahoma"/>
            <family val="2"/>
          </rPr>
          <t xml:space="preserve">
Fecha del final del período de análisis de buffers.</t>
        </r>
      </text>
    </comment>
    <comment ref="CY2" authorId="0" shapeId="0">
      <text>
        <r>
          <rPr>
            <b/>
            <sz val="9"/>
            <color indexed="81"/>
            <rFont val="Tahoma"/>
            <family val="2"/>
          </rPr>
          <t>CAS:</t>
        </r>
        <r>
          <rPr>
            <sz val="9"/>
            <color indexed="81"/>
            <rFont val="Tahoma"/>
            <family val="2"/>
          </rPr>
          <t xml:space="preserve">
Factor de variabilidad de los saldos de inventario.</t>
        </r>
      </text>
    </comment>
    <comment ref="CZ2" authorId="0" shapeId="0">
      <text>
        <r>
          <rPr>
            <b/>
            <sz val="9"/>
            <color indexed="81"/>
            <rFont val="Tahoma"/>
            <family val="2"/>
          </rPr>
          <t>CAS:</t>
        </r>
        <r>
          <rPr>
            <sz val="9"/>
            <color indexed="81"/>
            <rFont val="Tahoma"/>
            <family val="2"/>
          </rPr>
          <t xml:space="preserve">
Acumulado de penetraciones en zonas de peligro (negro y rojo). Se pone en rojo cuando el valor sobrepasa una zona roja.</t>
        </r>
      </text>
    </comment>
    <comment ref="DA2" authorId="0" shapeId="0">
      <text>
        <r>
          <rPr>
            <b/>
            <sz val="9"/>
            <color indexed="81"/>
            <rFont val="Tahoma"/>
            <family val="2"/>
          </rPr>
          <t>CAS:</t>
        </r>
        <r>
          <rPr>
            <sz val="9"/>
            <color indexed="81"/>
            <rFont val="Tahoma"/>
            <family val="2"/>
          </rPr>
          <t xml:space="preserve">
Porcentaje del período actual que el buffer ha estado en negro.</t>
        </r>
      </text>
    </comment>
    <comment ref="DB2" authorId="0" shapeId="0">
      <text>
        <r>
          <rPr>
            <b/>
            <sz val="9"/>
            <color indexed="81"/>
            <rFont val="Tahoma"/>
            <family val="2"/>
          </rPr>
          <t>CAS:</t>
        </r>
        <r>
          <rPr>
            <sz val="9"/>
            <color indexed="81"/>
            <rFont val="Tahoma"/>
            <family val="2"/>
          </rPr>
          <t xml:space="preserve">
Porcentaje del período actual que el buffer ha estado en rojo</t>
        </r>
      </text>
    </comment>
    <comment ref="DC2" authorId="0" shapeId="0">
      <text>
        <r>
          <rPr>
            <b/>
            <sz val="9"/>
            <color indexed="81"/>
            <rFont val="Tahoma"/>
            <family val="2"/>
          </rPr>
          <t>CAS:</t>
        </r>
        <r>
          <rPr>
            <sz val="9"/>
            <color indexed="81"/>
            <rFont val="Tahoma"/>
            <family val="2"/>
          </rPr>
          <t xml:space="preserve">
Porcentaje del período actual que el buffer ha estado en amarillo.</t>
        </r>
      </text>
    </comment>
    <comment ref="DD2" authorId="0" shapeId="0">
      <text>
        <r>
          <rPr>
            <b/>
            <sz val="9"/>
            <color indexed="81"/>
            <rFont val="Tahoma"/>
            <family val="2"/>
          </rPr>
          <t>CAS:</t>
        </r>
        <r>
          <rPr>
            <sz val="9"/>
            <color indexed="81"/>
            <rFont val="Tahoma"/>
            <family val="2"/>
          </rPr>
          <t xml:space="preserve">
Porcentaje del período actual que el buffer ha estado en verde.</t>
        </r>
      </text>
    </comment>
    <comment ref="DE2" authorId="0" shapeId="0">
      <text>
        <r>
          <rPr>
            <b/>
            <sz val="9"/>
            <color indexed="81"/>
            <rFont val="Tahoma"/>
            <family val="2"/>
          </rPr>
          <t>CAS:</t>
        </r>
        <r>
          <rPr>
            <sz val="9"/>
            <color indexed="81"/>
            <rFont val="Tahoma"/>
            <family val="2"/>
          </rPr>
          <t xml:space="preserve">
Porcentaje del período actual que el buffer ha estado en lila.</t>
        </r>
      </text>
    </comment>
  </commentList>
</comments>
</file>

<file path=xl/comments3.xml><?xml version="1.0" encoding="utf-8"?>
<comments xmlns="http://schemas.openxmlformats.org/spreadsheetml/2006/main">
  <authors>
    <author>CAS</author>
  </authors>
  <commentList>
    <comment ref="P1" authorId="0" shapeId="0">
      <text>
        <r>
          <rPr>
            <b/>
            <sz val="9"/>
            <color indexed="81"/>
            <rFont val="Tahoma"/>
            <family val="2"/>
          </rPr>
          <t>CAS:</t>
        </r>
        <r>
          <rPr>
            <sz val="9"/>
            <color indexed="81"/>
            <rFont val="Tahoma"/>
            <family val="2"/>
          </rPr>
          <t xml:space="preserve">
Semana en la que se entra en estacionalidad, y se hace el primer aumento.</t>
        </r>
      </text>
    </comment>
    <comment ref="R1" authorId="0" shapeId="0">
      <text>
        <r>
          <rPr>
            <b/>
            <sz val="9"/>
            <color indexed="81"/>
            <rFont val="Tahoma"/>
            <family val="2"/>
          </rPr>
          <t>CAS:</t>
        </r>
        <r>
          <rPr>
            <sz val="9"/>
            <color indexed="81"/>
            <rFont val="Tahoma"/>
            <family val="2"/>
          </rPr>
          <t xml:space="preserve">
Semana en la que se puede hacer el último aumento antes que llegue el PICO.</t>
        </r>
      </text>
    </comment>
    <comment ref="T1" authorId="0" shapeId="0">
      <text>
        <r>
          <rPr>
            <b/>
            <sz val="9"/>
            <color indexed="81"/>
            <rFont val="Tahoma"/>
            <family val="2"/>
          </rPr>
          <t>CAS:</t>
        </r>
        <r>
          <rPr>
            <sz val="9"/>
            <color indexed="81"/>
            <rFont val="Tahoma"/>
            <family val="2"/>
          </rPr>
          <t xml:space="preserve">
Período en semanas que puede durar el aumento de buffers, de hacérselo paulatinamente.</t>
        </r>
      </text>
    </comment>
    <comment ref="V1" authorId="0" shapeId="0">
      <text>
        <r>
          <rPr>
            <b/>
            <sz val="9"/>
            <color indexed="81"/>
            <rFont val="Tahoma"/>
            <family val="2"/>
          </rPr>
          <t>CAS:</t>
        </r>
        <r>
          <rPr>
            <sz val="9"/>
            <color indexed="81"/>
            <rFont val="Tahoma"/>
            <family val="2"/>
          </rPr>
          <t xml:space="preserve">
Número de aumentos semanales posibles.</t>
        </r>
      </text>
    </comment>
    <comment ref="Z1" authorId="0" shapeId="0">
      <text>
        <r>
          <rPr>
            <b/>
            <sz val="9"/>
            <color indexed="81"/>
            <rFont val="Tahoma"/>
            <family val="2"/>
          </rPr>
          <t>CAS:</t>
        </r>
        <r>
          <rPr>
            <sz val="9"/>
            <color indexed="81"/>
            <rFont val="Tahoma"/>
            <family val="2"/>
          </rPr>
          <t xml:space="preserve">
Vector que indica con unos y ceros en qué períodos se va a hacer un aumento de buffers.</t>
        </r>
      </text>
    </comment>
    <comment ref="AA1" authorId="0" shapeId="0">
      <text>
        <r>
          <rPr>
            <b/>
            <sz val="9"/>
            <color indexed="81"/>
            <rFont val="Tahoma"/>
            <family val="2"/>
          </rPr>
          <t>CAS:</t>
        </r>
        <r>
          <rPr>
            <sz val="9"/>
            <color indexed="81"/>
            <rFont val="Tahoma"/>
            <family val="2"/>
          </rPr>
          <t xml:space="preserve">
Vector que indica con unos y ceros en qué períodos se va a hacer una disminución de buffers.</t>
        </r>
      </text>
    </comment>
    <comment ref="AB1" authorId="0" shapeId="0">
      <text>
        <r>
          <rPr>
            <b/>
            <sz val="9"/>
            <color indexed="81"/>
            <rFont val="Tahoma"/>
            <family val="2"/>
          </rPr>
          <t>CAS:</t>
        </r>
        <r>
          <rPr>
            <sz val="9"/>
            <color indexed="81"/>
            <rFont val="Tahoma"/>
            <family val="2"/>
          </rPr>
          <t xml:space="preserve">
Da un vector con el orden del aumento para sumarlo al inicio de los aumentos.</t>
        </r>
      </text>
    </comment>
    <comment ref="AC1" authorId="0" shapeId="0">
      <text>
        <r>
          <rPr>
            <b/>
            <sz val="9"/>
            <color indexed="81"/>
            <rFont val="Tahoma"/>
            <family val="2"/>
          </rPr>
          <t>CAS:</t>
        </r>
        <r>
          <rPr>
            <sz val="9"/>
            <color indexed="81"/>
            <rFont val="Tahoma"/>
            <family val="2"/>
          </rPr>
          <t xml:space="preserve">
Da un vector con el orden de la disminución para sumarlo al inicio de las disminuciones.</t>
        </r>
      </text>
    </comment>
    <comment ref="AD1" authorId="0" shapeId="0">
      <text>
        <r>
          <rPr>
            <b/>
            <sz val="9"/>
            <color indexed="81"/>
            <rFont val="Tahoma"/>
            <family val="2"/>
          </rPr>
          <t>CAS:</t>
        </r>
        <r>
          <rPr>
            <sz val="9"/>
            <color indexed="81"/>
            <rFont val="Tahoma"/>
            <family val="2"/>
          </rPr>
          <t xml:space="preserve">
Es un array con el período exacto que habrá el aumento, tomando en cuenta las correcciones semanales por sobrepasar el año.</t>
        </r>
      </text>
    </comment>
    <comment ref="AE1" authorId="0" shapeId="0">
      <text>
        <r>
          <rPr>
            <b/>
            <sz val="9"/>
            <color indexed="81"/>
            <rFont val="Tahoma"/>
            <family val="2"/>
          </rPr>
          <t>CAS:</t>
        </r>
        <r>
          <rPr>
            <sz val="9"/>
            <color indexed="81"/>
            <rFont val="Tahoma"/>
            <family val="2"/>
          </rPr>
          <t xml:space="preserve">
Es un array con el período exacto que habrá la reducción, tomando en cuenta las correcciones semanales por sobrepasar el año.</t>
        </r>
      </text>
    </comment>
  </commentList>
</comments>
</file>

<file path=xl/comments4.xml><?xml version="1.0" encoding="utf-8"?>
<comments xmlns="http://schemas.openxmlformats.org/spreadsheetml/2006/main">
  <authors>
    <author>CAS</author>
  </authors>
  <commentList>
    <comment ref="L1" authorId="0" shapeId="0">
      <text>
        <r>
          <rPr>
            <b/>
            <sz val="9"/>
            <color indexed="81"/>
            <rFont val="Tahoma"/>
            <family val="2"/>
          </rPr>
          <t>CAS:</t>
        </r>
        <r>
          <rPr>
            <sz val="9"/>
            <color indexed="81"/>
            <rFont val="Tahoma"/>
            <family val="2"/>
          </rPr>
          <t xml:space="preserve">
Indica la fecha a la cual están actualizados los datos del gráfico y de los consumos que se muestran en esta hoja.</t>
        </r>
      </text>
    </comment>
  </commentList>
</comments>
</file>

<file path=xl/connections.xml><?xml version="1.0" encoding="utf-8"?>
<connections xmlns="http://schemas.openxmlformats.org/spreadsheetml/2006/main">
  <connection id="1" name="Conexión" type="1" refreshedVersion="5" saveData="1">
    <dbPr connection="DSN=ODBC RAMCAS1;" command="SELECT * FROM `ramcas`.`v_buffer_hist_grafico_dinamico_con_causas` WHERE ramcas.v_buffer_hist_grafico_dinamico_con_causas.FECHA &gt; DATE_SUB(curdate(),INTERVAL 90 DAY)"/>
  </connection>
  <connection id="2" name="Conexión1" type="1" refreshedVersion="5">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30 DAY) Order BY bh.buh_empresa, bh.buh_bodega, bh.buh_codigo, bh.buh_fecha"/>
  </connection>
  <connection id="3" name="Conexión10" type="1" refreshedVersion="5">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4" name="Conexión2"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5" name="Conexión3"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6" name="Conexión4"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7" name="Conexión5"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8" name="Conexión6"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9" name="Conexión7"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0" name="Conexión8"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1" name="Conexión9"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2" name="Consulta desde Agrota2" type="1" refreshedVersion="3" minRefreshableVersion="3" savePassword="1" saveData="1">
    <dbPr connection="DRIVER={MySQL ODBC 5.1 Driver};UID=root;PWD=Keilo_107;SERVER=5.100.164.169;DATABASE=baseevolution;PORT=3306;" command="SELECT vexistenciaxproducto_0.CodigoVentaProducto AS 'codigo', vexistenciaxproducto_0.ExistenciaProductoBodega AS 'AGROINSUMOSCENTRAL', vexistenciaxproducto_0.CostoProducto AS 'CTV', vexistenciaxproducto_0.PrecioVentaProducto AS 'PV'_x000d__x000a_FROM baseevolution.vexistenciaxproducto vexistenciaxproducto_0_x000d__x000a_WHERE (vexistenciaxproducto_0.EmpresasEmpresaProducto='2') AND (vexistenciaxproducto_0.NombreBodega='Productos Terminado')_x000d__x000a_ORDER BY vexistenciaxproducto_0.CodigoVentaProducto"/>
  </connection>
  <connection id="13" name="Consulta desde ARCHIVO" type="1" refreshedVersion="5" saveData="1">
    <dbPr connection="DBQ=C:\RAM CAS\MEJORA CONTINUA\CONTROL DE BUFFERS\ARCHIVO\AUXILIAR.xlsm;DefaultDir=C:\RAM CAS\MEJORA CONTINUA\CONTROL DE BUFFERS\ARCHIVO;Driver={Microsoft Excel Driver (*.xls, *.xlsx, *.xlsm, *.xlsb)};DriverId=1046;FIL=excel 12.0;MaxBufferSize=2048;MaxScanRows=8;PageTimeout=5;ReadOnly=1;SafeTransactions=0;Threads=3;UID=admin;UserCommitSync=Yes;" command="SELECT `Transferencias$`.CODIGO,  `Transferencias$`.DESTINO,  sum(`Transferencias$`.TRANSITO) AS [CANTIDAD]_x000d__x000a_FROM `Transferencias$` `Transferencias$`_x000d__x000a_GROUP BY `Transferencias$`.DESTINO, `Transferencias$`.CODIGO"/>
  </connection>
  <connection id="14" name="Consulta desde ARCHIVO1" type="1" refreshedVersion="5" saveData="1">
    <dbPr connection="DBQ=C:\RAM CAS\MEJORA CONTINUA\CONTROL DE BUFFERS\ARCHIVO\AUXILIAR.xlsm;DefaultDir=C:\RAM CAS\MEJORA CONTINUA\CONTROL DE BUFFERS\ARCHIVO;Driver={Microsoft Excel Driver (*.xls, *.xlsx, *.xlsm, *.xlsb)};DriverId=1046;FIL=excel 12.0;MaxBufferSize=2048;MaxScanRows=8;PageTimeout=5;ReadOnly=1;SafeTransactions=0;Threads=3;UID=admin;UserCommitSync=Yes;" command="SELECT `Transferencias$`.CODIGO,  `Transferencias$`.ORIGEN,  sum(`Transferencias$`.TRANSITO) AS [CANTIDAD]_x000d__x000a_FROM `Transferencias$` `Transferencias$`_x000d__x000a_GROUP BY `Transferencias$`.ORIGEN, `Transferencias$`.CODIGO"/>
  </connection>
  <connection id="15" name="Consulta desde Backorders" type="1" refreshedVersion="3" deleted="1" saveData="1">
    <dbPr connection="" command=""/>
  </connection>
  <connection id="16" name="Consulta desde DATOS CODIGO" type="1" refreshedVersion="5" saveData="1">
    <dbPr connection="DBQ=C:\RAM CAS\MEJORA CONTINUA\CONTROL DE BUFFERS\TEMPORALES\DATOS CODIGO.xlsx;DefaultDir=C:\RAM CAS\MEJORA CONTINUA\CONTROL DE BUFFERS\TEMPORALES;Driver={Microsoft Excel Driver (*.xls, *.xlsx, *.xlsm, *.xlsb)};DriverId=1046;FIL=excel 12.0;MaxBufferSize=2048;MaxScanRows=8;PageTimeout=5;ReadOnly=1;SafeTransactions=0;Threads=3;UID=admin;UserCommitSync=Yes;" command="SELECT *_x000d__x000a_FROM `DatosCodigo$` `DatosCodigo$`"/>
  </connection>
  <connection id="17" name="Consulta desde Datos en Access1" type="1" refreshedVersion="3" saveData="1">
    <dbPr connection="DBQ=C:\RAMCAS DATOS\ARCHIVO\DATOS.accdb;DefaultDir=C:\RAMCAS DATOS\ARCHIVO;Driver={Microsoft Access Driver (*.mdb, *.accdb)};DriverId=25;FIL=MS Access;MaxBufferSize=2048;MaxScanRows=8;PageTimeout=5;SafeTransactions=0;Threads=3;UserCommitSync=Yes;" command="SELECT_x000d__x000a__x0009_qBuffersPorFecha.CODIGO,_x000d__x000a__x0009_max(qBuffersPorFecha.FECHA)AS FECHA_x000d__x000a_FROM_x000d__x000a__x0009_(_x000d__x000a__x0009__x0009_SELECT_x000d__x000a__x0009__x0009__x0009_h.CODIGO,_x000d__x000a__x0009__x0009__x0009_h.FECHA,_x000d__x000a__x0009__x0009__x0009_h.`Buff Act` AS BUFFER_x000d__x000a__x0009__x0009_FROM_x000d__x000a__x0009__x0009__x0009_histinventarios h_x000d__x000a__x0009__x0009_WHERE_x000d__x000a__x0009__x0009__x0009_h.BODEGA = 'AGROTACENTRAL'_x000d__x000a__x0009__x0009_ORDER BY_x000d__x000a__x0009__x0009__x0009_h.CODIGO,_x000d__x000a__x0009__x0009__x0009_h.FECHA DESC_x000d__x000a__x0009_)AS qBuffersPorFecha_x000d__x000a_INNER JOIN(_x000d__x000a__x0009_SELECT_x000d__x000a__x0009__x0009_h.CODIGO,_x000d__x000a__x0009__x0009_h.`Buff Act` AS BUFFER_x000d__x000a__x0009_FROM_x000d__x000a__x0009__x0009_histinventarios AS h_x000d__x000a__x0009_WHERE_x000d__x000a__x0009__x0009_(_x000d__x000a__x0009__x0009__x0009_(h.BODEGA = 'AGROTACENTRAL')_x000d__x000a__x0009__x0009__x0009_AND(h.`Buff Act` &gt; 0)_x000d__x000a__x0009__x0009__x0009_AND(_x000d__x000a__x0009__x0009__x0009__x0009_h.FECHA =(_x000d__x000a__x0009__x0009__x0009__x0009__x0009_SELECT_x000d__x000a__x0009__x0009__x0009__x0009__x0009__x0009_max(m.FECHA)_x000d__x000a__x0009__x0009__x0009__x0009__x0009_FROM_x000d__x000a__x0009__x0009__x0009__x0009__x0009__x0009_histinventarios AS m_x000d__x000a__x0009__x0009__x0009__x0009__x0009_WHERE_x000d__x000a__x0009__x0009__x0009__x0009__x0009__x0009_(m.BODEGA = 'AGROTACENTRAL')_x000d__x000a__x0009__x0009__x0009__x0009_)_x000d__x000a__x0009__x0009__x0009_)_x000d__x000a__x0009__x0009_)_x000d__x000a__x0009_ORDER BY_x000d__x000a__x0009__x0009_h.CODIGO_x000d__x000a_)AS qUltimoBuffer ON qUltimoBuffer.CODIGO = qBuffersPorFecha.CODIGO_x000d__x000a_WHERE_x000d__x000a__x0009_qBuffersPorFecha.BUFFER &lt;&gt; qUltimoBuffer.BUFFER_x000d__x000a_GROUP BY_x000d__x000a__x0009_qBuffersPorFecha.CODIGO"/>
  </connection>
  <connection id="18" name="Consulta desde INVENTARIO FISICO11" type="1" refreshedVersion="3" saveData="1">
    <dbPr connection="DBQ=C:\RAM CAS\MEJORA CONTINUA\CONTROL DE BUFFERS\TEMPORALES\INVENTARIO FISICO.xlsx;DefaultDir=C:\RAM CAS\MEJORA CONTINUA\CONTROL DE BUFFERS\TEMPORALES;Driver={Microsoft Excel Driver (*.xls, *.xlsx, *.xlsm, *.xlsb)};DriverId=1046;FIL=excel 12.0;MaxBufferSize=2048;MaxScanRows=8;PageTimeout=5;ReadOnly=1;SafeTransactions=0;Threads=3;UserCommitSync=Yes;" command="SELECT `AGROTA$`.codigo, `AGROTA$`.AGROTACENTRAL, `AGROTA$`.CTV, `AGROTA$`.PV, `AGROTA$`.F5, `AGROTA$`.codigo1, `AGROTA$`.AGROTACENTRALPROPIA, `AGROTA$`.CTV1, `AGROTA$`.PV1, `AGROTA$`.F10, `AGROTA$`.codigo2, `AGROTA$`.AGROTAMAXGUAYAQUIL, `AGROTA$`.F13, `AGROTA$`.codigo3, `AGROTA$`.AGROTAPROMACOFI, `AGROTA$`.F16, `AGROTA$`.codigo4, `AGROTA$`.AGROTAEIGUANCHI_x000d__x000a_FROM `AGROTA$` `AGROTA$`"/>
  </connection>
  <connection id="19" name="Consulta desde ODBC MySQL en AGROTA" type="1" refreshedVersion="3" saveData="1">
    <dbPr connection="DSN=ODBC RAMCAS1;" command="SELECT DISTINCT_x000d__x000a__x0009_productos.CodigoVentaProducto,_x000d__x000a__x0009_proveedores.NombreProveedor_x000d__x000a_FROM_x000d__x000a__x0009_importacionescabecera_x000d__x000a_INNER JOIN importacionesdetalle ON importacionescabecera.CodigoImportacionCabecera = importacionesdetalle.ImportacionesCabeceraImportacionDetalle_x000d__x000a_INNER JOIN productos ON productos.CodigoProducto = importacionesdetalle.ProductosImportacionDetalle_x000d__x000a_INNER JOIN proveedores ON importacionescabecera.ProveedoresImportacionCabecera = proveedores.CodigoProveedor_x000d__x000a_ORDER BY_x000d__x000a__x0009_proveedores.NombreProveedor ASC,_x000d__x000a__x0009_productos.CodigoVentaProducto ASC"/>
  </connection>
  <connection id="20" name="Consulta desde ODBC MySQL en AGROTA1" type="1" refreshedVersion="3" saveData="1">
    <dbPr connection="DSN=ODBC RAMCAS1;" command="SELECT_x000d__x000a_DISTINCT productos.CodigoVentaProducto,_x000d__x000a_proveedores.NombreProveedor_x000d__x000a_FROM_x000d__x000a_comprascabecera_x000d__x000a_INNER JOIN comprasdetalle ON comprascabecera.CodigoCompraCabecera = comprasdetalle.ComprasCabeceraCompraDetalle_x000d__x000a_INNER JOIN proveedores ON comprascabecera.ProveedoresCompraCabecera = proveedores.CodigoProveedor_x000d__x000a_INNER JOIN productos ON comprasdetalle.ProductosCompraDetalle = productos.CodigoProducto_x000d__x000a_ORDER BY_x000d__x000a_proveedores.NombreProveedor ASC,_x000d__x000a_productos.CodigoVentaProducto ASC"/>
  </connection>
  <connection id="21" name="Consulta desde ODBC MySQL en AGROTA2" type="1" refreshedVersion="5" saveData="1">
    <dbPr connection="DSN=ODBC RAMCAS1;" command="SELECT_x000d__x000a_causa.cau_nombre as 'Causa'_x000d__x000a_FROM_x000d__x000a_causa_x000d__x000a_INNER JOIN tipocausa ON tipocausa.tipocausa_id = causa.cau_tipocausa_id_x000d__x000a_WHERE_x000d__x000a_tipocausa.tca_nombre = 'Cambio Buffer'_x000d__x000a_ORDER BY_x000d__x000a_cau_nombre"/>
  </connection>
  <connection id="22" name="Consulta desde ODBC RAMCAS1" type="1" refreshedVersion="5" saveData="1">
    <dbPr connection="DSN=ODBC RAMCAS1;" command="SELECT v_roi_0.CODIGO, v_roi_0.ROI_x000d__x000a_FROM ramcas.v_roi v_roi_0"/>
  </connection>
  <connection id="23" name="Consulta desde Reporte ROI"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AGROINSUMOS_PT$`.CODIGO, `ROI_AGROINSUMOS_PT$`.ROI_x000d__x000a_FROM `ROI_AGROINSUMOS_PT$` `ROI_AGROINSUMOS_PT$`"/>
  </connection>
  <connection id="24" name="Consulta desde Reporte ROI1"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PRODUCTOS$`.CODIGO, `ROI_PRODUCTOS$`.`ROI ANUAL`_x000d__x000a_FROM `ROI_PRODUCTOS$` `ROI_PRODUCTOS$`_x000d__x000a_WHERE (`ROI_PRODUCTOS$`.EMPRESA='AGROTA')"/>
  </connection>
  <connection id="25" name="Consulta desde Reporte ROI2"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AGROINSUMOS_MP$`.CODIGO, `ROI_AGROINSUMOS_MP$`.ROI_x000d__x000a_FROM `ROI_AGROINSUMOS_MP$` `ROI_AGROINSUMOS_MP$`"/>
  </connection>
  <connection id="26" name="Consulta desde Velocidad CASH" type="1" refreshedVersion="3" saveData="1">
    <dbPr connection="DBQ=C:\RAM CAS\MEJORA CONTINUA\CONTROL DE BUFFERS\REPORTES\VELOCIDAD CASH.xlsm;DefaultDir=C:\RAM CAS\MEJORA CONTINUA\CONTROL DE BUFFERS\REPORTES;Driver={Microsoft Excel Driver (*.xls, *.xlsx, *.xlsm, *.xlsb)};DriverId=1046;FIL=excel 12.0;MaxBufferSize=2048;MaxScanRows=8;PageTimeout=5;ReadOnly=1;SafeTransactions=0;Threads=3;UID=admin;UserCommitSync=Yes;" command="SELECT `EFECTIVO$`.Empresa, `EFECTIVO$`.Proveedor, `EFECTIVO$`.`Ciclo Efectivo`_x000d__x000a_FROM `EFECTIVO$` `EFECTIVO$`_x000d__x000a_ORDER BY `EFECTIVO$`.Proveedor"/>
  </connection>
  <connection id="27" name="Grafico_Dinamico"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90 DAY) Order BY bh.buh_empresa, bh.buh_bodega, bh.buh_codigo, bh.buh_fecha"/>
  </connection>
  <connection id="28" name="Grafico_Dinamico1"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29" name="ramcas v_buffer_hist_grafico_dinamico_con_causas" description="VIEW"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s>
</file>

<file path=xl/sharedStrings.xml><?xml version="1.0" encoding="utf-8"?>
<sst xmlns="http://schemas.openxmlformats.org/spreadsheetml/2006/main" count="21231" uniqueCount="3653">
  <si>
    <t>Rojo</t>
  </si>
  <si>
    <t>Amarillo</t>
  </si>
  <si>
    <t>Verde</t>
  </si>
  <si>
    <t>CODIGO</t>
  </si>
  <si>
    <t>DESCRIPCION</t>
  </si>
  <si>
    <t>Zona Roja</t>
  </si>
  <si>
    <t>Negro</t>
  </si>
  <si>
    <t>Lila</t>
  </si>
  <si>
    <t>Rojo Acum</t>
  </si>
  <si>
    <t>Buff Act</t>
  </si>
  <si>
    <t>Tráns Act</t>
  </si>
  <si>
    <t>Inv Proy Act</t>
  </si>
  <si>
    <t>Backorders</t>
  </si>
  <si>
    <t>Nuevo Buff Sug</t>
  </si>
  <si>
    <t>Nuevo Buff Real</t>
  </si>
  <si>
    <t>Zona Amar</t>
  </si>
  <si>
    <t>Inv Fís Act</t>
  </si>
  <si>
    <t>Estado Buffer</t>
  </si>
  <si>
    <t>FAST</t>
  </si>
  <si>
    <t>NON MOVER</t>
  </si>
  <si>
    <t>INACTIVE</t>
  </si>
  <si>
    <t>SLOW</t>
  </si>
  <si>
    <t>TIPO</t>
  </si>
  <si>
    <t>GRUPO</t>
  </si>
  <si>
    <t>PEDIDCalc</t>
  </si>
  <si>
    <t>PEDID Real</t>
  </si>
  <si>
    <t>Comprom</t>
  </si>
  <si>
    <t>Directorio personalizado</t>
  </si>
  <si>
    <t>Path completo</t>
  </si>
  <si>
    <t>Directorio completo</t>
  </si>
  <si>
    <t>Nombre compuesto</t>
  </si>
  <si>
    <t>Empresa</t>
  </si>
  <si>
    <t>Bodega</t>
  </si>
  <si>
    <t>AGROTACENTRAL</t>
  </si>
  <si>
    <t>Para nombre de tablas de Datos importados</t>
  </si>
  <si>
    <t>Rentabilid</t>
  </si>
  <si>
    <t>codigo</t>
  </si>
  <si>
    <t>LINEA</t>
  </si>
  <si>
    <t>CANTIDAD</t>
  </si>
  <si>
    <t>Path completo de windows del Control de Buffers</t>
  </si>
  <si>
    <t>Nombre del archivo sin extensión</t>
  </si>
  <si>
    <t>Nombre de la pestaña</t>
  </si>
  <si>
    <t>Nombre simplificado</t>
  </si>
  <si>
    <t>Nombre</t>
  </si>
  <si>
    <t>Número</t>
  </si>
  <si>
    <t>Fecha Inventario Físico</t>
  </si>
  <si>
    <t>Nombre del workbook</t>
  </si>
  <si>
    <t>Path archivo "ARCHIVO" e "ITEMS POR BODEGA"</t>
  </si>
  <si>
    <t>Proveedor</t>
  </si>
  <si>
    <t>PROVEEDOR</t>
  </si>
  <si>
    <t>FILAS NUEVO PERÍODO</t>
  </si>
  <si>
    <t>COLUMNA PRIMER CAMPO</t>
  </si>
  <si>
    <t>Observaciones</t>
  </si>
  <si>
    <t>Inv Proveed</t>
  </si>
  <si>
    <t>DESTINO</t>
  </si>
  <si>
    <t>UNIDO</t>
  </si>
  <si>
    <t>PATH BASE</t>
  </si>
  <si>
    <t>ORIGEN</t>
  </si>
  <si>
    <t>CTV</t>
  </si>
  <si>
    <t>PV</t>
  </si>
  <si>
    <t>Inicio Periodo</t>
  </si>
  <si>
    <t>Fin Periodo</t>
  </si>
  <si>
    <t>GuardarOK</t>
  </si>
  <si>
    <t>BODEGA</t>
  </si>
  <si>
    <t>ARCHIVO</t>
  </si>
  <si>
    <t>PRIMER DIA</t>
  </si>
  <si>
    <t>ULTIMO DIA</t>
  </si>
  <si>
    <t>HOY</t>
  </si>
  <si>
    <t>DIAS FIN PERIODO</t>
  </si>
  <si>
    <t>DIAS PERIODO</t>
  </si>
  <si>
    <t>ITEMS TOTALES</t>
  </si>
  <si>
    <t>ITEMS CONTROL BUFFERS</t>
  </si>
  <si>
    <t>10/02/2010</t>
  </si>
  <si>
    <t>EMPRESA</t>
  </si>
  <si>
    <t>AGROTACENTRALPROPIA</t>
  </si>
  <si>
    <t>C:\RAM CAS\MEJORA CONTINUA\</t>
  </si>
  <si>
    <t>C:\RAM CAS\MEJORA CONTINUA\CONTROL DE BUFFERS\ARCHIVO\</t>
  </si>
  <si>
    <t>Color</t>
  </si>
  <si>
    <t>Servicio</t>
  </si>
  <si>
    <t>Codigo</t>
  </si>
  <si>
    <t>Buffer</t>
  </si>
  <si>
    <t>Fecha</t>
  </si>
  <si>
    <t>InvFis</t>
  </si>
  <si>
    <t>Zona Roj</t>
  </si>
  <si>
    <t>Total general</t>
  </si>
  <si>
    <t>Valores</t>
  </si>
  <si>
    <t>COD ORIGINAL</t>
  </si>
  <si>
    <t>COD SUSTITUTO</t>
  </si>
  <si>
    <t>Ult Cambio</t>
  </si>
  <si>
    <t>COSTO TOTAL</t>
  </si>
  <si>
    <t>COSTO BUFFER</t>
  </si>
  <si>
    <t>AGROTAMAXGUAYAQUIL</t>
  </si>
  <si>
    <t>AGROTAPROMACOFI</t>
  </si>
  <si>
    <t>AGROTAEIGUANCHI</t>
  </si>
  <si>
    <t>Ult Fecha</t>
  </si>
  <si>
    <t>Ult Buff</t>
  </si>
  <si>
    <t>Ult Cambio Buffer</t>
  </si>
  <si>
    <t>Cam</t>
  </si>
  <si>
    <t>FECHA</t>
  </si>
  <si>
    <t>BUFFER</t>
  </si>
  <si>
    <t>FECHA1</t>
  </si>
  <si>
    <t>FREC REP</t>
  </si>
  <si>
    <t>TIEMP SUMINIS</t>
  </si>
  <si>
    <t>ARCHIVO:</t>
  </si>
  <si>
    <t>Costo buff:</t>
  </si>
  <si>
    <t>Vel Efect</t>
  </si>
  <si>
    <t>PEDID Prom</t>
  </si>
  <si>
    <t>T$D</t>
  </si>
  <si>
    <t>I$D</t>
  </si>
  <si>
    <t>Ciclo Efectivo</t>
  </si>
  <si>
    <t>T NIV SER (DIAS)</t>
  </si>
  <si>
    <t>DÍAS NIVEL SERVICIO</t>
  </si>
  <si>
    <t>FECHAFIN</t>
  </si>
  <si>
    <t>FECHAINI</t>
  </si>
  <si>
    <t>HORIZONTE</t>
  </si>
  <si>
    <t>Inicio Per</t>
  </si>
  <si>
    <t>Fin Per</t>
  </si>
  <si>
    <t>Nuevo Inicio</t>
  </si>
  <si>
    <t>GDB</t>
  </si>
  <si>
    <t>Unos y ceros</t>
  </si>
  <si>
    <t>Unos y Ceros</t>
  </si>
  <si>
    <t>Var</t>
  </si>
  <si>
    <t>Buff Min</t>
  </si>
  <si>
    <t>Nuevo Buff Ingles</t>
  </si>
  <si>
    <t>Costo físico:</t>
  </si>
  <si>
    <t>COSTO FISICO</t>
  </si>
  <si>
    <t>COSTO TRANSITO</t>
  </si>
  <si>
    <t>Costo tráns:</t>
  </si>
  <si>
    <t>CodigoVentaProducto</t>
  </si>
  <si>
    <t>NombreProveedor</t>
  </si>
  <si>
    <t>PEDID Min</t>
  </si>
  <si>
    <t>Porc Aten</t>
  </si>
  <si>
    <t>ROI</t>
  </si>
  <si>
    <t>ERRORES PERIODO</t>
  </si>
  <si>
    <t>Idioma</t>
  </si>
  <si>
    <t>Problemas Período</t>
  </si>
  <si>
    <t>Ult Buffer</t>
  </si>
  <si>
    <t>CALENDARIO</t>
  </si>
  <si>
    <t>INICIO</t>
  </si>
  <si>
    <t>PICO</t>
  </si>
  <si>
    <t>DECLIVE</t>
  </si>
  <si>
    <t>NORMAL</t>
  </si>
  <si>
    <t>% CAMBIO</t>
  </si>
  <si>
    <t>Aumento Buffer - Fin GDB</t>
  </si>
  <si>
    <t>Buffer Pico</t>
  </si>
  <si>
    <t>Primera Reducción</t>
  </si>
  <si>
    <t>Buff Primera Reducción</t>
  </si>
  <si>
    <t>Segunda Reducción-Inicio GDB</t>
  </si>
  <si>
    <t>Buff Segunda Reducción</t>
  </si>
  <si>
    <t>Semana Hoy</t>
  </si>
  <si>
    <t>Últ Semana Año Anterior</t>
  </si>
  <si>
    <t>Dentro de Cambios por Estacionalidad?</t>
  </si>
  <si>
    <t>Periodo Normal</t>
  </si>
  <si>
    <t>Periodo Repartido</t>
  </si>
  <si>
    <t>Está en buffer pico?</t>
  </si>
  <si>
    <t>Pico Normal</t>
  </si>
  <si>
    <t>Pico Especial</t>
  </si>
  <si>
    <t>Está en primera reducción?</t>
  </si>
  <si>
    <t>Primera red normal</t>
  </si>
  <si>
    <t>Primera red especial</t>
  </si>
  <si>
    <t>Tiempo Suministro</t>
  </si>
  <si>
    <t>Buffer Actual</t>
  </si>
  <si>
    <t>Buffer Estacional</t>
  </si>
  <si>
    <t>Calendario Estacional</t>
  </si>
  <si>
    <t>Buff Estacional</t>
  </si>
  <si>
    <t>Buff Ant Estacion</t>
  </si>
  <si>
    <t>ROI ANUAL</t>
  </si>
  <si>
    <t>REFRESCADA</t>
  </si>
  <si>
    <t>FECHA REFRESCADO</t>
  </si>
  <si>
    <t>NUM SUBIDAS</t>
  </si>
  <si>
    <t>NUM BAJADAS</t>
  </si>
  <si>
    <t>Inicio Aumentos</t>
  </si>
  <si>
    <t>Duración Aumento</t>
  </si>
  <si>
    <t>Inicio Disminución</t>
  </si>
  <si>
    <t>Fin Aumentos</t>
  </si>
  <si>
    <t>Fin Disminución</t>
  </si>
  <si>
    <t>Duración Disminución</t>
  </si>
  <si>
    <t>aux 1</t>
  </si>
  <si>
    <t>posición cero</t>
  </si>
  <si>
    <t>aux 2</t>
  </si>
  <si>
    <t>Coincidir</t>
  </si>
  <si>
    <t>KesimoMenor</t>
  </si>
  <si>
    <t>Matriz K</t>
  </si>
  <si>
    <t>Matriz Ordenada</t>
  </si>
  <si>
    <t>PERIODOS DE AUMENTO</t>
  </si>
  <si>
    <t>Factor Repartición Aumento</t>
  </si>
  <si>
    <t>Factor Repartición Disminución</t>
  </si>
  <si>
    <t>PERIODOS DE DISMINUCIONES</t>
  </si>
  <si>
    <t>En qué disminución estoy?</t>
  </si>
  <si>
    <t>En qué aumento estoy?</t>
  </si>
  <si>
    <t>Vector Aumentos</t>
  </si>
  <si>
    <t>Vector Disminuciones</t>
  </si>
  <si>
    <t>Aumentos Posibles</t>
  </si>
  <si>
    <t>Disminuc Posibles</t>
  </si>
  <si>
    <t>Aux Avisos Aumentos</t>
  </si>
  <si>
    <t>Avisos Aumentos</t>
  </si>
  <si>
    <t>Aux Avisos Disminuciones</t>
  </si>
  <si>
    <t>Avisos Disminuciones</t>
  </si>
  <si>
    <t>Aviso General</t>
  </si>
  <si>
    <t>Etapa Estacional</t>
  </si>
  <si>
    <t>Acción Estacional</t>
  </si>
  <si>
    <t>Nuevo Avisos Aumentos</t>
  </si>
  <si>
    <t>Vector Ordenado Aumentos</t>
  </si>
  <si>
    <t>Vector Ordenado Disminuciones</t>
  </si>
  <si>
    <t>Nuevo Aviso Disminuciones</t>
  </si>
  <si>
    <t>Impacto Faltante</t>
  </si>
  <si>
    <t>TabARCHIVO</t>
  </si>
  <si>
    <t>PATH</t>
  </si>
  <si>
    <t>Prioridad</t>
  </si>
  <si>
    <t>Horizonte</t>
  </si>
  <si>
    <t>T Suministro</t>
  </si>
  <si>
    <t>Frec Repos</t>
  </si>
  <si>
    <t>F5</t>
  </si>
  <si>
    <t>codigo1</t>
  </si>
  <si>
    <t>CTV1</t>
  </si>
  <si>
    <t>PV1</t>
  </si>
  <si>
    <t>F10</t>
  </si>
  <si>
    <t>codigo2</t>
  </si>
  <si>
    <t>F13</t>
  </si>
  <si>
    <t>codigo3</t>
  </si>
  <si>
    <t>F16</t>
  </si>
  <si>
    <t>codigo4</t>
  </si>
  <si>
    <t>Fecha a insertar en Horizonte</t>
  </si>
  <si>
    <t>PERIODO:</t>
  </si>
  <si>
    <t>Min Inicio:</t>
  </si>
  <si>
    <t>Esta aplicación de Gestión de Buffers de Distribución ha sido diseñada y programada en su totalidad por el Ing. Carlos Semanate especialista en Teoría de Restricciones.</t>
  </si>
  <si>
    <t>csemanate@mejoracontinua.biz</t>
  </si>
  <si>
    <t>098467589</t>
  </si>
  <si>
    <t>Quito, Cuenca - Ecuador</t>
  </si>
  <si>
    <t>El uso de este material está permitido sólo a aquellas personas que hayan adquirido la licencia. El uso no autorizado de la misma viola las leyes de propiedad intelectual.</t>
  </si>
  <si>
    <t>BodegaProveedor</t>
  </si>
  <si>
    <t>Causa</t>
  </si>
  <si>
    <t>Item estancado</t>
  </si>
  <si>
    <t>PERFIL</t>
  </si>
  <si>
    <t>Perfil</t>
  </si>
  <si>
    <t>Falta período al inicio</t>
  </si>
  <si>
    <t>Falta período al final</t>
  </si>
  <si>
    <t>Hay proveedores que no corresponden a esta bodega</t>
  </si>
  <si>
    <t>Hay perfiles que no corresponden a este archivo o bodega</t>
  </si>
  <si>
    <t>Fecha no presente en el período.</t>
  </si>
  <si>
    <t>Descripción</t>
  </si>
  <si>
    <t>Error</t>
  </si>
  <si>
    <t>Hay bodegas que no corresponden a este archivo</t>
  </si>
  <si>
    <t>Hay proveedores que están mal asignados</t>
  </si>
  <si>
    <t>Har perfiles que están mal asignados</t>
  </si>
  <si>
    <t>BodegaPerfil</t>
  </si>
  <si>
    <t>No hay proveedor asignado</t>
  </si>
  <si>
    <t>No hay perfil asignado</t>
  </si>
  <si>
    <t>No hay porcentaje de atención</t>
  </si>
  <si>
    <t>No hay inicio de período</t>
  </si>
  <si>
    <t>Errores genéricos</t>
  </si>
  <si>
    <t>Errores raros</t>
  </si>
  <si>
    <t>No hay bodega asignada</t>
  </si>
  <si>
    <t>Mínimo Final Período</t>
  </si>
  <si>
    <t>CAMPOS</t>
  </si>
  <si>
    <t>Buff Calc</t>
  </si>
  <si>
    <t>Consumo</t>
  </si>
  <si>
    <t>CONSUMO</t>
  </si>
  <si>
    <t>BuffAct</t>
  </si>
  <si>
    <t>InvFisAct</t>
  </si>
  <si>
    <t>Recupera Inv Fis</t>
  </si>
  <si>
    <t>BuffFecha</t>
  </si>
  <si>
    <t>InvFisActFecha</t>
  </si>
  <si>
    <t>Unidad Empaque</t>
  </si>
  <si>
    <t>Porcent Lleno</t>
  </si>
  <si>
    <t>Aumento por Estacionalidad</t>
  </si>
  <si>
    <t>PORCENT LINEA ROJA</t>
  </si>
  <si>
    <t>Color1</t>
  </si>
  <si>
    <t>Sugerencia aumento de buffer (GDB)</t>
  </si>
  <si>
    <t>Iniciativa de reducción de inventario</t>
  </si>
  <si>
    <t xml:space="preserve">Item por ser dado de baja </t>
  </si>
  <si>
    <t>Sugerencia Reducción de Buffer (GDB)</t>
  </si>
  <si>
    <t>COD_BODEGA</t>
  </si>
  <si>
    <t>COD_EMPRESA</t>
  </si>
  <si>
    <t>NOMBRE</t>
  </si>
  <si>
    <t>NOMBRE_COMPLETO</t>
  </si>
  <si>
    <t>BODEGASKU</t>
  </si>
  <si>
    <t>PORCENT PEDID MIN</t>
  </si>
  <si>
    <t>TIPO HORIZONTE</t>
  </si>
  <si>
    <t>SUBLINEA</t>
  </si>
  <si>
    <t>MODELO</t>
  </si>
  <si>
    <t>FAMILIA</t>
  </si>
  <si>
    <t>SUBFAMILIA</t>
  </si>
  <si>
    <t>CATEGORIA</t>
  </si>
  <si>
    <t>MARCA</t>
  </si>
  <si>
    <t>CAT PROPIA 1</t>
  </si>
  <si>
    <t>CAT PROPIA 2</t>
  </si>
  <si>
    <t>CAT PROPIA 3</t>
  </si>
  <si>
    <t>CAT PROPIA 4</t>
  </si>
  <si>
    <t>CAT PROPIA 5</t>
  </si>
  <si>
    <t>CAT MANAGEMENT</t>
  </si>
  <si>
    <t>pro_empresa_id</t>
  </si>
  <si>
    <t>pro_codigo</t>
  </si>
  <si>
    <t>pro_codigovinculado</t>
  </si>
  <si>
    <t>pro_codigogenerico</t>
  </si>
  <si>
    <t>pro_codigopromocion</t>
  </si>
  <si>
    <t>pro_descripcion</t>
  </si>
  <si>
    <t>pro_grupo_id</t>
  </si>
  <si>
    <t>pro_grupo</t>
  </si>
  <si>
    <t>pro_linea_id</t>
  </si>
  <si>
    <t>pro_linea</t>
  </si>
  <si>
    <t>pro_sublinea_id</t>
  </si>
  <si>
    <t>pro_sublinea</t>
  </si>
  <si>
    <t>pro_modelo_id</t>
  </si>
  <si>
    <t>pro_modelo</t>
  </si>
  <si>
    <t>pro_familia</t>
  </si>
  <si>
    <t>pro_subfamilia_id</t>
  </si>
  <si>
    <t>pro_subfamilia</t>
  </si>
  <si>
    <t>pro_categoria_id</t>
  </si>
  <si>
    <t>pro_categoria</t>
  </si>
  <si>
    <t>pro_tipo_id</t>
  </si>
  <si>
    <t>pro_tipo</t>
  </si>
  <si>
    <t>pro_marca_id</t>
  </si>
  <si>
    <t>pro_marca</t>
  </si>
  <si>
    <t>pro_cat_management_id</t>
  </si>
  <si>
    <t>pro_cat_management</t>
  </si>
  <si>
    <t>pro_catpropia1_id</t>
  </si>
  <si>
    <t>pro_catpropia1</t>
  </si>
  <si>
    <t>pro_catpropia2_id</t>
  </si>
  <si>
    <t>pro_catpropia2</t>
  </si>
  <si>
    <t>pro_catpropia3_id</t>
  </si>
  <si>
    <t>pro_catpropia3</t>
  </si>
  <si>
    <t>pro_catpropia4_id</t>
  </si>
  <si>
    <t>pro_catpropia4</t>
  </si>
  <si>
    <t>pro_catpropia5_id</t>
  </si>
  <si>
    <t>pro_catpropia5</t>
  </si>
  <si>
    <t>pro_tiporeposicion</t>
  </si>
  <si>
    <t>pro_peso</t>
  </si>
  <si>
    <t>pro_unidad_peso</t>
  </si>
  <si>
    <t>pro_volumen</t>
  </si>
  <si>
    <t>pro_unidad_volumen</t>
  </si>
  <si>
    <t>pro_activo</t>
  </si>
  <si>
    <t>pro_control_buffer</t>
  </si>
  <si>
    <t>pro_precio</t>
  </si>
  <si>
    <t>pro_costo</t>
  </si>
  <si>
    <t>pro_truput_total</t>
  </si>
  <si>
    <t>pro_fechadescontinuado</t>
  </si>
  <si>
    <t>pro_unidad</t>
  </si>
  <si>
    <t>pro_fecha_actualizacion</t>
  </si>
  <si>
    <t>pro_notas</t>
  </si>
  <si>
    <t>inv_empresa_id</t>
  </si>
  <si>
    <t>inv_bodega_id</t>
  </si>
  <si>
    <t>inv_producto_id</t>
  </si>
  <si>
    <t>inv_existencia</t>
  </si>
  <si>
    <t>inv_transito</t>
  </si>
  <si>
    <t>inv_comprometido</t>
  </si>
  <si>
    <t>inv_backorder</t>
  </si>
  <si>
    <t>inv_entradas</t>
  </si>
  <si>
    <t>inv_salidas</t>
  </si>
  <si>
    <t>inv_consumo</t>
  </si>
  <si>
    <t>CODIGO VINCULADO</t>
  </si>
  <si>
    <t>CODIGO GENERICO</t>
  </si>
  <si>
    <t>CODIGO FUNCIONAL</t>
  </si>
  <si>
    <t>PEDID Min Grupo</t>
  </si>
  <si>
    <t>Negociación</t>
  </si>
  <si>
    <t>Producción</t>
  </si>
  <si>
    <t>Embarcado</t>
  </si>
  <si>
    <t>inv_negociacion</t>
  </si>
  <si>
    <t>inv_produccion</t>
  </si>
  <si>
    <t>inv_embarcado</t>
  </si>
  <si>
    <t>COD_PROVEEDOR</t>
  </si>
  <si>
    <t>USA PED PROM</t>
  </si>
  <si>
    <t>Buffer inicial</t>
  </si>
  <si>
    <t>Cambio por sobrestimacion de venta por omision de transferencias</t>
  </si>
  <si>
    <t>Error de estimacion inicial de buffer</t>
  </si>
  <si>
    <t>Nuevo Item</t>
  </si>
  <si>
    <t>Por promocion de ventas</t>
  </si>
  <si>
    <t>Proyección de Crecimiento</t>
  </si>
  <si>
    <t>Hay asignados calendarios estacionales que no existen</t>
  </si>
  <si>
    <t>InvProyAct</t>
  </si>
  <si>
    <t>Estado Buffer Proy</t>
  </si>
  <si>
    <t>Rentabilidad Proy</t>
  </si>
  <si>
    <t>Cobertura Buffer</t>
  </si>
  <si>
    <t>Cobertura Inv Proy</t>
  </si>
  <si>
    <t>Días Desabastecimiento</t>
  </si>
  <si>
    <t>Buff Max</t>
  </si>
  <si>
    <t>Fecha Calendario</t>
  </si>
  <si>
    <t>Cobertura Ped Min</t>
  </si>
  <si>
    <t>Err Ped Grupo</t>
  </si>
  <si>
    <t>Comportamiento</t>
  </si>
  <si>
    <t>Numero Fila</t>
  </si>
  <si>
    <t xml:space="preserve">Buffer </t>
  </si>
  <si>
    <t>Físico</t>
  </si>
  <si>
    <t>Proyectado</t>
  </si>
  <si>
    <t>Entradas</t>
  </si>
  <si>
    <t>Salidas</t>
  </si>
  <si>
    <t xml:space="preserve">Salidas </t>
  </si>
  <si>
    <t xml:space="preserve">Entradas </t>
  </si>
  <si>
    <t>Disminución por Estacionalidad</t>
  </si>
  <si>
    <t>Ingresos</t>
  </si>
  <si>
    <t>Egresos</t>
  </si>
  <si>
    <t>Posponer BUF</t>
  </si>
  <si>
    <t>Posponer RED</t>
  </si>
  <si>
    <t>Posponer GDB</t>
  </si>
  <si>
    <t>Recupera Inv Fis2</t>
  </si>
  <si>
    <t>MES</t>
  </si>
  <si>
    <t>EGRESOS</t>
  </si>
  <si>
    <t>INGRESOS</t>
  </si>
  <si>
    <t>unidades</t>
  </si>
  <si>
    <t>Consumo Calculado</t>
  </si>
  <si>
    <t>Pico Calculado</t>
  </si>
  <si>
    <t>Buffer Calculado</t>
  </si>
  <si>
    <t>unidades/sem</t>
  </si>
  <si>
    <t>Estatus</t>
  </si>
  <si>
    <t>Ult Transfer Inicial</t>
  </si>
  <si>
    <t>Ult Transfer Final</t>
  </si>
  <si>
    <t>Comportamiento Incremento</t>
  </si>
  <si>
    <t>Comportamiento Reducción</t>
  </si>
  <si>
    <t>pro_estatus</t>
  </si>
  <si>
    <t>Ultimo Inicio</t>
  </si>
  <si>
    <t>Ultimo Fin</t>
  </si>
  <si>
    <t>Analisis comercial</t>
  </si>
  <si>
    <t>Frecuencia Mayor</t>
  </si>
  <si>
    <t>Frecuencia Menor</t>
  </si>
  <si>
    <t>Item Descontinuado</t>
  </si>
  <si>
    <t>No se Cumple MOQ</t>
  </si>
  <si>
    <t>Separador de listas</t>
  </si>
  <si>
    <t>Etiquetas de fila</t>
  </si>
  <si>
    <t>Pedido Mínimo</t>
  </si>
  <si>
    <t>Sugerencia GDB</t>
  </si>
  <si>
    <t>Cobertura Pedido Mínimo</t>
  </si>
  <si>
    <t>Buffer Mínimo</t>
  </si>
  <si>
    <t>Buffer Máximo</t>
  </si>
  <si>
    <t>Pedido Mínimo Grupo</t>
  </si>
  <si>
    <t>Último Buffer</t>
  </si>
  <si>
    <t>Inventario Proveedor</t>
  </si>
  <si>
    <t>Último Cambio Buffer</t>
  </si>
  <si>
    <t>Rentabilidad</t>
  </si>
  <si>
    <t>Rentabilidad Proyectada</t>
  </si>
  <si>
    <t>Tránsito</t>
  </si>
  <si>
    <t>Comprometido</t>
  </si>
  <si>
    <t>Backorder</t>
  </si>
  <si>
    <t>PVP</t>
  </si>
  <si>
    <t>Pedido Calculado</t>
  </si>
  <si>
    <t>Pedido Promedio</t>
  </si>
  <si>
    <t>Línea Amarilla</t>
  </si>
  <si>
    <t>Línea Roja</t>
  </si>
  <si>
    <t>Color Físico</t>
  </si>
  <si>
    <t>Color Proyectado</t>
  </si>
  <si>
    <t>Buffer Basado en el Consumo Real</t>
  </si>
  <si>
    <t>Frecuencia Reposición</t>
  </si>
  <si>
    <t>Horizonte de Análisis</t>
  </si>
  <si>
    <t>Cobertura Proyectado</t>
  </si>
  <si>
    <t>Buffer Antes Estación</t>
  </si>
  <si>
    <t>Factor Pico</t>
  </si>
  <si>
    <t>Trúput Unitario</t>
  </si>
  <si>
    <t>Trúput Anual Proyectado</t>
  </si>
  <si>
    <t>Consumo Semanal</t>
  </si>
  <si>
    <t>Consumo Anual proyectado</t>
  </si>
  <si>
    <t>Inversión</t>
  </si>
  <si>
    <t>Rentabilidad Proyección Anual</t>
  </si>
  <si>
    <t>MOV</t>
  </si>
  <si>
    <t>Utilizar Servicio Calculado</t>
  </si>
  <si>
    <t>Nombre del archivo actual junto al número del tab donde se almacenan sus datos al respaldar.</t>
  </si>
  <si>
    <t>Fecha de Inicio y Fin del período (campos que poseen fechas que almacenan datos de inventario) de la presente hoja.</t>
  </si>
  <si>
    <t>Duración del período de la presente hoja en días.</t>
  </si>
  <si>
    <t>Usuario activo para la presente hoja.</t>
  </si>
  <si>
    <t>Fecha mínima que tiene que existir en el período para poder albergar todos los datos requeridos de los ítems presentes en la hoja.</t>
  </si>
  <si>
    <t>Visualiza los asuntos relacionados a la Estacionalidad, en caso que los haya.</t>
  </si>
  <si>
    <t>Sistema para posponer las alertas de Gestión Dinámica de Buffers (GDB) y las de Comportamiento (BUF y RED).</t>
  </si>
  <si>
    <t>Gráfico de Evolución de Buffers del ítem seleccionado.</t>
  </si>
  <si>
    <t>Datos de Consumo del ítem seleccionado.</t>
  </si>
  <si>
    <t>Cambio de Vista de la Hoja CB.</t>
  </si>
  <si>
    <t>Oculta los campos seleccionados.</t>
  </si>
  <si>
    <t>Botones de desplazamiento.</t>
  </si>
  <si>
    <t>En el caso de existir errores de asignación de Proveedores o Perfiles, lleva la Vista a donde se ubican esos errores.</t>
  </si>
  <si>
    <t>Campo de búsqueda de ítems. Filtra aquellos ítems que corresponden a lo que se escribe dentro de este campo. Se activa con tres caracteres.</t>
  </si>
  <si>
    <t>Lista de todos los campos disponibles. Al seleccionar uno, dirige la vista hacia ese campo, aún cuando previamente se haya encontrado escondido.</t>
  </si>
  <si>
    <t>Quita filtros presentes.</t>
  </si>
  <si>
    <t>Ordenamiento múltiple. Señalar las cabeceras de los campos por los que se quiere ordenar y luego presionar el botón. Para cambiar el sentido del ordenamiento se señala una celda por encima de la cabecera.</t>
  </si>
  <si>
    <t>Elimina campos del período seleccionados.</t>
  </si>
  <si>
    <t>Ordenamiento ascendente y descendente del campo cuya cabecera se haya seleccionado. Sólo se aplica para un campo</t>
  </si>
  <si>
    <t>USA_FISICO</t>
  </si>
  <si>
    <t>USA_TRANSITO</t>
  </si>
  <si>
    <t>USA_COMPROMETIDO</t>
  </si>
  <si>
    <t>USA_BACKORDER</t>
  </si>
  <si>
    <t>TIPO_TRANSITO</t>
  </si>
  <si>
    <t>Aumenta y disminuye ítems en la Hoja CB.</t>
  </si>
  <si>
    <t>Buf: Lleva la celda activa a la columna que almacena el Buffer Actual.</t>
  </si>
  <si>
    <t>Pri: Lleva la celda activa a la columna en la que terminan los campos normales y comienzan los campos de Período.</t>
  </si>
  <si>
    <t>Hoy: Lleva celda activa a la columna cuya fecha es la de HOY en el Período.</t>
  </si>
  <si>
    <t>Ini: Lleva la celda activa a la columna del inicio del Horizonte del ítem seleccionado.</t>
  </si>
  <si>
    <t>Fin: Lleva la celda activa a la columna del final del Horizonte del ítem seleccionado.</t>
  </si>
  <si>
    <t>Ordenamiento priorizado basado en el color.</t>
  </si>
  <si>
    <t>Refrescado:</t>
  </si>
  <si>
    <t>Etapa</t>
  </si>
  <si>
    <t>pro_familia_id</t>
  </si>
  <si>
    <t>TIPO_BACKORDER</t>
  </si>
  <si>
    <t>Ventas Perdidas</t>
  </si>
  <si>
    <t>Clasificación</t>
  </si>
  <si>
    <t>Responsable</t>
  </si>
  <si>
    <t>Precio Promoción</t>
  </si>
  <si>
    <t>Inicio Promoción</t>
  </si>
  <si>
    <t>Fin Promoción</t>
  </si>
  <si>
    <t>pro_clasificacion</t>
  </si>
  <si>
    <t>pro_responsable</t>
  </si>
  <si>
    <t>pro_precio_promocion</t>
  </si>
  <si>
    <t>pro_promocion_desde</t>
  </si>
  <si>
    <t>pro_promocion_hasta</t>
  </si>
  <si>
    <t>inv_ventas_perdidas</t>
  </si>
  <si>
    <t>CONTROL: Centro de Control de la Hoja.</t>
  </si>
  <si>
    <t>TRÁNSITO: Visualizar el tránsito del ítem seleccionado.</t>
  </si>
  <si>
    <t>CAMBIO BUFFERS: Ejecuta el cambio de buffer de los productos seleccionados. No olvidara previamente llenar los datos de Nuevo Buffer Sugerido con sus Observaciones.</t>
  </si>
  <si>
    <t>Bodega Seleccionada</t>
  </si>
  <si>
    <t>Código Seleccionado</t>
  </si>
  <si>
    <t>DEVOLUCIONES</t>
  </si>
  <si>
    <t xml:space="preserve">EGRESOS </t>
  </si>
  <si>
    <t xml:space="preserve">DEVOLUCIONES </t>
  </si>
  <si>
    <t xml:space="preserve">INGRESOS </t>
  </si>
  <si>
    <t xml:space="preserve"> </t>
  </si>
  <si>
    <t>BDG. DE PRODUCTO TERMI PLANTA</t>
  </si>
  <si>
    <t>H521A000</t>
  </si>
  <si>
    <t>BODEGA_NOMBRE</t>
  </si>
  <si>
    <t>(Todas)</t>
  </si>
  <si>
    <t>CODIGO_GENERICO</t>
  </si>
  <si>
    <t>CODIGO_VINCULADO</t>
  </si>
  <si>
    <t>TIPO_COMPROMETIDO</t>
  </si>
  <si>
    <t>TIPO_CONSUMO</t>
  </si>
  <si>
    <t>Campo</t>
  </si>
  <si>
    <t>Categoría</t>
  </si>
  <si>
    <t>Porcentaje</t>
  </si>
  <si>
    <t>Redondeo Unidad Empaque</t>
  </si>
  <si>
    <t>Redondeo Pedido Mínimo</t>
  </si>
  <si>
    <t>NombreUnico</t>
  </si>
  <si>
    <t>Pedid Calc Auxiliar</t>
  </si>
  <si>
    <t>Hay vacíos en la columna Redondeo Pedido Mínimo</t>
  </si>
  <si>
    <t>Hay vacíos en la columna Redondeo Unidad Empaque</t>
  </si>
  <si>
    <t>Default</t>
  </si>
  <si>
    <t>Fechas que tienen Cambio Buffer pero no están en el Período</t>
  </si>
  <si>
    <t>DESCRIPCIÓN</t>
  </si>
  <si>
    <t>HOJA CB</t>
  </si>
  <si>
    <t>Hay vacíos en la columna Código</t>
  </si>
  <si>
    <t>DUPLICADOS</t>
  </si>
  <si>
    <t>INICIO REFRESCADO</t>
  </si>
  <si>
    <t>Abre la hoja donde se pueden ver los ítems repetidos que se encuentran en otras Hojas CB.</t>
  </si>
  <si>
    <t>Si el usuario hace una selección de un rango, el aplastar ese botón ajustará la selección únicamente a las celdas visibles.</t>
  </si>
  <si>
    <t>Si el usuario hace una selección de un rango, el aplastar ese botón ajustará la selección únicamente a las celdas vacías.</t>
  </si>
  <si>
    <t>REFRESCAR: Refrescado de la Hoja. Recalcula las fórmulas en el caso que se haya hecho un cambio y se necesite ver su efecto inmediato. Al final del proceso ya se CARGAN los datos a la BASE de DATOS.</t>
  </si>
  <si>
    <t>TIPO REFRESCADO</t>
  </si>
  <si>
    <t>Coincidir Codigo en Producto</t>
  </si>
  <si>
    <t>Bodega-Codigo</t>
  </si>
  <si>
    <t>=</t>
  </si>
  <si>
    <t>Fila Cabeceras Control</t>
  </si>
  <si>
    <t>Coincidir Bodega Perfil</t>
  </si>
  <si>
    <t>BODEGA-CODIGO</t>
  </si>
  <si>
    <t>Columnas Horizonte</t>
  </si>
  <si>
    <t>Coincidir Bodega Codigo en Consumo</t>
  </si>
  <si>
    <t>Coincidir Bodega Codigo en Inventario</t>
  </si>
  <si>
    <t>Coincidir Calendario en Tabla_Est</t>
  </si>
  <si>
    <t>filas</t>
  </si>
  <si>
    <t>INICIO_HORIZONTE</t>
  </si>
  <si>
    <t>Coincidir Bodega Codigo en Servicio</t>
  </si>
  <si>
    <t>Coincidir Bodega Codigo en Ultimo Cambio</t>
  </si>
  <si>
    <t>BodegaProveedorPrioridad</t>
  </si>
  <si>
    <t>Transferencias</t>
  </si>
  <si>
    <t>Manual</t>
  </si>
  <si>
    <t>COMPRA LOCAL</t>
  </si>
  <si>
    <t>Borrar</t>
  </si>
  <si>
    <t>Usuario: admin</t>
  </si>
  <si>
    <t>admin</t>
  </si>
  <si>
    <t>O:\TRANSFERENCIAS ACTIVAS\10 _ 19-10-2016 - LOHMANN &amp; RAUSCHER - Bodega ECU.xlsm</t>
  </si>
  <si>
    <t>10 _ 19-10-2016 - LOHMANN &amp; RAUSCHER - Bodega ECU.xlsm</t>
  </si>
  <si>
    <t>O:\TRANSFERENCIAS ACTIVAS\11 _ 19-10-2016 - LOHMANN &amp; RAUSCHER - Bodega ECU.xlsm</t>
  </si>
  <si>
    <t>11 _ 19-10-2016 - LOHMANN &amp; RAUSCHER - Bodega ECU.xlsm</t>
  </si>
  <si>
    <t>FECHA PROGRAMADA</t>
  </si>
  <si>
    <t>ULTIMA TRANSFERENCIA</t>
  </si>
  <si>
    <t>DIAS ATRASO</t>
  </si>
  <si>
    <t>Ítems mal atendidos en frecuencia de reposiciones</t>
  </si>
  <si>
    <t>Ítems mal atendidos en tiempo de suministro</t>
  </si>
  <si>
    <t>INICIO ULTIMA TRANSFERENCIA</t>
  </si>
  <si>
    <t>FIN ULTIMA TRANSFERENCIA</t>
  </si>
  <si>
    <t>DIAS ULTIMA TRANSFERENCIA</t>
  </si>
  <si>
    <t>DIAS TIEMPO SUMINISTRO</t>
  </si>
  <si>
    <t>(en blanco)</t>
  </si>
  <si>
    <t>CODTRANSFER</t>
  </si>
  <si>
    <t>TRANSITO</t>
  </si>
  <si>
    <t>REFERENCIA</t>
  </si>
  <si>
    <t>FECHAARRIBO</t>
  </si>
  <si>
    <t>COSTO</t>
  </si>
  <si>
    <t>INVFIS</t>
  </si>
  <si>
    <t>INVTRANS</t>
  </si>
  <si>
    <t>INVPROY</t>
  </si>
  <si>
    <t>Suma de TRANSITO</t>
  </si>
  <si>
    <t>REPORTE TRÁNSITO DETALLADO</t>
  </si>
  <si>
    <t>Bodega ECU</t>
  </si>
  <si>
    <t>ULT FECHA INI</t>
  </si>
  <si>
    <t>ULT FECHA FIN</t>
  </si>
  <si>
    <t>SERVICIO</t>
  </si>
  <si>
    <t>CONTROL</t>
  </si>
  <si>
    <t>Patron_Transferencia</t>
  </si>
  <si>
    <t>COD_TRANSFER</t>
  </si>
  <si>
    <t>COD_TRANSF</t>
  </si>
  <si>
    <t>BOD_COD</t>
  </si>
  <si>
    <t>TRAN_REF</t>
  </si>
  <si>
    <t>FALTA_FECHA</t>
  </si>
  <si>
    <t>No existe fecha en período</t>
  </si>
  <si>
    <t>Archivos Bodega</t>
  </si>
  <si>
    <t>Min Inicio</t>
  </si>
  <si>
    <t>sum</t>
  </si>
  <si>
    <t>Nota: Evaluar la posibilidad de cambiar la Frecuencia de Reposición en los respectivos Perfiles o hacer reposiciones más frecuentes.</t>
  </si>
  <si>
    <t>Nota: Evaluar la posibilidad de cambiar el Tiempo de Suministro en los respectivos Perfiles o negociar con el proveedor tiempos de entrega más cortos.</t>
  </si>
  <si>
    <t>Alertas notables del sistema a tomarse en cuenta por el Controlador de Buffers.</t>
  </si>
  <si>
    <t>Número de ítems-bodega en la Hoja CB totales y los actualmente filtrados.</t>
  </si>
  <si>
    <t>Hay vacíos en la columna Pedid Min</t>
  </si>
  <si>
    <t>Hay vacíos en la columna Unidad Empaque</t>
  </si>
  <si>
    <t>IDENTIFICACIÓN SKU</t>
  </si>
  <si>
    <t>PARÁMETROS SKU</t>
  </si>
  <si>
    <t>REPOSICIONES</t>
  </si>
  <si>
    <t>Última Transferencia Ini</t>
  </si>
  <si>
    <t>Última Transferencia Fin</t>
  </si>
  <si>
    <t>GESTIÓN DE BUFFERS</t>
  </si>
  <si>
    <t>ESTACIONALIDAD</t>
  </si>
  <si>
    <t>INDICADORES</t>
  </si>
  <si>
    <t>Fecha Nuevo Pedido</t>
  </si>
  <si>
    <t>Fecha Esperada Arribo</t>
  </si>
  <si>
    <t>Estado Reposiciones</t>
  </si>
  <si>
    <t>Omisiones GDB</t>
  </si>
  <si>
    <t>Condicion aumentar buffer</t>
  </si>
  <si>
    <t>Color Repos Frec</t>
  </si>
  <si>
    <t>REDAX AEREO</t>
  </si>
  <si>
    <t>REDAX MARITIMO</t>
  </si>
  <si>
    <t>HALYARD MARITIMO</t>
  </si>
  <si>
    <t>HALYARD AEREO</t>
  </si>
  <si>
    <t>STERYLAB MARITIMO</t>
  </si>
  <si>
    <t>STERYLAB AEREO</t>
  </si>
  <si>
    <t>METREX AEREO</t>
  </si>
  <si>
    <t>METREX MARITIMO</t>
  </si>
  <si>
    <t>SAGE AEREO</t>
  </si>
  <si>
    <t>SAGE MARITIMO</t>
  </si>
  <si>
    <t>REDAX</t>
  </si>
  <si>
    <t>METREX</t>
  </si>
  <si>
    <t>20928</t>
  </si>
  <si>
    <t>20833</t>
  </si>
  <si>
    <t>10128</t>
  </si>
  <si>
    <t>10-6000</t>
  </si>
  <si>
    <t>10410</t>
  </si>
  <si>
    <t>"Catéter Torácico Angulado PVC CH 28 / 9,"</t>
  </si>
  <si>
    <t>Catéter Torácco Silicón recto CH 33 / 11</t>
  </si>
  <si>
    <t>SIMPLE 3 - Chest drain two chambers Reci</t>
  </si>
  <si>
    <t>METRICIDE OPA PLUS DESINFECTANTE DE QUIR</t>
  </si>
  <si>
    <t>RESERVORIO DE SILICON DE 200ML</t>
  </si>
  <si>
    <t>CATETERES ANGULADOS PVC</t>
  </si>
  <si>
    <t>CATETERES DE SILICON RECTO</t>
  </si>
  <si>
    <t>CAMPANA  DOS CAMARAS</t>
  </si>
  <si>
    <t>RESERVORIOS</t>
  </si>
  <si>
    <t>FECHA_HASTA</t>
  </si>
  <si>
    <t>FECHA_DE</t>
  </si>
  <si>
    <t xml:space="preserve"> METRICIDE</t>
  </si>
  <si>
    <t>ESTATUS</t>
  </si>
  <si>
    <t>No es Gris</t>
  </si>
  <si>
    <t>D:\Documents RAMCAS\RAM CAS\MEJORA CONTINUA\</t>
  </si>
  <si>
    <t>SUBIR BASE DATOS</t>
  </si>
  <si>
    <t>No se pudo cargar a la base de datos</t>
  </si>
  <si>
    <t>Calendario Prueba</t>
  </si>
  <si>
    <t>ARROZ</t>
  </si>
  <si>
    <t>completo</t>
  </si>
  <si>
    <t>16/04/2018</t>
  </si>
  <si>
    <t>17/04/2018</t>
  </si>
  <si>
    <t>18/04/2018</t>
  </si>
  <si>
    <t>19/04/2018</t>
  </si>
  <si>
    <t>20/04/2018</t>
  </si>
  <si>
    <t>23/04/2018</t>
  </si>
  <si>
    <t>24/04/2018</t>
  </si>
  <si>
    <t>25/04/2018</t>
  </si>
  <si>
    <t>26/04/2018</t>
  </si>
  <si>
    <t>27/04/2018</t>
  </si>
  <si>
    <t>30/04/2018</t>
  </si>
  <si>
    <t>01/05/2018</t>
  </si>
  <si>
    <t>02/05/2018</t>
  </si>
  <si>
    <t>03/05/2018</t>
  </si>
  <si>
    <t>04/05/2018</t>
  </si>
  <si>
    <t>07/05/2018</t>
  </si>
  <si>
    <t>08/05/2018</t>
  </si>
  <si>
    <t>09/05/2018</t>
  </si>
  <si>
    <t>10/05/2018</t>
  </si>
  <si>
    <t>11/05/2018</t>
  </si>
  <si>
    <t>14/05/2018</t>
  </si>
  <si>
    <t>15/05/2018</t>
  </si>
  <si>
    <t>16/05/2018</t>
  </si>
  <si>
    <t>17/05/2018</t>
  </si>
  <si>
    <t>18/05/2018</t>
  </si>
  <si>
    <t>21/05/2018</t>
  </si>
  <si>
    <t>22/05/2018</t>
  </si>
  <si>
    <t>23/05/2018</t>
  </si>
  <si>
    <t>24/05/2018</t>
  </si>
  <si>
    <t>2018</t>
  </si>
  <si>
    <t>25/05/2018</t>
  </si>
  <si>
    <t>28/05/2018</t>
  </si>
  <si>
    <t>29/05/2018</t>
  </si>
  <si>
    <t>30/05/2018</t>
  </si>
  <si>
    <t>31/05/2018</t>
  </si>
  <si>
    <t>01/06/2018</t>
  </si>
  <si>
    <t>04/06/2018</t>
  </si>
  <si>
    <t>05/06/2018</t>
  </si>
  <si>
    <t>06/06/2018</t>
  </si>
  <si>
    <t>07/06/2018</t>
  </si>
  <si>
    <t>08/06/2018</t>
  </si>
  <si>
    <t>11/06/2018</t>
  </si>
  <si>
    <t>12/06/2018</t>
  </si>
  <si>
    <t>13/06/2018</t>
  </si>
  <si>
    <t>14/06/2018</t>
  </si>
  <si>
    <t>15/06/2018</t>
  </si>
  <si>
    <t>18/06/2018</t>
  </si>
  <si>
    <t>19/06/2018</t>
  </si>
  <si>
    <t>20/06/2018</t>
  </si>
  <si>
    <t>21/06/2018</t>
  </si>
  <si>
    <t>22/06/2018</t>
  </si>
  <si>
    <t>25/06/2018</t>
  </si>
  <si>
    <t>26/06/2018</t>
  </si>
  <si>
    <t>27/06/2018</t>
  </si>
  <si>
    <t>28/06/2018</t>
  </si>
  <si>
    <t>29/06/2018</t>
  </si>
  <si>
    <t>02/07/2018</t>
  </si>
  <si>
    <t>03/07/2018</t>
  </si>
  <si>
    <t>04/07/2018</t>
  </si>
  <si>
    <t>05/07/2018</t>
  </si>
  <si>
    <t>Promedio Mensual</t>
  </si>
  <si>
    <t>Buffer Usuario</t>
  </si>
  <si>
    <t>mar</t>
  </si>
  <si>
    <t>12-mar</t>
  </si>
  <si>
    <t>17-mar</t>
  </si>
  <si>
    <t>18-mar</t>
  </si>
  <si>
    <t>19-mar</t>
  </si>
  <si>
    <t>28-mar</t>
  </si>
  <si>
    <t>29-mar</t>
  </si>
  <si>
    <t>06/07/2018</t>
  </si>
  <si>
    <t>09/07/2018</t>
  </si>
  <si>
    <t>10/07/2018</t>
  </si>
  <si>
    <t>11/07/2018</t>
  </si>
  <si>
    <t>12/07/2018</t>
  </si>
  <si>
    <t>13/07/2018</t>
  </si>
  <si>
    <t>16/07/2018</t>
  </si>
  <si>
    <t>17/07/2018</t>
  </si>
  <si>
    <t>18/07/2018</t>
  </si>
  <si>
    <t>1</t>
  </si>
  <si>
    <t>AGROTA</t>
  </si>
  <si>
    <t>AGROTA COMPAÑÍA LIMITADA</t>
  </si>
  <si>
    <t>Maquinas ECHO - SHINDAIWA.xlsm</t>
  </si>
  <si>
    <t>O:\Maquinas ECHO - SHINDAIWA.xlsm</t>
  </si>
  <si>
    <t>Bodega Central Agrota</t>
  </si>
  <si>
    <t>AGROTA BODEGA  YAMABIKO</t>
  </si>
  <si>
    <t>AGROTA BODEGA  YAMABIKOBodega Central Agrota</t>
  </si>
  <si>
    <t>120215162424790</t>
  </si>
  <si>
    <t>AGROTA BODEGA SUCRE</t>
  </si>
  <si>
    <t>AGROTA BODEGA SUCREBodega Central Agrota</t>
  </si>
  <si>
    <t>110103160055089</t>
  </si>
  <si>
    <t>AGROTA SUKAMPO FERIA LIBRE</t>
  </si>
  <si>
    <t>BODEGA CENTRAL MAQUINAS</t>
  </si>
  <si>
    <t>AGROTA SUKAMPO FERIA LIBREBODEGA CENTRAL MAQUINAS</t>
  </si>
  <si>
    <t>150309000000214</t>
  </si>
  <si>
    <t>130206666653994</t>
  </si>
  <si>
    <t>AGROTA SUKAMPO FERIA LIBREBodega Central Agrota</t>
  </si>
  <si>
    <t>AGROTA SUKAMPO GUAYAQUIL</t>
  </si>
  <si>
    <t>BODEGA CENTRAL</t>
  </si>
  <si>
    <t>AGROTA SUKAMPO GUAYAQUILBODEGA CENTRAL</t>
  </si>
  <si>
    <t>160121103434904</t>
  </si>
  <si>
    <t>110420124037319</t>
  </si>
  <si>
    <t>AGROTA SUKAMPO GUAYAQUILBODEGA CENTRAL MAQUINAS</t>
  </si>
  <si>
    <t>AGROTA SUKAMPO GUAYAQUILBodega Central Agrota</t>
  </si>
  <si>
    <t>AGROTA SUKAMPO MILAGRO</t>
  </si>
  <si>
    <t>AGROTA SUKAMPO MILAGROBodega Central Agrota</t>
  </si>
  <si>
    <t>170519131011096</t>
  </si>
  <si>
    <t>AGROTA SUKAMPO QUEVEDO</t>
  </si>
  <si>
    <t>AGROTA SUKAMPO QUEVEDOBodega Central Agrota</t>
  </si>
  <si>
    <t>150819131822444</t>
  </si>
  <si>
    <t>AGROTA SUKAMPO UNIDAD NACIONAL</t>
  </si>
  <si>
    <t>AGROTA SUKAMPO UNIDAD NACIONALBODEGA CENTRAL</t>
  </si>
  <si>
    <t>160830093721889</t>
  </si>
  <si>
    <t>AGROTA SUKAMPO UNIDAD NACIONALBodega Central Agrota</t>
  </si>
  <si>
    <t>AGROTA TALLER SUKAMPO MILAGRO</t>
  </si>
  <si>
    <t>AGROTA TALLER SUKAMPO MILAGROBodega Central Agrota</t>
  </si>
  <si>
    <t>170628150112413</t>
  </si>
  <si>
    <t>AGROTA TALLER SUKAMPO QUEVEDO</t>
  </si>
  <si>
    <t>AGROTA TALLER SUKAMPO QUEVEDOBodega Central Agrota</t>
  </si>
  <si>
    <t>170922164353992</t>
  </si>
  <si>
    <t>AGROTA TALLER SUKAMPO UNIDAD NACIONAL</t>
  </si>
  <si>
    <t>AGROTA TALLER SUKAMPO UNIDAD NACIONALBodega Central Agrota</t>
  </si>
  <si>
    <t>170103125302978</t>
  </si>
  <si>
    <t>AGROTA TALLER SUKAMPO UNIDAD NACIONALBODEGA CENTRAL</t>
  </si>
  <si>
    <t>Ikra</t>
  </si>
  <si>
    <t>BODEGA CENTRALIkra</t>
  </si>
  <si>
    <t>IKRA</t>
  </si>
  <si>
    <t>Compra Local Maquinas</t>
  </si>
  <si>
    <t>BODEGA CENTRALCompra Local Maquinas</t>
  </si>
  <si>
    <t>CLM</t>
  </si>
  <si>
    <t>Jf</t>
  </si>
  <si>
    <t>BODEGA CENTRALJf</t>
  </si>
  <si>
    <t>JF</t>
  </si>
  <si>
    <t>BCS</t>
  </si>
  <si>
    <t>BODEGA CENTRALBCS</t>
  </si>
  <si>
    <t>Echo</t>
  </si>
  <si>
    <t>BODEGA CENTRALEcho</t>
  </si>
  <si>
    <t>EC</t>
  </si>
  <si>
    <t>Chatani</t>
  </si>
  <si>
    <t>BODEGA CENTRALChatani</t>
  </si>
  <si>
    <t>CHA</t>
  </si>
  <si>
    <t>Patriot</t>
  </si>
  <si>
    <t>BODEGA CENTRALPatriot</t>
  </si>
  <si>
    <t>PA</t>
  </si>
  <si>
    <t>Bodega Central AgrotaPatriot</t>
  </si>
  <si>
    <t>INCOMAGRI</t>
  </si>
  <si>
    <t>Bodega Central AgrotaINCOMAGRI</t>
  </si>
  <si>
    <t>INCO</t>
  </si>
  <si>
    <t>MIRAL</t>
  </si>
  <si>
    <t>Bodega Central AgrotaMIRAL</t>
  </si>
  <si>
    <t>MI</t>
  </si>
  <si>
    <t>Bodega Central AgrotaIkra</t>
  </si>
  <si>
    <t>MFW</t>
  </si>
  <si>
    <t>Bodega Central AgrotaMFW</t>
  </si>
  <si>
    <t>160426094817421</t>
  </si>
  <si>
    <t>Bodega Central AgrotaCompra Local Maquinas</t>
  </si>
  <si>
    <t>Bodega Central AgrotaJf</t>
  </si>
  <si>
    <t>Bodega Central AgrotaBCS</t>
  </si>
  <si>
    <t>COMERCIAL KYWI</t>
  </si>
  <si>
    <t>Bodega Central AgrotaCOMERCIAL KYWI</t>
  </si>
  <si>
    <t>54153</t>
  </si>
  <si>
    <t>Sirfran</t>
  </si>
  <si>
    <t>Bodega Central AgrotaSirfran</t>
  </si>
  <si>
    <t>SIRF</t>
  </si>
  <si>
    <t>BODEGA CENTRAL MATERIA PRIMA</t>
  </si>
  <si>
    <t>Bodega Central AgrotaBODEGA CENTRAL MATERIA PRIMA</t>
  </si>
  <si>
    <t>Bodega Central AgrotaEcho</t>
  </si>
  <si>
    <t>Bodega Central AgrotaChatani</t>
  </si>
  <si>
    <t>Duaja</t>
  </si>
  <si>
    <t>Bodega Central AgrotaDuaja</t>
  </si>
  <si>
    <t>DU</t>
  </si>
  <si>
    <t>EUROLATTE</t>
  </si>
  <si>
    <t>Bodega Central AgrotaEUROLATTE</t>
  </si>
  <si>
    <t>EURO</t>
  </si>
  <si>
    <t>BORALSAN</t>
  </si>
  <si>
    <t>Bodega Central AgrotaBORALSAN</t>
  </si>
  <si>
    <t>150626152627031</t>
  </si>
  <si>
    <t>FORD</t>
  </si>
  <si>
    <t>Bodega Central AgrotaFORD</t>
  </si>
  <si>
    <t>JM ESTRADA</t>
  </si>
  <si>
    <t>Bodega Central AgrotaJM ESTRADA</t>
  </si>
  <si>
    <t>BODEGA CENTRAL MAQUINASJf</t>
  </si>
  <si>
    <t>Sinochem</t>
  </si>
  <si>
    <t>BODEGA CENTRAL MAQUINASSinochem</t>
  </si>
  <si>
    <t>SN</t>
  </si>
  <si>
    <t>BODEGA CENTRAL MAQUINASBCS</t>
  </si>
  <si>
    <t>BODEGA CENTRAL MAQUINASEcho</t>
  </si>
  <si>
    <t>BODEGA CENTRAL MAQUINASChatani</t>
  </si>
  <si>
    <t>Compra Local Quimicos</t>
  </si>
  <si>
    <t>BODEGA CENTRAL MAQUINASCompra Local Quimicos</t>
  </si>
  <si>
    <t>CLQ</t>
  </si>
  <si>
    <t>BODEGA CENTRAL MAQUINASCompra Local Maquinas</t>
  </si>
  <si>
    <t>BODEGA CENTRAL MAQUINASIkra</t>
  </si>
  <si>
    <t>MATERIA PRIMA</t>
  </si>
  <si>
    <t>BODEGA CENTRAL MAQUINASMATERIA PRIMA</t>
  </si>
  <si>
    <t>120927162604298</t>
  </si>
  <si>
    <t>BODEGA CENTRAL MATERIA PRIMACompra Local Quimicos</t>
  </si>
  <si>
    <t>BODEGA DUPOCSA ARENAL</t>
  </si>
  <si>
    <t>BODEGA DUPOCSA ARENALBodega Central Agrota</t>
  </si>
  <si>
    <t>160408121526198</t>
  </si>
  <si>
    <t>BODEGA DUPOCSA CONCORDIA</t>
  </si>
  <si>
    <t>BODEGA DUPOCSA CONCORDIABodega Central Agrota</t>
  </si>
  <si>
    <t>160408121656687</t>
  </si>
  <si>
    <t>BODEGA DUPOCSA QUEVEDO</t>
  </si>
  <si>
    <t>BODEGA DUPOCSA QUEVEDOBodega Central Agrota</t>
  </si>
  <si>
    <t>160408121615846</t>
  </si>
  <si>
    <t>BODEGA MERCALIMSA</t>
  </si>
  <si>
    <t>BODEGA MERCALIMSAMATERIA PRIMA</t>
  </si>
  <si>
    <t>150321233312345</t>
  </si>
  <si>
    <t>BODEGA MERCALIMSABODEGA CENTRAL MATERIA PRIMA</t>
  </si>
  <si>
    <t>BODEGA MERCALIMSACompra Local Quimicos</t>
  </si>
  <si>
    <t>BODEGA SATELITE AGROINSUMOS RIERA</t>
  </si>
  <si>
    <t>BODEGA SATELITE AGROINSUMOS RIERABodega Central Agrota</t>
  </si>
  <si>
    <t>151111093145058</t>
  </si>
  <si>
    <t>BODEGA SATELITE COMERCIAL COCA</t>
  </si>
  <si>
    <t>BODEGA SATELITE COMERCIAL COCABodega Central Agrota</t>
  </si>
  <si>
    <t>160617124200534</t>
  </si>
  <si>
    <t>BODEGA SUKAMPO</t>
  </si>
  <si>
    <t>BODEGA SUKAMPOBodega Central Agrota</t>
  </si>
  <si>
    <t>120502085602702</t>
  </si>
  <si>
    <t>GUAYAQUIL SUKAMPO</t>
  </si>
  <si>
    <t>GUAYAQUIL SUKAMPOBodega Central Agrota</t>
  </si>
  <si>
    <t>110427120444133</t>
  </si>
  <si>
    <t>JAHER REGIONAL CDR BABAHOYO</t>
  </si>
  <si>
    <t>JAHER REGIONAL CDR BABAHOYOBodega Central Agrota</t>
  </si>
  <si>
    <t>160531163356260</t>
  </si>
  <si>
    <t>JAHER REGIONAL CDR. CUENCA</t>
  </si>
  <si>
    <t>JAHER REGIONAL CDR. CUENCABodega Central Agrota</t>
  </si>
  <si>
    <t>160531164706206</t>
  </si>
  <si>
    <t>MARCIMEX REGIONAL CUENCA</t>
  </si>
  <si>
    <t>MARCIMEX REGIONAL CUENCABodega Central Agrota</t>
  </si>
  <si>
    <t>160115094035068</t>
  </si>
  <si>
    <t>MATERIA PRIMACompra Local Quimicos</t>
  </si>
  <si>
    <t>Mercalimsa</t>
  </si>
  <si>
    <t>MATERIA PRIMAMercalimsa</t>
  </si>
  <si>
    <t>MER</t>
  </si>
  <si>
    <t>SHARDA</t>
  </si>
  <si>
    <t>MATERIA PRIMASHARDA</t>
  </si>
  <si>
    <t>160909084109118</t>
  </si>
  <si>
    <t>MATERIA PRIMASinochem</t>
  </si>
  <si>
    <t>MATERIA PRIMABODEGA MERCALIMSA</t>
  </si>
  <si>
    <t>MATERIA PRIMABODEGA CENTRAL MATERIA PRIMA</t>
  </si>
  <si>
    <t>MATERIA PRIMADuaja</t>
  </si>
  <si>
    <t>Agroenzimas</t>
  </si>
  <si>
    <t>MATERIA PRIMAAgroenzimas</t>
  </si>
  <si>
    <t>AE</t>
  </si>
  <si>
    <t xml:space="preserve">MIO CHEMICAL </t>
  </si>
  <si>
    <t xml:space="preserve">MATERIA PRIMAMIO CHEMICAL </t>
  </si>
  <si>
    <t>161123093734017</t>
  </si>
  <si>
    <t>PRODUCTO TERMINADO</t>
  </si>
  <si>
    <t>PRODUCTO TERMINADOEcho</t>
  </si>
  <si>
    <t>120927162925851</t>
  </si>
  <si>
    <t>Agrosad</t>
  </si>
  <si>
    <t>PRODUCTO TERMINADOAgrosad</t>
  </si>
  <si>
    <t>AGS</t>
  </si>
  <si>
    <t>ARS</t>
  </si>
  <si>
    <t>PRODUCTO TERMINADOARS</t>
  </si>
  <si>
    <t>AR</t>
  </si>
  <si>
    <t>PRODUCTO TERMINADOMATERIA PRIMA</t>
  </si>
  <si>
    <t>PRODUCTO TERMINADOBODEGA CENTRAL MAQUINAS</t>
  </si>
  <si>
    <t>Agroprocesos</t>
  </si>
  <si>
    <t>PRODUCTO TERMINADOAgroprocesos</t>
  </si>
  <si>
    <t>AP</t>
  </si>
  <si>
    <t>PRODUCTO TERMINADOMercalimsa</t>
  </si>
  <si>
    <t>MOTOBOMBAS</t>
  </si>
  <si>
    <t>Vacaciones anuales en CHINA</t>
  </si>
  <si>
    <t>150220102453393</t>
  </si>
  <si>
    <t>100913130112920</t>
  </si>
  <si>
    <t>10000000973</t>
  </si>
  <si>
    <t>141017160806951</t>
  </si>
  <si>
    <t>100702152835923</t>
  </si>
  <si>
    <t>10000000972</t>
  </si>
  <si>
    <t>10000000975</t>
  </si>
  <si>
    <t>130206120153097</t>
  </si>
  <si>
    <t>10000000974</t>
  </si>
  <si>
    <t>150612103911627</t>
  </si>
  <si>
    <t>100913125817857</t>
  </si>
  <si>
    <t>10000000893</t>
  </si>
  <si>
    <t>10000000981</t>
  </si>
  <si>
    <t>101130120840321</t>
  </si>
  <si>
    <t>10000000980</t>
  </si>
  <si>
    <t>10000000977</t>
  </si>
  <si>
    <t>10000001314</t>
  </si>
  <si>
    <t>10000000979</t>
  </si>
  <si>
    <t>110106130038390</t>
  </si>
  <si>
    <t>110112160243767</t>
  </si>
  <si>
    <t>10000001183</t>
  </si>
  <si>
    <t>10000000978</t>
  </si>
  <si>
    <t>10000000976</t>
  </si>
  <si>
    <t>110126171246694</t>
  </si>
  <si>
    <t>150420092705113</t>
  </si>
  <si>
    <t>10000000971</t>
  </si>
  <si>
    <t>150220093315404</t>
  </si>
  <si>
    <t>150612110458216</t>
  </si>
  <si>
    <t>110126172220528</t>
  </si>
  <si>
    <t>130816120819919</t>
  </si>
  <si>
    <t>110126171926025</t>
  </si>
  <si>
    <t>140311175830146</t>
  </si>
  <si>
    <t>140315121232863</t>
  </si>
  <si>
    <t>110926101110631</t>
  </si>
  <si>
    <t>110207181356778</t>
  </si>
  <si>
    <t>110414092004747</t>
  </si>
  <si>
    <t>160915100423256</t>
  </si>
  <si>
    <t>161018131252327</t>
  </si>
  <si>
    <t>DESMALEZADORA B530</t>
  </si>
  <si>
    <t>DESMALEZADORAS 2T</t>
  </si>
  <si>
    <t>AGROFORESTAL</t>
  </si>
  <si>
    <t>15/04/2018</t>
  </si>
  <si>
    <t>10000000062</t>
  </si>
  <si>
    <t>10000000063</t>
  </si>
  <si>
    <t>10000000108</t>
  </si>
  <si>
    <t>10000000113</t>
  </si>
  <si>
    <t>10000000136</t>
  </si>
  <si>
    <t>10000000145</t>
  </si>
  <si>
    <t>10000000154</t>
  </si>
  <si>
    <t>10000000177</t>
  </si>
  <si>
    <t>10000000188</t>
  </si>
  <si>
    <t>10000000189</t>
  </si>
  <si>
    <t>10000000193</t>
  </si>
  <si>
    <t>10000000261</t>
  </si>
  <si>
    <t>10000000262</t>
  </si>
  <si>
    <t>10000000377</t>
  </si>
  <si>
    <t>10000000551</t>
  </si>
  <si>
    <t>10000000565</t>
  </si>
  <si>
    <t>10000000649</t>
  </si>
  <si>
    <t>10000000681</t>
  </si>
  <si>
    <t>10000000684</t>
  </si>
  <si>
    <t>10000000689</t>
  </si>
  <si>
    <t>10000000690</t>
  </si>
  <si>
    <t>10000000760</t>
  </si>
  <si>
    <t>10000000761</t>
  </si>
  <si>
    <t>10000000806</t>
  </si>
  <si>
    <t>10000000819</t>
  </si>
  <si>
    <t>10000000832</t>
  </si>
  <si>
    <t>10000001198</t>
  </si>
  <si>
    <t>10000001207</t>
  </si>
  <si>
    <t>10000001224</t>
  </si>
  <si>
    <t>10000001228</t>
  </si>
  <si>
    <t>10000001295</t>
  </si>
  <si>
    <t>10000001296</t>
  </si>
  <si>
    <t>10000001347</t>
  </si>
  <si>
    <t>10000001348</t>
  </si>
  <si>
    <t>100913115046210</t>
  </si>
  <si>
    <t>100913115240277</t>
  </si>
  <si>
    <t>100913120617842</t>
  </si>
  <si>
    <t>100913120847882</t>
  </si>
  <si>
    <t>100913124815104</t>
  </si>
  <si>
    <t>101217160504765</t>
  </si>
  <si>
    <t>110105170300750</t>
  </si>
  <si>
    <t>110105172843897</t>
  </si>
  <si>
    <t>110105190415202</t>
  </si>
  <si>
    <t>110105191826671</t>
  </si>
  <si>
    <t>110105193407528</t>
  </si>
  <si>
    <t>110105193654793</t>
  </si>
  <si>
    <t>110105194010948</t>
  </si>
  <si>
    <t>110105210031223</t>
  </si>
  <si>
    <t>110105210854077</t>
  </si>
  <si>
    <t>110105211525327</t>
  </si>
  <si>
    <t>110105212809046</t>
  </si>
  <si>
    <t>110105213324683</t>
  </si>
  <si>
    <t>110105214159174</t>
  </si>
  <si>
    <t>110106084908563</t>
  </si>
  <si>
    <t>110106085734536</t>
  </si>
  <si>
    <t>110106090010865</t>
  </si>
  <si>
    <t>110106090316584</t>
  </si>
  <si>
    <t>110106093616330</t>
  </si>
  <si>
    <t>110106094107085</t>
  </si>
  <si>
    <t>110106094545703</t>
  </si>
  <si>
    <t>110106100836991</t>
  </si>
  <si>
    <t>110106102425602</t>
  </si>
  <si>
    <t>110106102704333</t>
  </si>
  <si>
    <t>110106103751206</t>
  </si>
  <si>
    <t>110106104019173</t>
  </si>
  <si>
    <t>110106105214532</t>
  </si>
  <si>
    <t>110106112007112</t>
  </si>
  <si>
    <t>110106123014239</t>
  </si>
  <si>
    <t>110106142102926</t>
  </si>
  <si>
    <t>110106142334832</t>
  </si>
  <si>
    <t>110106142838396</t>
  </si>
  <si>
    <t>110106143124627</t>
  </si>
  <si>
    <t>110106143748628</t>
  </si>
  <si>
    <t>110106144125648</t>
  </si>
  <si>
    <t>110106150932702</t>
  </si>
  <si>
    <t>110106151731526</t>
  </si>
  <si>
    <t>110106152241867</t>
  </si>
  <si>
    <t>110106152757114</t>
  </si>
  <si>
    <t>110106152825123</t>
  </si>
  <si>
    <t>110106152959831</t>
  </si>
  <si>
    <t>110106153215224</t>
  </si>
  <si>
    <t>110106153746784</t>
  </si>
  <si>
    <t>110106154128876</t>
  </si>
  <si>
    <t>110106171538622</t>
  </si>
  <si>
    <t>110106171756605</t>
  </si>
  <si>
    <t>110106172826568</t>
  </si>
  <si>
    <t>110106174324042</t>
  </si>
  <si>
    <t>110106175047085</t>
  </si>
  <si>
    <t>110107094838078</t>
  </si>
  <si>
    <t>110107102724140</t>
  </si>
  <si>
    <t>110107110302078</t>
  </si>
  <si>
    <t>110107165618522</t>
  </si>
  <si>
    <t>110107170653567</t>
  </si>
  <si>
    <t>110111151756893</t>
  </si>
  <si>
    <t>110112172405771</t>
  </si>
  <si>
    <t>110113094920075</t>
  </si>
  <si>
    <t>110113095700091</t>
  </si>
  <si>
    <t>110113153333027</t>
  </si>
  <si>
    <t>110118133900110</t>
  </si>
  <si>
    <t>110121172140891</t>
  </si>
  <si>
    <t>110126103122133</t>
  </si>
  <si>
    <t>110126155311253</t>
  </si>
  <si>
    <t>110126165743307</t>
  </si>
  <si>
    <t>110218171718047</t>
  </si>
  <si>
    <t>110323160145303</t>
  </si>
  <si>
    <t>110323172115418</t>
  </si>
  <si>
    <t>110330113333686</t>
  </si>
  <si>
    <t>110413111150961</t>
  </si>
  <si>
    <t>110502155835932</t>
  </si>
  <si>
    <t>110504174745668</t>
  </si>
  <si>
    <t>110919124457607</t>
  </si>
  <si>
    <t>120123145046694</t>
  </si>
  <si>
    <t>120123150159838</t>
  </si>
  <si>
    <t>120210160328392</t>
  </si>
  <si>
    <t>120307172657348</t>
  </si>
  <si>
    <t>120511123908264</t>
  </si>
  <si>
    <t>120808161340060</t>
  </si>
  <si>
    <t>120919131900783</t>
  </si>
  <si>
    <t>121114171333702</t>
  </si>
  <si>
    <t>121203173423067</t>
  </si>
  <si>
    <t>121203173947671</t>
  </si>
  <si>
    <t>121206163956495</t>
  </si>
  <si>
    <t>130509090443539</t>
  </si>
  <si>
    <t>130607122113008</t>
  </si>
  <si>
    <t>130814160413676</t>
  </si>
  <si>
    <t>130814160716665</t>
  </si>
  <si>
    <t>130827115242335</t>
  </si>
  <si>
    <t>131122154651763</t>
  </si>
  <si>
    <t>140307083017569</t>
  </si>
  <si>
    <t>140702104429310</t>
  </si>
  <si>
    <t>150226120437267</t>
  </si>
  <si>
    <t>150626120608080</t>
  </si>
  <si>
    <t>150626121407556</t>
  </si>
  <si>
    <t>150929114500771</t>
  </si>
  <si>
    <t>160215113021292</t>
  </si>
  <si>
    <t>160215113711295</t>
  </si>
  <si>
    <t>160801092947433</t>
  </si>
  <si>
    <t>160801093344119</t>
  </si>
  <si>
    <t>160801093656974</t>
  </si>
  <si>
    <t>161114160711381</t>
  </si>
  <si>
    <t>161216112830037</t>
  </si>
  <si>
    <t>161216130556052</t>
  </si>
  <si>
    <t>ECHO 165</t>
  </si>
  <si>
    <t>10-mar</t>
  </si>
  <si>
    <t>11-mar</t>
  </si>
  <si>
    <t>13-mar</t>
  </si>
  <si>
    <t>14-mar</t>
  </si>
  <si>
    <t>15-mar</t>
  </si>
  <si>
    <t>16-mar</t>
  </si>
  <si>
    <t>20-mar</t>
  </si>
  <si>
    <t>21-mar</t>
  </si>
  <si>
    <t>23-mar</t>
  </si>
  <si>
    <t>24-mar</t>
  </si>
  <si>
    <t>25-mar</t>
  </si>
  <si>
    <t>26-mar</t>
  </si>
  <si>
    <t>27-mar</t>
  </si>
  <si>
    <t>30-mar</t>
  </si>
  <si>
    <t>abr</t>
  </si>
  <si>
    <t>02-abr</t>
  </si>
  <si>
    <t>03-abr</t>
  </si>
  <si>
    <t>04-abr</t>
  </si>
  <si>
    <t>05-abr</t>
  </si>
  <si>
    <t>06-abr</t>
  </si>
  <si>
    <t>09-abr</t>
  </si>
  <si>
    <t>10-abr</t>
  </si>
  <si>
    <t>11-abr</t>
  </si>
  <si>
    <t>12-abr</t>
  </si>
  <si>
    <t>13-abr</t>
  </si>
  <si>
    <t>17-abr</t>
  </si>
  <si>
    <t>18-abr</t>
  </si>
  <si>
    <t>19-abr</t>
  </si>
  <si>
    <t>20-abr</t>
  </si>
  <si>
    <t>21/04/2018</t>
  </si>
  <si>
    <t>19/07/2018</t>
  </si>
  <si>
    <t>20/07/2018</t>
  </si>
  <si>
    <t>23/07/2018</t>
  </si>
  <si>
    <t>21-abr</t>
  </si>
  <si>
    <t>24-abr</t>
  </si>
  <si>
    <t>25-abr</t>
  </si>
  <si>
    <t>26-abr</t>
  </si>
  <si>
    <t>30-abr</t>
  </si>
  <si>
    <t>may</t>
  </si>
  <si>
    <t>01-may</t>
  </si>
  <si>
    <t>02-may</t>
  </si>
  <si>
    <t>04-may</t>
  </si>
  <si>
    <t>05-may</t>
  </si>
  <si>
    <t>07-may</t>
  </si>
  <si>
    <t>09-may</t>
  </si>
  <si>
    <t>22/04/2018</t>
  </si>
  <si>
    <t>28/04/2018</t>
  </si>
  <si>
    <t>29/04/2018</t>
  </si>
  <si>
    <t>05/05/2018</t>
  </si>
  <si>
    <t>06/05/2018</t>
  </si>
  <si>
    <t>COSTO COMPROMETIDO</t>
  </si>
  <si>
    <t>COSTO PROYECTADO</t>
  </si>
  <si>
    <t>COSTO BACKORDER</t>
  </si>
  <si>
    <t>19/05/2018</t>
  </si>
  <si>
    <t>COD_EMPRESA_e</t>
  </si>
  <si>
    <t>EMPRESA_e</t>
  </si>
  <si>
    <t>COD_BODEGA_b</t>
  </si>
  <si>
    <t>BODEGA_b</t>
  </si>
  <si>
    <t>COD_PRODUCTO_ii</t>
  </si>
  <si>
    <t>BODEGA_CODIGO</t>
  </si>
  <si>
    <t>COD_VINCULADO_ip</t>
  </si>
  <si>
    <t>COD_GENERICO_ip</t>
  </si>
  <si>
    <t>COD_PROMOCION_ip</t>
  </si>
  <si>
    <t>COD_GRUPO_ip</t>
  </si>
  <si>
    <t>GRUPO_ip</t>
  </si>
  <si>
    <t>COD_LINEA_ip</t>
  </si>
  <si>
    <t>LINEA_ip</t>
  </si>
  <si>
    <t>COD_SUBLINEA_ip</t>
  </si>
  <si>
    <t>SUBLINEA_ip</t>
  </si>
  <si>
    <t>COD_MODELO_ip</t>
  </si>
  <si>
    <t>MODELO_ip</t>
  </si>
  <si>
    <t>COD_FAMILIA_ip</t>
  </si>
  <si>
    <t>FAMILIA_ip</t>
  </si>
  <si>
    <t>COD_SUBFAMILIA_ip</t>
  </si>
  <si>
    <t>SUBFAMILIA_ip</t>
  </si>
  <si>
    <t>COD_CATEGORIA_ip</t>
  </si>
  <si>
    <t>CATEGORIA_ip</t>
  </si>
  <si>
    <t>COD_TIPO_ip</t>
  </si>
  <si>
    <t>TIPO_ip</t>
  </si>
  <si>
    <t>COD_MARCA_ip</t>
  </si>
  <si>
    <t>MARCA_ip</t>
  </si>
  <si>
    <t>COD_CAT_MANAGEMENT_ip</t>
  </si>
  <si>
    <t>CAT_MANAGEMENT_ip</t>
  </si>
  <si>
    <t>TIPO_REPOSICION_ip</t>
  </si>
  <si>
    <t>PESO_ip</t>
  </si>
  <si>
    <t>UNIDAD_PESO_ip</t>
  </si>
  <si>
    <t>VOLUMEN_ip</t>
  </si>
  <si>
    <t>UNIDAD_VOLUMEN_ip</t>
  </si>
  <si>
    <t>PRO_ACTIVO_ip</t>
  </si>
  <si>
    <t>CONTROL_BUFFER_ip</t>
  </si>
  <si>
    <t>PRECIO_ip</t>
  </si>
  <si>
    <t>CTV_ip</t>
  </si>
  <si>
    <t>TRUPUT_TOTAL_ip</t>
  </si>
  <si>
    <t>FECHA_DESCONTINUADO_ip</t>
  </si>
  <si>
    <t>UNIDAD_ip</t>
  </si>
  <si>
    <t>ESTATUS_ip</t>
  </si>
  <si>
    <t>CLASIFICACION_ip</t>
  </si>
  <si>
    <t>RESPONSABLE_ip</t>
  </si>
  <si>
    <t>PRECIO PROMOCION_ip</t>
  </si>
  <si>
    <t>PROMOCION_DESDE_ip</t>
  </si>
  <si>
    <t>PROMOCION_HASTA_ip</t>
  </si>
  <si>
    <t>FISICO_ii</t>
  </si>
  <si>
    <t>TRANSITO_ii</t>
  </si>
  <si>
    <t>NEGOCIACION_ii</t>
  </si>
  <si>
    <t>PRODUCCION_ii</t>
  </si>
  <si>
    <t>EMBARCADO_ii</t>
  </si>
  <si>
    <t>COMPROMETIDO_ii</t>
  </si>
  <si>
    <t>BACKORDER-ii</t>
  </si>
  <si>
    <t>PROYECTADO_calc</t>
  </si>
  <si>
    <t>CONSUMO_ic</t>
  </si>
  <si>
    <t>SINCRONIZA CON RAMCAS WEB: Si se ha hecho un cambio en RAMCAS Web, para que la HojaCB obtenga esos cambios, hay que presionar este botón.</t>
  </si>
  <si>
    <t>SHINDAIWA</t>
  </si>
  <si>
    <t>ECHO</t>
  </si>
  <si>
    <t>DESMALEZADORAS</t>
  </si>
  <si>
    <t>INDUSTRIAL</t>
  </si>
  <si>
    <t>EC-SHP-800EUSTD</t>
  </si>
  <si>
    <t>BOMBA DE FUMIGACION SHP-800</t>
  </si>
  <si>
    <t>PULVERIZADORA 2T</t>
  </si>
  <si>
    <t>FUMIGACION</t>
  </si>
  <si>
    <t>EC-B450R</t>
  </si>
  <si>
    <t>DESMALEZADORA B450R (B450EMC)</t>
  </si>
  <si>
    <t>EC-C230INTL</t>
  </si>
  <si>
    <t>DESMALEZADORA C230</t>
  </si>
  <si>
    <t>EC-C270EMC</t>
  </si>
  <si>
    <t>DESMALEZADORA C270</t>
  </si>
  <si>
    <t>EC-SRM-270/ULA</t>
  </si>
  <si>
    <t>DESMALEZADORA SRM 270</t>
  </si>
  <si>
    <t>EC-SRM-3605/ULA</t>
  </si>
  <si>
    <t>DESMALEZADORA SRM 3605</t>
  </si>
  <si>
    <t>EC-SRM-4300R</t>
  </si>
  <si>
    <t>DESMALEZADORA SRM 4300R</t>
  </si>
  <si>
    <t>EC-SRM-4605/ULA</t>
  </si>
  <si>
    <t>DESMALEZADORA SRM 4605</t>
  </si>
  <si>
    <t>MAQUINA MULTIUSOS</t>
  </si>
  <si>
    <t>EC-CS-420ES-45LA</t>
  </si>
  <si>
    <t>MOTOSIERRA CS-420-45 CON BARRA Y CADENA</t>
  </si>
  <si>
    <t>MOTOSIERRAS 2T</t>
  </si>
  <si>
    <t>MOTOSIERRAS</t>
  </si>
  <si>
    <t>EC-EB500/EC1</t>
  </si>
  <si>
    <t>SOPLADORA EB500</t>
  </si>
  <si>
    <t>SOPLADORAS 2T</t>
  </si>
  <si>
    <t>SOPLADORAS</t>
  </si>
  <si>
    <t>EC-C350INTL</t>
  </si>
  <si>
    <t>DESMALEZADORA C350</t>
  </si>
  <si>
    <t>EC-ES726</t>
  </si>
  <si>
    <t>BOMBA DE FUMIGACION A MOTOR ES726</t>
  </si>
  <si>
    <t>EC-CS-510-50LA</t>
  </si>
  <si>
    <t>MOTOSIERRA CS-510-50 CON BARRA Y CADENA</t>
  </si>
  <si>
    <t>NEBULIZADORA 2T</t>
  </si>
  <si>
    <t>EC-WP-1000</t>
  </si>
  <si>
    <t>BOMBA DE AGUA WP-1000</t>
  </si>
  <si>
    <t>BOMBAS DE AGUA 2T</t>
  </si>
  <si>
    <t>EC-SRM-4300F</t>
  </si>
  <si>
    <t>DESMALEZADORA SRM 4300F</t>
  </si>
  <si>
    <t>EC-HC-152/LA</t>
  </si>
  <si>
    <t>CORTASETOS HC-152 20</t>
  </si>
  <si>
    <t>CORTASETOS 2T</t>
  </si>
  <si>
    <t>CORTASETOS</t>
  </si>
  <si>
    <t>EC-GT-22GES</t>
  </si>
  <si>
    <t>PODADORA HOME GT-22GES</t>
  </si>
  <si>
    <t>EC-SRM-22GESU</t>
  </si>
  <si>
    <t>PODADORA HOME SRM-22GESU</t>
  </si>
  <si>
    <t>EC-CS-680S-70LA</t>
  </si>
  <si>
    <t>MOTOSIERRA CS-680-70 CON BARRA Y CADENA</t>
  </si>
  <si>
    <t>EC-CS-8002-80LA</t>
  </si>
  <si>
    <t>MOTOSIERRA CS-8002-80 CON BARRA Y CADENA</t>
  </si>
  <si>
    <t>EC-CS-600-60LA</t>
  </si>
  <si>
    <t>MOTOSIERRA CS-600-60 CON BARRA Y CADENA</t>
  </si>
  <si>
    <t>EC-SRM-22GES</t>
  </si>
  <si>
    <t>PODADORA HOME SRM-22GES</t>
  </si>
  <si>
    <t>EC-SP53BPE</t>
  </si>
  <si>
    <t>BOMBA DE FUMIGACION MANUAL SHINDAIWA 20LT (6475)</t>
  </si>
  <si>
    <t>FUMIGACION MANUAL</t>
  </si>
  <si>
    <t>EC-PPT-266LA</t>
  </si>
  <si>
    <t>PODADORA DE EXTENSION PPT-266</t>
  </si>
  <si>
    <t xml:space="preserve">PODADORAS DE ALTURA 2T </t>
  </si>
  <si>
    <t xml:space="preserve">PODADORAS DE ALTURA </t>
  </si>
  <si>
    <t>SOPLADORA BATERIA</t>
  </si>
  <si>
    <t>FUMIGACION ESTACIONARIA</t>
  </si>
  <si>
    <t>EC-CS-353ES-40LA</t>
  </si>
  <si>
    <t>MOTOSIERRA CS-353ES-40 CON BARRA Y CADENA</t>
  </si>
  <si>
    <t>EC-CS-620P-60LA</t>
  </si>
  <si>
    <t>MOTOSIERRA CS-620P-60 CON BARRA Y CADENA</t>
  </si>
  <si>
    <t>EC-PAS-266LA</t>
  </si>
  <si>
    <t>MAQUINA MULTIUSOS PAS 266LA</t>
  </si>
  <si>
    <t>EC-SHP-800RS</t>
  </si>
  <si>
    <t>BOMBA DE FUMIGACION SHP800 EASY START</t>
  </si>
  <si>
    <t>EC-CS-303T-30LA</t>
  </si>
  <si>
    <t>MOTOSIERRA CS-303T-30LA CON BARRA Y CADENA</t>
  </si>
  <si>
    <t>EC-MB-580LA</t>
  </si>
  <si>
    <t>NEBULIZADORA MB-580LA</t>
  </si>
  <si>
    <t>EC-DM-6120LA</t>
  </si>
  <si>
    <t>NEBULIZADORA, PULVERIZADORA DM 6120</t>
  </si>
  <si>
    <t>CORTASETOS BATERIA</t>
  </si>
  <si>
    <t>EC-22CINTL</t>
  </si>
  <si>
    <t>PODADORA HOME 22C</t>
  </si>
  <si>
    <t>EC-B530INTL</t>
  </si>
  <si>
    <t>EC-B450</t>
  </si>
  <si>
    <t>DESMALEZADORA B450 AUS</t>
  </si>
  <si>
    <t>EC-BP35INTL</t>
  </si>
  <si>
    <t>DESMALEZADORA BP35</t>
  </si>
  <si>
    <t>DESMALEZADORA BATERIA</t>
  </si>
  <si>
    <t>EC-SHP-800-2</t>
  </si>
  <si>
    <t>BOMBA DE FUMIGACION SHP-800-2</t>
  </si>
  <si>
    <t>EC-PHP-800/B</t>
  </si>
  <si>
    <t>BOMBA DE FUMIGACION ESTACIONARIA PHP800B (6218)</t>
  </si>
  <si>
    <t>EC-PB-252LA</t>
  </si>
  <si>
    <t>SOPLADORA PB252</t>
  </si>
  <si>
    <t>NUEVO</t>
  </si>
  <si>
    <t>NUEVO_ip</t>
  </si>
  <si>
    <t/>
  </si>
  <si>
    <t>G</t>
  </si>
  <si>
    <t>Milagro Sukampo.xlsm</t>
  </si>
  <si>
    <t>O:\Milagro Sukampo.xlsm</t>
  </si>
  <si>
    <t>12/05/2018</t>
  </si>
  <si>
    <t>13/05/2018</t>
  </si>
  <si>
    <t>26/05/2018</t>
  </si>
  <si>
    <t>27/05/2018</t>
  </si>
  <si>
    <t>USA ECHO</t>
  </si>
  <si>
    <t>Bodega Central AgrotaUSA ECHO</t>
  </si>
  <si>
    <t>JAPON ECHO</t>
  </si>
  <si>
    <t>Bodega Central AgrotaJAPON ECHO</t>
  </si>
  <si>
    <t>150420094049352</t>
  </si>
  <si>
    <t>10000001186</t>
  </si>
  <si>
    <t>140311175512493</t>
  </si>
  <si>
    <t>10000001185</t>
  </si>
  <si>
    <t>110106152555374</t>
  </si>
  <si>
    <t>110105171732203</t>
  </si>
  <si>
    <t>10000000892</t>
  </si>
  <si>
    <t>100913130317065</t>
  </si>
  <si>
    <t>130326100555456</t>
  </si>
  <si>
    <t>10000001145</t>
  </si>
  <si>
    <t>111221094353823</t>
  </si>
  <si>
    <t>110216120502701</t>
  </si>
  <si>
    <t>160321121036376</t>
  </si>
  <si>
    <t>171127103622465</t>
  </si>
  <si>
    <t>171127101629902</t>
  </si>
  <si>
    <t>171127102317462</t>
  </si>
  <si>
    <t>180326094645810</t>
  </si>
  <si>
    <t>180326095032840</t>
  </si>
  <si>
    <t>180326095417243</t>
  </si>
  <si>
    <t>EC-HCA-266LA</t>
  </si>
  <si>
    <t>EC-DM-6110-13EUSTD</t>
  </si>
  <si>
    <t>EC-PB-755/LA</t>
  </si>
  <si>
    <t>EC-DM-6110 EUSTD</t>
  </si>
  <si>
    <t>EC-B45INTL</t>
  </si>
  <si>
    <t>EC-EDR-210</t>
  </si>
  <si>
    <t>EC-GP450INTL</t>
  </si>
  <si>
    <t>EC-HT230/40LA</t>
  </si>
  <si>
    <t>EC-SRM-2305/ULA</t>
  </si>
  <si>
    <t>EC-M230/EMC</t>
  </si>
  <si>
    <t>EC-EA-410</t>
  </si>
  <si>
    <t>EC-T230XREMC</t>
  </si>
  <si>
    <t>EC-CS-590-60LA</t>
  </si>
  <si>
    <t>EC-DH2000</t>
  </si>
  <si>
    <t>EC-EB6000</t>
  </si>
  <si>
    <t>EC-T3000</t>
  </si>
  <si>
    <t>EC-B430F</t>
  </si>
  <si>
    <t>EC-B430R</t>
  </si>
  <si>
    <t>EC-B460</t>
  </si>
  <si>
    <t>CORTASETOS ARTICULADO HCA-266LA</t>
  </si>
  <si>
    <t>NEBULIZADORA, PULVERIZADORA 13LITROS</t>
  </si>
  <si>
    <t>SOPLADORA PB755</t>
  </si>
  <si>
    <t>DESMALEZADORA B45</t>
  </si>
  <si>
    <t>TALADRO DE 21.2CC CON FUNCION EDR-210</t>
  </si>
  <si>
    <t>BOMBA DE AGUA GP 450</t>
  </si>
  <si>
    <t>CORTASETOS HT230/40</t>
  </si>
  <si>
    <t>DESMALEZADORA SRM-2305/ULA</t>
  </si>
  <si>
    <t>MAQUINA MULTI USOS M230</t>
  </si>
  <si>
    <t>HOYADORA EA-410</t>
  </si>
  <si>
    <t>PODADORA T230</t>
  </si>
  <si>
    <t>MOTOSIERRA CS-590-60 CON BARRA Y CADENA</t>
  </si>
  <si>
    <t>CORTASETOS DH2000 LITIO</t>
  </si>
  <si>
    <t>SOPLADORA EB 6000 LITIO</t>
  </si>
  <si>
    <t>DESMALEZADORA T3000 LITIO</t>
  </si>
  <si>
    <t>DESMALEZADORA B430F</t>
  </si>
  <si>
    <t>DESMALEZADORA B430R</t>
  </si>
  <si>
    <t>DESMALEZADORA B460</t>
  </si>
  <si>
    <t>TALADRO MOTORIZADO</t>
  </si>
  <si>
    <t>UTILITARIOS 2T</t>
  </si>
  <si>
    <t>UTILITARIOS</t>
  </si>
  <si>
    <t>-</t>
  </si>
  <si>
    <t>+-</t>
  </si>
  <si>
    <t>MAC</t>
  </si>
  <si>
    <t>OK</t>
  </si>
  <si>
    <t>BUF</t>
  </si>
  <si>
    <t>A</t>
  </si>
  <si>
    <t>R</t>
  </si>
  <si>
    <t>N</t>
  </si>
  <si>
    <t>L</t>
  </si>
  <si>
    <t>V</t>
  </si>
  <si>
    <t>24/01/2017</t>
  </si>
  <si>
    <t>06/04/2017</t>
  </si>
  <si>
    <t>17/05/2017</t>
  </si>
  <si>
    <t>01/06/2017</t>
  </si>
  <si>
    <t>05/06/2017</t>
  </si>
  <si>
    <t>09/06/2017</t>
  </si>
  <si>
    <t>14/07/2017</t>
  </si>
  <si>
    <t>23/08/2017</t>
  </si>
  <si>
    <t>14/09/2017</t>
  </si>
  <si>
    <t>15/09/2017</t>
  </si>
  <si>
    <t>27/11/2017</t>
  </si>
  <si>
    <t>08/12/2017</t>
  </si>
  <si>
    <t>18/12/2017</t>
  </si>
  <si>
    <t>25/01/2018</t>
  </si>
  <si>
    <t>02/02/2018</t>
  </si>
  <si>
    <t>06/02/2018</t>
  </si>
  <si>
    <t>24/02/2018</t>
  </si>
  <si>
    <t>25/02/2018</t>
  </si>
  <si>
    <t>26/02/2018</t>
  </si>
  <si>
    <t>27/02/2018</t>
  </si>
  <si>
    <t>28/02/2018</t>
  </si>
  <si>
    <t>01/03/2018</t>
  </si>
  <si>
    <t>02/03/2018</t>
  </si>
  <si>
    <t>03/03/2018</t>
  </si>
  <si>
    <t>04/03/2018</t>
  </si>
  <si>
    <t>05/03/2018</t>
  </si>
  <si>
    <t>06/03/2018</t>
  </si>
  <si>
    <t>07/03/2018</t>
  </si>
  <si>
    <t>08/03/2018</t>
  </si>
  <si>
    <t>09/03/2018</t>
  </si>
  <si>
    <t>10/03/2018</t>
  </si>
  <si>
    <t>11/03/2018</t>
  </si>
  <si>
    <t>12/03/2018</t>
  </si>
  <si>
    <t>13/03/2018</t>
  </si>
  <si>
    <t>14/03/2018</t>
  </si>
  <si>
    <t>15/03/2018</t>
  </si>
  <si>
    <t>16/03/2018</t>
  </si>
  <si>
    <t>17/03/2018</t>
  </si>
  <si>
    <t>18/03/2018</t>
  </si>
  <si>
    <t>19/03/2018</t>
  </si>
  <si>
    <t>20/03/2018</t>
  </si>
  <si>
    <t>21/03/2018</t>
  </si>
  <si>
    <t>22/03/2018</t>
  </si>
  <si>
    <t>23/03/2018</t>
  </si>
  <si>
    <t>24/03/2018</t>
  </si>
  <si>
    <t>25/03/2018</t>
  </si>
  <si>
    <t>26/03/2018</t>
  </si>
  <si>
    <t>27/03/2018</t>
  </si>
  <si>
    <t>28/03/2018</t>
  </si>
  <si>
    <t>29/03/2018</t>
  </si>
  <si>
    <t>30/03/2018</t>
  </si>
  <si>
    <t>02/04/2018</t>
  </si>
  <si>
    <t>03/04/2018</t>
  </si>
  <si>
    <t>04/04/2018</t>
  </si>
  <si>
    <t>05/04/2018</t>
  </si>
  <si>
    <t>06/04/2018</t>
  </si>
  <si>
    <t>09/04/2018</t>
  </si>
  <si>
    <t>10/04/2018</t>
  </si>
  <si>
    <t>11/04/2018</t>
  </si>
  <si>
    <t>12/04/2018</t>
  </si>
  <si>
    <t>13/04/2018</t>
  </si>
  <si>
    <t>24/07/2018</t>
  </si>
  <si>
    <t>25/07/2018</t>
  </si>
  <si>
    <t>26/07/2018</t>
  </si>
  <si>
    <t>27/07/2018</t>
  </si>
  <si>
    <t>30/07/2018</t>
  </si>
  <si>
    <t>31/07/2018</t>
  </si>
  <si>
    <t>01/08/2018</t>
  </si>
  <si>
    <t>02/08/2018</t>
  </si>
  <si>
    <t>03/08/2018</t>
  </si>
  <si>
    <t>06/08/2018</t>
  </si>
  <si>
    <t>07/08/2018</t>
  </si>
  <si>
    <t>08/08/2018</t>
  </si>
  <si>
    <t>09/08/2018</t>
  </si>
  <si>
    <t>10/08/2018</t>
  </si>
  <si>
    <t>13/08/2018</t>
  </si>
  <si>
    <t>14/08/2018</t>
  </si>
  <si>
    <t>15/08/2018</t>
  </si>
  <si>
    <t>16/08/2018</t>
  </si>
  <si>
    <t>17/08/2018</t>
  </si>
  <si>
    <t>20/08/2018</t>
  </si>
  <si>
    <t>21/08/2018</t>
  </si>
  <si>
    <t>22/08/2018</t>
  </si>
  <si>
    <t>23/08/2018</t>
  </si>
  <si>
    <t>24/08/2018</t>
  </si>
  <si>
    <t>27/08/2018</t>
  </si>
  <si>
    <t>28/08/2018</t>
  </si>
  <si>
    <t>29/08/2018</t>
  </si>
  <si>
    <t>30/08/2018</t>
  </si>
  <si>
    <t>31/08/2018</t>
  </si>
  <si>
    <t>03/09/2018</t>
  </si>
  <si>
    <t>04/09/2018</t>
  </si>
  <si>
    <t>05/09/2018</t>
  </si>
  <si>
    <t>06/09/2018</t>
  </si>
  <si>
    <t>07/09/2018</t>
  </si>
  <si>
    <t>10/09/2018</t>
  </si>
  <si>
    <t>11/09/2018</t>
  </si>
  <si>
    <t>12/09/2018</t>
  </si>
  <si>
    <t>13/09/2018</t>
  </si>
  <si>
    <t>14/09/2018</t>
  </si>
  <si>
    <t>17/09/2018</t>
  </si>
  <si>
    <t>18/09/2018</t>
  </si>
  <si>
    <t>19/09/2018</t>
  </si>
  <si>
    <t>20/09/2018</t>
  </si>
  <si>
    <t>21/09/2018</t>
  </si>
  <si>
    <t>24/09/2018</t>
  </si>
  <si>
    <t>25/09/2018</t>
  </si>
  <si>
    <t>26/09/2018</t>
  </si>
  <si>
    <t>27/09/2018</t>
  </si>
  <si>
    <t>28/09/2018</t>
  </si>
  <si>
    <t>01/10/2018</t>
  </si>
  <si>
    <t>02/10/2018</t>
  </si>
  <si>
    <t>03/10/2018</t>
  </si>
  <si>
    <t>04/10/2018</t>
  </si>
  <si>
    <t>05/10/2018</t>
  </si>
  <si>
    <t>08/10/2018</t>
  </si>
  <si>
    <t>09/10/2018</t>
  </si>
  <si>
    <t>10/10/2018</t>
  </si>
  <si>
    <t>11/10/2018</t>
  </si>
  <si>
    <t>12/10/2018</t>
  </si>
  <si>
    <t>15/10/2018</t>
  </si>
  <si>
    <t>16/10/2018</t>
  </si>
  <si>
    <t>17/10/2018</t>
  </si>
  <si>
    <t>10000000009</t>
  </si>
  <si>
    <t>Bodega Central Agrota10000000009</t>
  </si>
  <si>
    <t>10000000012</t>
  </si>
  <si>
    <t>Bodega Central Agrota10000000012</t>
  </si>
  <si>
    <t>10000000013</t>
  </si>
  <si>
    <t>Bodega Central Agrota10000000013</t>
  </si>
  <si>
    <t>10000000015</t>
  </si>
  <si>
    <t>Bodega Central Agrota10000000015</t>
  </si>
  <si>
    <t>Bodega Central Agrota10000000035</t>
  </si>
  <si>
    <t>10000000041</t>
  </si>
  <si>
    <t>Bodega Central Agrota10000000041</t>
  </si>
  <si>
    <t>10000000043</t>
  </si>
  <si>
    <t>Bodega Central Agrota10000000043</t>
  </si>
  <si>
    <t>10000000044</t>
  </si>
  <si>
    <t>Bodega Central Agrota10000000044</t>
  </si>
  <si>
    <t>10000000057</t>
  </si>
  <si>
    <t>Bodega Central Agrota10000000057</t>
  </si>
  <si>
    <t>10000000061</t>
  </si>
  <si>
    <t>Bodega Central Agrota10000000061</t>
  </si>
  <si>
    <t>Bodega Central Agrota10000000062</t>
  </si>
  <si>
    <t>Bodega Central Agrota10000000063</t>
  </si>
  <si>
    <t>Bodega Central Agrota10000000068</t>
  </si>
  <si>
    <t>10000000070</t>
  </si>
  <si>
    <t>Bodega Central Agrota10000000070</t>
  </si>
  <si>
    <t>10000000071</t>
  </si>
  <si>
    <t>Bodega Central Agrota10000000071</t>
  </si>
  <si>
    <t>10000000080</t>
  </si>
  <si>
    <t>Bodega Central Agrota10000000080</t>
  </si>
  <si>
    <t>Bodega Central Agrota10000000083</t>
  </si>
  <si>
    <t>Bodega Central Agrota10000000084</t>
  </si>
  <si>
    <t>10000000085</t>
  </si>
  <si>
    <t>Bodega Central Agrota10000000085</t>
  </si>
  <si>
    <t>Bodega Central Agrota10000000086</t>
  </si>
  <si>
    <t>Bodega Central Agrota10000000095</t>
  </si>
  <si>
    <t>10000000096</t>
  </si>
  <si>
    <t>Bodega Central Agrota10000000096</t>
  </si>
  <si>
    <t>Bodega Central Agrota10000000098</t>
  </si>
  <si>
    <t>10000000105</t>
  </si>
  <si>
    <t>Bodega Central Agrota10000000105</t>
  </si>
  <si>
    <t>10000000106</t>
  </si>
  <si>
    <t>Bodega Central Agrota10000000106</t>
  </si>
  <si>
    <t>10000000107</t>
  </si>
  <si>
    <t>Bodega Central Agrota10000000107</t>
  </si>
  <si>
    <t>Bodega Central Agrota10000000108</t>
  </si>
  <si>
    <t>10000000109</t>
  </si>
  <si>
    <t>Bodega Central Agrota10000000109</t>
  </si>
  <si>
    <t>Bodega Central Agrota10000000110</t>
  </si>
  <si>
    <t>Bodega Central Agrota10000000113</t>
  </si>
  <si>
    <t>10000000115</t>
  </si>
  <si>
    <t>Bodega Central Agrota10000000115</t>
  </si>
  <si>
    <t>Bodega Central Agrota10000000116</t>
  </si>
  <si>
    <t>Bodega Central Agrota10000000118</t>
  </si>
  <si>
    <t>10000000121</t>
  </si>
  <si>
    <t>Bodega Central Agrota10000000121</t>
  </si>
  <si>
    <t>Bodega Central Agrota10000000122</t>
  </si>
  <si>
    <t>10000000132</t>
  </si>
  <si>
    <t>Bodega Central Agrota10000000132</t>
  </si>
  <si>
    <t>10000000133</t>
  </si>
  <si>
    <t>Bodega Central Agrota10000000133</t>
  </si>
  <si>
    <t>Bodega Central Agrota10000000136</t>
  </si>
  <si>
    <t>Bodega Central Agrota10000000145</t>
  </si>
  <si>
    <t>10000000149</t>
  </si>
  <si>
    <t>Bodega Central Agrota10000000149</t>
  </si>
  <si>
    <t>10000000150</t>
  </si>
  <si>
    <t>Bodega Central Agrota10000000150</t>
  </si>
  <si>
    <t>10000000152</t>
  </si>
  <si>
    <t>Bodega Central Agrota10000000152</t>
  </si>
  <si>
    <t>Bodega Central Agrota10000000154</t>
  </si>
  <si>
    <t>10000000156</t>
  </si>
  <si>
    <t>Bodega Central Agrota10000000156</t>
  </si>
  <si>
    <t>10000000157</t>
  </si>
  <si>
    <t>Bodega Central Agrota10000000157</t>
  </si>
  <si>
    <t>10000000162</t>
  </si>
  <si>
    <t>Bodega Central Agrota10000000162</t>
  </si>
  <si>
    <t>10000000164</t>
  </si>
  <si>
    <t>Bodega Central Agrota10000000164</t>
  </si>
  <si>
    <t>Bodega Central Agrota10000000167</t>
  </si>
  <si>
    <t>10000000168</t>
  </si>
  <si>
    <t>Bodega Central Agrota10000000168</t>
  </si>
  <si>
    <t>Bodega Central Agrota10000000169</t>
  </si>
  <si>
    <t>Bodega Central Agrota10000000170</t>
  </si>
  <si>
    <t>10000000175</t>
  </si>
  <si>
    <t>Bodega Central Agrota10000000175</t>
  </si>
  <si>
    <t>Bodega Central Agrota10000000176</t>
  </si>
  <si>
    <t>Bodega Central Agrota10000000177</t>
  </si>
  <si>
    <t>Bodega Central Agrota10000000179</t>
  </si>
  <si>
    <t>10000000181</t>
  </si>
  <si>
    <t>Bodega Central Agrota10000000181</t>
  </si>
  <si>
    <t>Bodega Central Agrota10000000182</t>
  </si>
  <si>
    <t>Bodega Central Agrota10000000184</t>
  </si>
  <si>
    <t>Bodega Central Agrota10000000187</t>
  </si>
  <si>
    <t>Bodega Central Agrota10000000188</t>
  </si>
  <si>
    <t>Bodega Central Agrota10000000189</t>
  </si>
  <si>
    <t>Bodega Central Agrota10000000193</t>
  </si>
  <si>
    <t>10000000209</t>
  </si>
  <si>
    <t>Bodega Central Agrota10000000209</t>
  </si>
  <si>
    <t>Bodega Central Agrota10000000220</t>
  </si>
  <si>
    <t>Bodega Central Agrota10000000225</t>
  </si>
  <si>
    <t>10000000233</t>
  </si>
  <si>
    <t>Bodega Central Agrota10000000233</t>
  </si>
  <si>
    <t>10000000234</t>
  </si>
  <si>
    <t>Bodega Central Agrota10000000234</t>
  </si>
  <si>
    <t>10000000237</t>
  </si>
  <si>
    <t>Bodega Central Agrota10000000237</t>
  </si>
  <si>
    <t>10000000239</t>
  </si>
  <si>
    <t>Bodega Central Agrota10000000239</t>
  </si>
  <si>
    <t>10000000244</t>
  </si>
  <si>
    <t>Bodega Central Agrota10000000244</t>
  </si>
  <si>
    <t>10000000252</t>
  </si>
  <si>
    <t>Bodega Central Agrota10000000252</t>
  </si>
  <si>
    <t>10000000255</t>
  </si>
  <si>
    <t>Bodega Central Agrota10000000255</t>
  </si>
  <si>
    <t>Bodega Central Agrota10000000258</t>
  </si>
  <si>
    <t>Bodega Central Agrota10000000261</t>
  </si>
  <si>
    <t>Bodega Central Agrota10000000262</t>
  </si>
  <si>
    <t>10000000272</t>
  </si>
  <si>
    <t>Bodega Central Agrota10000000272</t>
  </si>
  <si>
    <t>Bodega Central Agrota10000000277</t>
  </si>
  <si>
    <t>10000000286</t>
  </si>
  <si>
    <t>Bodega Central Agrota10000000286</t>
  </si>
  <si>
    <t>10000000287</t>
  </si>
  <si>
    <t>Bodega Central Agrota10000000287</t>
  </si>
  <si>
    <t>10000000296</t>
  </si>
  <si>
    <t>Bodega Central Agrota10000000296</t>
  </si>
  <si>
    <t>10000000301</t>
  </si>
  <si>
    <t>Bodega Central Agrota10000000301</t>
  </si>
  <si>
    <t>10000000353</t>
  </si>
  <si>
    <t>Bodega Central Agrota10000000353</t>
  </si>
  <si>
    <t>10000000364</t>
  </si>
  <si>
    <t>Bodega Central Agrota10000000364</t>
  </si>
  <si>
    <t>10000000372</t>
  </si>
  <si>
    <t>Bodega Central Agrota10000000372</t>
  </si>
  <si>
    <t>Bodega Central Agrota10000000374</t>
  </si>
  <si>
    <t>10000000376</t>
  </si>
  <si>
    <t>Bodega Central Agrota10000000376</t>
  </si>
  <si>
    <t>Bodega Central Agrota10000000377</t>
  </si>
  <si>
    <t>10000000378</t>
  </si>
  <si>
    <t>Bodega Central Agrota10000000378</t>
  </si>
  <si>
    <t>Bodega Central Agrota10000000380</t>
  </si>
  <si>
    <t>10000000383</t>
  </si>
  <si>
    <t>Bodega Central Agrota10000000383</t>
  </si>
  <si>
    <t>10000000387</t>
  </si>
  <si>
    <t>Bodega Central Agrota10000000387</t>
  </si>
  <si>
    <t>10000000389</t>
  </si>
  <si>
    <t>Bodega Central Agrota10000000389</t>
  </si>
  <si>
    <t>10000000394</t>
  </si>
  <si>
    <t>Bodega Central Agrota10000000394</t>
  </si>
  <si>
    <t>10000000401</t>
  </si>
  <si>
    <t>Bodega Central Agrota10000000401</t>
  </si>
  <si>
    <t>10000000442</t>
  </si>
  <si>
    <t>Bodega Central Agrota10000000442</t>
  </si>
  <si>
    <t>10000000444</t>
  </si>
  <si>
    <t>Bodega Central Agrota10000000444</t>
  </si>
  <si>
    <t>10000000452</t>
  </si>
  <si>
    <t>Bodega Central Agrota10000000452</t>
  </si>
  <si>
    <t>10000000465</t>
  </si>
  <si>
    <t>Bodega Central Agrota10000000465</t>
  </si>
  <si>
    <t>Bodega Central Agrota10000000478</t>
  </si>
  <si>
    <t>10000000480</t>
  </si>
  <si>
    <t>Bodega Central Agrota10000000480</t>
  </si>
  <si>
    <t>Bodega Central Agrota10000000503</t>
  </si>
  <si>
    <t>10000000504</t>
  </si>
  <si>
    <t>Bodega Central Agrota10000000504</t>
  </si>
  <si>
    <t>Bodega Central Agrota10000000505</t>
  </si>
  <si>
    <t>10000000517</t>
  </si>
  <si>
    <t>Bodega Central Agrota10000000517</t>
  </si>
  <si>
    <t>10000000519</t>
  </si>
  <si>
    <t>Bodega Central Agrota10000000519</t>
  </si>
  <si>
    <t>Bodega Central Agrota10000000523</t>
  </si>
  <si>
    <t>10000000524</t>
  </si>
  <si>
    <t>Bodega Central Agrota10000000524</t>
  </si>
  <si>
    <t>10000000525</t>
  </si>
  <si>
    <t>Bodega Central Agrota10000000525</t>
  </si>
  <si>
    <t>10000000526</t>
  </si>
  <si>
    <t>Bodega Central Agrota10000000526</t>
  </si>
  <si>
    <t>10000000535</t>
  </si>
  <si>
    <t>Bodega Central Agrota10000000535</t>
  </si>
  <si>
    <t>10000000536</t>
  </si>
  <si>
    <t>Bodega Central Agrota10000000536</t>
  </si>
  <si>
    <t>10000000537</t>
  </si>
  <si>
    <t>Bodega Central Agrota10000000537</t>
  </si>
  <si>
    <t>10000000542</t>
  </si>
  <si>
    <t>Bodega Central Agrota10000000542</t>
  </si>
  <si>
    <t>10000000543</t>
  </si>
  <si>
    <t>Bodega Central Agrota10000000543</t>
  </si>
  <si>
    <t>10000000546</t>
  </si>
  <si>
    <t>Bodega Central Agrota10000000546</t>
  </si>
  <si>
    <t>Bodega Central Agrota10000000551</t>
  </si>
  <si>
    <t>10000000553</t>
  </si>
  <si>
    <t>Bodega Central Agrota10000000553</t>
  </si>
  <si>
    <t>10000000557</t>
  </si>
  <si>
    <t>Bodega Central Agrota10000000557</t>
  </si>
  <si>
    <t>10000000558</t>
  </si>
  <si>
    <t>Bodega Central Agrota10000000558</t>
  </si>
  <si>
    <t>10000000560</t>
  </si>
  <si>
    <t>Bodega Central Agrota10000000560</t>
  </si>
  <si>
    <t>10000000562</t>
  </si>
  <si>
    <t>Bodega Central Agrota10000000562</t>
  </si>
  <si>
    <t>10000000563</t>
  </si>
  <si>
    <t>Bodega Central Agrota10000000563</t>
  </si>
  <si>
    <t>Bodega Central Agrota10000000564</t>
  </si>
  <si>
    <t>Bodega Central Agrota10000000565</t>
  </si>
  <si>
    <t>10000000566</t>
  </si>
  <si>
    <t>Bodega Central Agrota10000000566</t>
  </si>
  <si>
    <t>10000000570</t>
  </si>
  <si>
    <t>Bodega Central Agrota10000000570</t>
  </si>
  <si>
    <t>10000000571</t>
  </si>
  <si>
    <t>Bodega Central Agrota10000000571</t>
  </si>
  <si>
    <t>10000000573</t>
  </si>
  <si>
    <t>Bodega Central Agrota10000000573</t>
  </si>
  <si>
    <t>10000000574</t>
  </si>
  <si>
    <t>Bodega Central Agrota10000000574</t>
  </si>
  <si>
    <t>10000000580</t>
  </si>
  <si>
    <t>Bodega Central Agrota10000000580</t>
  </si>
  <si>
    <t>Bodega Central Agrota10000000593</t>
  </si>
  <si>
    <t>10000000596</t>
  </si>
  <si>
    <t>Bodega Central Agrota10000000596</t>
  </si>
  <si>
    <t>10000000599</t>
  </si>
  <si>
    <t>Bodega Central Agrota10000000599</t>
  </si>
  <si>
    <t>Bodega Central Agrota10000000600</t>
  </si>
  <si>
    <t>Bodega Central Agrota10000000601</t>
  </si>
  <si>
    <t>Bodega Central Agrota10000000606</t>
  </si>
  <si>
    <t>10000000608</t>
  </si>
  <si>
    <t>Bodega Central Agrota10000000608</t>
  </si>
  <si>
    <t>10000000610</t>
  </si>
  <si>
    <t>Bodega Central Agrota10000000610</t>
  </si>
  <si>
    <t>10000000612</t>
  </si>
  <si>
    <t>Bodega Central Agrota10000000612</t>
  </si>
  <si>
    <t>Bodega Central Agrota10000000613</t>
  </si>
  <si>
    <t>10000000614</t>
  </si>
  <si>
    <t>Bodega Central Agrota10000000614</t>
  </si>
  <si>
    <t>10000000637</t>
  </si>
  <si>
    <t>Bodega Central Agrota10000000637</t>
  </si>
  <si>
    <t>10000000647</t>
  </si>
  <si>
    <t>Bodega Central Agrota10000000647</t>
  </si>
  <si>
    <t>Bodega Central Agrota10000000649</t>
  </si>
  <si>
    <t>10000000651</t>
  </si>
  <si>
    <t>Bodega Central Agrota10000000651</t>
  </si>
  <si>
    <t>10000000652</t>
  </si>
  <si>
    <t>Bodega Central Agrota10000000652</t>
  </si>
  <si>
    <t>10000000653</t>
  </si>
  <si>
    <t>Bodega Central Agrota10000000653</t>
  </si>
  <si>
    <t>Bodega Central Agrota10000000654</t>
  </si>
  <si>
    <t>10000000659</t>
  </si>
  <si>
    <t>Bodega Central Agrota10000000659</t>
  </si>
  <si>
    <t>Bodega Central Agrota10000000663</t>
  </si>
  <si>
    <t>10000000670</t>
  </si>
  <si>
    <t>Bodega Central Agrota10000000670</t>
  </si>
  <si>
    <t>Bodega Central Agrota10000000672</t>
  </si>
  <si>
    <t>10000000674</t>
  </si>
  <si>
    <t>Bodega Central Agrota10000000674</t>
  </si>
  <si>
    <t>10000000679</t>
  </si>
  <si>
    <t>Bodega Central Agrota10000000679</t>
  </si>
  <si>
    <t>10000000680</t>
  </si>
  <si>
    <t>Bodega Central Agrota10000000680</t>
  </si>
  <si>
    <t>Bodega Central Agrota10000000681</t>
  </si>
  <si>
    <t>10000000682</t>
  </si>
  <si>
    <t>Bodega Central Agrota10000000682</t>
  </si>
  <si>
    <t>10000000683</t>
  </si>
  <si>
    <t>Bodega Central Agrota10000000683</t>
  </si>
  <si>
    <t>Bodega Central Agrota10000000684</t>
  </si>
  <si>
    <t>10000000685</t>
  </si>
  <si>
    <t>Bodega Central Agrota10000000685</t>
  </si>
  <si>
    <t>Bodega Central Agrota10000000687</t>
  </si>
  <si>
    <t>10000000688</t>
  </si>
  <si>
    <t>Bodega Central Agrota10000000688</t>
  </si>
  <si>
    <t>Bodega Central Agrota10000000689</t>
  </si>
  <si>
    <t>Bodega Central Agrota10000000690</t>
  </si>
  <si>
    <t>10000000698</t>
  </si>
  <si>
    <t>Bodega Central Agrota10000000698</t>
  </si>
  <si>
    <t>10000000699</t>
  </si>
  <si>
    <t>Bodega Central Agrota10000000699</t>
  </si>
  <si>
    <t>10000000700</t>
  </si>
  <si>
    <t>Bodega Central Agrota10000000700</t>
  </si>
  <si>
    <t>10000000707</t>
  </si>
  <si>
    <t>Bodega Central Agrota10000000707</t>
  </si>
  <si>
    <t>10000000713</t>
  </si>
  <si>
    <t>Bodega Central Agrota10000000713</t>
  </si>
  <si>
    <t>10000000717</t>
  </si>
  <si>
    <t>Bodega Central Agrota10000000717</t>
  </si>
  <si>
    <t>10000000724</t>
  </si>
  <si>
    <t>Bodega Central Agrota10000000724</t>
  </si>
  <si>
    <t>10000000734</t>
  </si>
  <si>
    <t>Bodega Central Agrota10000000734</t>
  </si>
  <si>
    <t>10000000735</t>
  </si>
  <si>
    <t>Bodega Central Agrota10000000735</t>
  </si>
  <si>
    <t>Bodega Central Agrota10000000736</t>
  </si>
  <si>
    <t>Bodega Central Agrota10000000737</t>
  </si>
  <si>
    <t>10000000738</t>
  </si>
  <si>
    <t>Bodega Central Agrota10000000738</t>
  </si>
  <si>
    <t>Bodega Central Agrota10000000739</t>
  </si>
  <si>
    <t>10000000747</t>
  </si>
  <si>
    <t>Bodega Central Agrota10000000747</t>
  </si>
  <si>
    <t>10000000753</t>
  </si>
  <si>
    <t>Bodega Central Agrota10000000753</t>
  </si>
  <si>
    <t>10000000755</t>
  </si>
  <si>
    <t>Bodega Central Agrota10000000755</t>
  </si>
  <si>
    <t>10000000756</t>
  </si>
  <si>
    <t>Bodega Central Agrota10000000756</t>
  </si>
  <si>
    <t>Bodega Central Agrota10000000760</t>
  </si>
  <si>
    <t>Bodega Central Agrota10000000761</t>
  </si>
  <si>
    <t>Bodega Central Agrota10000000766</t>
  </si>
  <si>
    <t>Bodega Central Agrota10000000777</t>
  </si>
  <si>
    <t>Bodega Central Agrota10000000795</t>
  </si>
  <si>
    <t>10000000797</t>
  </si>
  <si>
    <t>Bodega Central Agrota10000000797</t>
  </si>
  <si>
    <t>10000000800</t>
  </si>
  <si>
    <t>Bodega Central Agrota10000000800</t>
  </si>
  <si>
    <t>10000000803</t>
  </si>
  <si>
    <t>Bodega Central Agrota10000000803</t>
  </si>
  <si>
    <t>10000000808</t>
  </si>
  <si>
    <t>Bodega Central Agrota10000000808</t>
  </si>
  <si>
    <t>Bodega Central Agrota10000000809</t>
  </si>
  <si>
    <t>Bodega Central Agrota10000000810</t>
  </si>
  <si>
    <t>Bodega Central Agrota10000000812</t>
  </si>
  <si>
    <t>10000000813</t>
  </si>
  <si>
    <t>Bodega Central Agrota10000000813</t>
  </si>
  <si>
    <t>10000000814</t>
  </si>
  <si>
    <t>Bodega Central Agrota10000000814</t>
  </si>
  <si>
    <t>10000000816</t>
  </si>
  <si>
    <t>Bodega Central Agrota10000000816</t>
  </si>
  <si>
    <t>Bodega Central Agrota10000000818</t>
  </si>
  <si>
    <t>Bodega Central Agrota10000000819</t>
  </si>
  <si>
    <t>10000000821</t>
  </si>
  <si>
    <t>Bodega Central Agrota10000000821</t>
  </si>
  <si>
    <t>10000000822</t>
  </si>
  <si>
    <t>Bodega Central Agrota10000000822</t>
  </si>
  <si>
    <t>Bodega Central Agrota10000000823</t>
  </si>
  <si>
    <t>Bodega Central Agrota10000000827</t>
  </si>
  <si>
    <t>Bodega Central Agrota10000000829</t>
  </si>
  <si>
    <t>Bodega Central Agrota10000000830</t>
  </si>
  <si>
    <t>Bodega Central Agrota10000000832</t>
  </si>
  <si>
    <t>10000000834</t>
  </si>
  <si>
    <t>Bodega Central Agrota10000000834</t>
  </si>
  <si>
    <t>10000000835</t>
  </si>
  <si>
    <t>Bodega Central Agrota10000000835</t>
  </si>
  <si>
    <t>10000000838</t>
  </si>
  <si>
    <t>Bodega Central Agrota10000000838</t>
  </si>
  <si>
    <t>10000000841</t>
  </si>
  <si>
    <t>Bodega Central Agrota10000000841</t>
  </si>
  <si>
    <t>10000000843</t>
  </si>
  <si>
    <t>Bodega Central Agrota10000000843</t>
  </si>
  <si>
    <t>10000000845</t>
  </si>
  <si>
    <t>Bodega Central Agrota10000000845</t>
  </si>
  <si>
    <t>Bodega Central Agrota10000000846</t>
  </si>
  <si>
    <t>Bodega Central Agrota10000000873</t>
  </si>
  <si>
    <t>Bodega Central Agrota10000000893</t>
  </si>
  <si>
    <t>Bodega Central Agrota10000000907</t>
  </si>
  <si>
    <t>10000000910</t>
  </si>
  <si>
    <t>Bodega Central Agrota10000000910</t>
  </si>
  <si>
    <t>Bodega Central Agrota10000000972</t>
  </si>
  <si>
    <t>Bodega Central Agrota10000000976</t>
  </si>
  <si>
    <t>Bodega Central Agrota10000000977</t>
  </si>
  <si>
    <t>Bodega Central Agrota10000000978</t>
  </si>
  <si>
    <t>Bodega Central Agrota10000000979</t>
  </si>
  <si>
    <t>Bodega Central Agrota10000000980</t>
  </si>
  <si>
    <t>Bodega Central Agrota10000000981</t>
  </si>
  <si>
    <t>10000001010</t>
  </si>
  <si>
    <t>Bodega Central Agrota10000001010</t>
  </si>
  <si>
    <t>10000001117</t>
  </si>
  <si>
    <t>Bodega Central Agrota10000001117</t>
  </si>
  <si>
    <t>10000001118</t>
  </si>
  <si>
    <t>Bodega Central Agrota10000001118</t>
  </si>
  <si>
    <t>Bodega Central Agrota10000001145</t>
  </si>
  <si>
    <t>Bodega Central Agrota10000001183</t>
  </si>
  <si>
    <t>Bodega Central Agrota10000001198</t>
  </si>
  <si>
    <t>10000001202</t>
  </si>
  <si>
    <t>Bodega Central Agrota10000001202</t>
  </si>
  <si>
    <t>10000001203</t>
  </si>
  <si>
    <t>Bodega Central Agrota10000001203</t>
  </si>
  <si>
    <t>Bodega Central Agrota10000001207</t>
  </si>
  <si>
    <t>10000001221</t>
  </si>
  <si>
    <t>Bodega Central Agrota10000001221</t>
  </si>
  <si>
    <t>Bodega Central Agrota10000001223</t>
  </si>
  <si>
    <t>Bodega Central Agrota10000001224</t>
  </si>
  <si>
    <t>10000001227</t>
  </si>
  <si>
    <t>Bodega Central Agrota10000001227</t>
  </si>
  <si>
    <t>Bodega Central Agrota10000001228</t>
  </si>
  <si>
    <t>10000001229</t>
  </si>
  <si>
    <t>Bodega Central Agrota10000001229</t>
  </si>
  <si>
    <t>10000001230</t>
  </si>
  <si>
    <t>Bodega Central Agrota10000001230</t>
  </si>
  <si>
    <t>10000001231</t>
  </si>
  <si>
    <t>Bodega Central Agrota10000001231</t>
  </si>
  <si>
    <t>10000001232</t>
  </si>
  <si>
    <t>Bodega Central Agrota10000001232</t>
  </si>
  <si>
    <t>10000001233</t>
  </si>
  <si>
    <t>Bodega Central Agrota10000001233</t>
  </si>
  <si>
    <t>10000001235</t>
  </si>
  <si>
    <t>Bodega Central Agrota10000001235</t>
  </si>
  <si>
    <t>10000001236</t>
  </si>
  <si>
    <t>Bodega Central Agrota10000001236</t>
  </si>
  <si>
    <t>10000001237</t>
  </si>
  <si>
    <t>Bodega Central Agrota10000001237</t>
  </si>
  <si>
    <t>Bodega Central Agrota10000001239</t>
  </si>
  <si>
    <t>10000001240</t>
  </si>
  <si>
    <t>Bodega Central Agrota10000001240</t>
  </si>
  <si>
    <t>10000001266</t>
  </si>
  <si>
    <t>Bodega Central Agrota10000001266</t>
  </si>
  <si>
    <t>Bodega Central Agrota10000001294</t>
  </si>
  <si>
    <t>Bodega Central Agrota10000001295</t>
  </si>
  <si>
    <t>10000001346</t>
  </si>
  <si>
    <t>Bodega Central Agrota10000001346</t>
  </si>
  <si>
    <t>Bodega Central Agrota10000001347</t>
  </si>
  <si>
    <t>Bodega Central Agrota10000001348</t>
  </si>
  <si>
    <t>100913103923042</t>
  </si>
  <si>
    <t>Bodega Central Agrota100913103923042</t>
  </si>
  <si>
    <t>100913104235000</t>
  </si>
  <si>
    <t>Bodega Central Agrota100913104235000</t>
  </si>
  <si>
    <t>Bodega Central Agrota100913111336065</t>
  </si>
  <si>
    <t>100913113934037</t>
  </si>
  <si>
    <t>Bodega Central Agrota100913113934037</t>
  </si>
  <si>
    <t>Bodega Central Agrota100913115046210</t>
  </si>
  <si>
    <t>Bodega Central Agrota100913115240277</t>
  </si>
  <si>
    <t>100913115557664</t>
  </si>
  <si>
    <t>Bodega Central Agrota100913115557664</t>
  </si>
  <si>
    <t>100913115750842</t>
  </si>
  <si>
    <t>Bodega Central Agrota100913115750842</t>
  </si>
  <si>
    <t>100913115924925</t>
  </si>
  <si>
    <t>Bodega Central Agrota100913115924925</t>
  </si>
  <si>
    <t>Bodega Central Agrota100913120617842</t>
  </si>
  <si>
    <t>Bodega Central Agrota100913120847882</t>
  </si>
  <si>
    <t>100913121242460</t>
  </si>
  <si>
    <t>Bodega Central Agrota100913121242460</t>
  </si>
  <si>
    <t>100913123035786</t>
  </si>
  <si>
    <t>Bodega Central Agrota100913123035786</t>
  </si>
  <si>
    <t>100913124628463</t>
  </si>
  <si>
    <t>Bodega Central Agrota100913124628463</t>
  </si>
  <si>
    <t>Bodega Central Agrota100913124815104</t>
  </si>
  <si>
    <t>100913125118966</t>
  </si>
  <si>
    <t>Bodega Central Agrota100913125118966</t>
  </si>
  <si>
    <t>Bodega Central Agrota100913125817857</t>
  </si>
  <si>
    <t>Bodega Central Agrota100913130112920</t>
  </si>
  <si>
    <t>100930164946524</t>
  </si>
  <si>
    <t>Bodega Central Agrota100930164946524</t>
  </si>
  <si>
    <t>Bodega Central Agrota101130120840321</t>
  </si>
  <si>
    <t>Bodega Central Agrota101217094150295</t>
  </si>
  <si>
    <t>101217103839104</t>
  </si>
  <si>
    <t>Bodega Central Agrota101217103839104</t>
  </si>
  <si>
    <t>Bodega Central Agrota101217105729487</t>
  </si>
  <si>
    <t>101217114049993</t>
  </si>
  <si>
    <t>Bodega Central Agrota101217114049993</t>
  </si>
  <si>
    <t>101217133604800</t>
  </si>
  <si>
    <t>Bodega Central Agrota101217133604800</t>
  </si>
  <si>
    <t>101217145600161</t>
  </si>
  <si>
    <t>Bodega Central Agrota101217145600161</t>
  </si>
  <si>
    <t>101217151800881</t>
  </si>
  <si>
    <t>Bodega Central Agrota101217151800881</t>
  </si>
  <si>
    <t>101217153012027</t>
  </si>
  <si>
    <t>Bodega Central Agrota101217153012027</t>
  </si>
  <si>
    <t>Bodega Central Agrota101217160504765</t>
  </si>
  <si>
    <t>Bodega Central Agrota101217161456601</t>
  </si>
  <si>
    <t>110104101941486</t>
  </si>
  <si>
    <t>Bodega Central Agrota110104101941486</t>
  </si>
  <si>
    <t>110104152701490</t>
  </si>
  <si>
    <t>Bodega Central Agrota110104152701490</t>
  </si>
  <si>
    <t>Bodega Central Agrota110105170300750</t>
  </si>
  <si>
    <t>Bodega Central Agrota110105172843897</t>
  </si>
  <si>
    <t>Bodega Central Agrota110105190134333</t>
  </si>
  <si>
    <t>Bodega Central Agrota110105191826671</t>
  </si>
  <si>
    <t>110105192710600</t>
  </si>
  <si>
    <t>Bodega Central Agrota110105192710600</t>
  </si>
  <si>
    <t>110105193015274</t>
  </si>
  <si>
    <t>Bodega Central Agrota110105193015274</t>
  </si>
  <si>
    <t>110105193138844</t>
  </si>
  <si>
    <t>Bodega Central Agrota110105193138844</t>
  </si>
  <si>
    <t>Bodega Central Agrota110105193407528</t>
  </si>
  <si>
    <t>Bodega Central Agrota110105193654793</t>
  </si>
  <si>
    <t>110105193837831</t>
  </si>
  <si>
    <t>Bodega Central Agrota110105193837831</t>
  </si>
  <si>
    <t>110105193941511</t>
  </si>
  <si>
    <t>Bodega Central Agrota110105193941511</t>
  </si>
  <si>
    <t>Bodega Central Agrota110105194010948</t>
  </si>
  <si>
    <t>110105194308103</t>
  </si>
  <si>
    <t>Bodega Central Agrota110105194308103</t>
  </si>
  <si>
    <t>110105194732041</t>
  </si>
  <si>
    <t>Bodega Central Agrota110105194732041</t>
  </si>
  <si>
    <t>Bodega Central Agrota110105195945168</t>
  </si>
  <si>
    <t>110105200606762</t>
  </si>
  <si>
    <t>Bodega Central Agrota110105200606762</t>
  </si>
  <si>
    <t>110105201113475</t>
  </si>
  <si>
    <t>Bodega Central Agrota110105201113475</t>
  </si>
  <si>
    <t>110105203359561</t>
  </si>
  <si>
    <t>Bodega Central Agrota110105203359561</t>
  </si>
  <si>
    <t>110105204628943</t>
  </si>
  <si>
    <t>Bodega Central Agrota110105204628943</t>
  </si>
  <si>
    <t>Bodega Central Agrota110105205057920</t>
  </si>
  <si>
    <t>Bodega Central Agrota110105205345527</t>
  </si>
  <si>
    <t>Bodega Central Agrota110105210031223</t>
  </si>
  <si>
    <t>110105210212671</t>
  </si>
  <si>
    <t>Bodega Central Agrota110105210212671</t>
  </si>
  <si>
    <t>Bodega Central Agrota110105210535768</t>
  </si>
  <si>
    <t>Bodega Central Agrota110105210854077</t>
  </si>
  <si>
    <t>Bodega Central Agrota110105211455406</t>
  </si>
  <si>
    <t>Bodega Central Agrota110105211525327</t>
  </si>
  <si>
    <t>110105211740986</t>
  </si>
  <si>
    <t>Bodega Central Agrota110105211740986</t>
  </si>
  <si>
    <t>110105211850297</t>
  </si>
  <si>
    <t>Bodega Central Agrota110105211850297</t>
  </si>
  <si>
    <t>110105212036877</t>
  </si>
  <si>
    <t>Bodega Central Agrota110105212036877</t>
  </si>
  <si>
    <t>110105212119902</t>
  </si>
  <si>
    <t>Bodega Central Agrota110105212119902</t>
  </si>
  <si>
    <t>110105212452937</t>
  </si>
  <si>
    <t>Bodega Central Agrota110105212452937</t>
  </si>
  <si>
    <t>110105212526181</t>
  </si>
  <si>
    <t>Bodega Central Agrota110105212526181</t>
  </si>
  <si>
    <t>110105212751543</t>
  </si>
  <si>
    <t>Bodega Central Agrota110105212751543</t>
  </si>
  <si>
    <t>Bodega Central Agrota110105212809046</t>
  </si>
  <si>
    <t>110105212956187</t>
  </si>
  <si>
    <t>Bodega Central Agrota110105212956187</t>
  </si>
  <si>
    <t>110105213104859</t>
  </si>
  <si>
    <t>Bodega Central Agrota110105213104859</t>
  </si>
  <si>
    <t>Bodega Central Agrota110105213324683</t>
  </si>
  <si>
    <t>110105213454508</t>
  </si>
  <si>
    <t>Bodega Central Agrota110105213454508</t>
  </si>
  <si>
    <t>Bodega Central Agrota110105214159174</t>
  </si>
  <si>
    <t>110105214303821</t>
  </si>
  <si>
    <t>Bodega Central Agrota110105214303821</t>
  </si>
  <si>
    <t>110105214450307</t>
  </si>
  <si>
    <t>Bodega Central Agrota110105214450307</t>
  </si>
  <si>
    <t>110105215203132</t>
  </si>
  <si>
    <t>Bodega Central Agrota110105215203132</t>
  </si>
  <si>
    <t>110105215355796</t>
  </si>
  <si>
    <t>Bodega Central Agrota110105215355796</t>
  </si>
  <si>
    <t>Bodega Central Agrota110105215412769</t>
  </si>
  <si>
    <t>110105215631875</t>
  </si>
  <si>
    <t>Bodega Central Agrota110105215631875</t>
  </si>
  <si>
    <t>110105215649893</t>
  </si>
  <si>
    <t>Bodega Central Agrota110105215649893</t>
  </si>
  <si>
    <t>Bodega Central Agrota110106084908563</t>
  </si>
  <si>
    <t>110106085046687</t>
  </si>
  <si>
    <t>Bodega Central Agrota110106085046687</t>
  </si>
  <si>
    <t>Bodega Central Agrota110106085734536</t>
  </si>
  <si>
    <t>Bodega Central Agrota110106090010865</t>
  </si>
  <si>
    <t>Bodega Central Agrota110106090316584</t>
  </si>
  <si>
    <t>110106091756024</t>
  </si>
  <si>
    <t>Bodega Central Agrota110106091756024</t>
  </si>
  <si>
    <t>110106092331489</t>
  </si>
  <si>
    <t>Bodega Central Agrota110106092331489</t>
  </si>
  <si>
    <t>110106092754584</t>
  </si>
  <si>
    <t>Bodega Central Agrota110106092754584</t>
  </si>
  <si>
    <t>Bodega Central Agrota110106093616330</t>
  </si>
  <si>
    <t>110106093909616</t>
  </si>
  <si>
    <t>Bodega Central Agrota110106093909616</t>
  </si>
  <si>
    <t>Bodega Central Agrota110106094545703</t>
  </si>
  <si>
    <t>Bodega Central Agrota110106100836991</t>
  </si>
  <si>
    <t>110106101024085</t>
  </si>
  <si>
    <t>Bodega Central Agrota110106101024085</t>
  </si>
  <si>
    <t>110106101935596</t>
  </si>
  <si>
    <t>Bodega Central Agrota110106101935596</t>
  </si>
  <si>
    <t>110106102109789</t>
  </si>
  <si>
    <t>Bodega Central Agrota110106102109789</t>
  </si>
  <si>
    <t>Bodega Central Agrota110106102425602</t>
  </si>
  <si>
    <t>Bodega Central Agrota110106102704333</t>
  </si>
  <si>
    <t>110106103258517</t>
  </si>
  <si>
    <t>Bodega Central Agrota110106103258517</t>
  </si>
  <si>
    <t>110106103457453</t>
  </si>
  <si>
    <t>Bodega Central Agrota110106103457453</t>
  </si>
  <si>
    <t>Bodega Central Agrota110106103751206</t>
  </si>
  <si>
    <t>Bodega Central Agrota110106104019173</t>
  </si>
  <si>
    <t>110106104457744</t>
  </si>
  <si>
    <t>Bodega Central Agrota110106104457744</t>
  </si>
  <si>
    <t>110106104729705</t>
  </si>
  <si>
    <t>Bodega Central Agrota110106104729705</t>
  </si>
  <si>
    <t>Bodega Central Agrota110106105214532</t>
  </si>
  <si>
    <t>110106111356126</t>
  </si>
  <si>
    <t>Bodega Central Agrota110106111356126</t>
  </si>
  <si>
    <t>Bodega Central Agrota110106112007112</t>
  </si>
  <si>
    <t>110106112314110</t>
  </si>
  <si>
    <t>Bodega Central Agrota110106112314110</t>
  </si>
  <si>
    <t>110106120230805</t>
  </si>
  <si>
    <t>Bodega Central Agrota110106120230805</t>
  </si>
  <si>
    <t>Bodega Central Agrota110106120941933</t>
  </si>
  <si>
    <t>Bodega Central Agrota110106123014239</t>
  </si>
  <si>
    <t>Bodega Central Agrota110106130038390</t>
  </si>
  <si>
    <t>Bodega Central Agrota110106131712534</t>
  </si>
  <si>
    <t>110106132114112</t>
  </si>
  <si>
    <t>Bodega Central Agrota110106132114112</t>
  </si>
  <si>
    <t>110106132446508</t>
  </si>
  <si>
    <t>Bodega Central Agrota110106132446508</t>
  </si>
  <si>
    <t>Bodega Central Agrota110106142102926</t>
  </si>
  <si>
    <t>Bodega Central Agrota110106142334832</t>
  </si>
  <si>
    <t>Bodega Central Agrota110106142838396</t>
  </si>
  <si>
    <t>Bodega Central Agrota110106143124627</t>
  </si>
  <si>
    <t>110106143509208</t>
  </si>
  <si>
    <t>Bodega Central Agrota110106143509208</t>
  </si>
  <si>
    <t>Bodega Central Agrota110106143748628</t>
  </si>
  <si>
    <t>Bodega Central Agrota110106144125648</t>
  </si>
  <si>
    <t>110106145623332</t>
  </si>
  <si>
    <t>Bodega Central Agrota110106145623332</t>
  </si>
  <si>
    <t>110106150021641</t>
  </si>
  <si>
    <t>Bodega Central Agrota110106150021641</t>
  </si>
  <si>
    <t>110106150657469</t>
  </si>
  <si>
    <t>Bodega Central Agrota110106150657469</t>
  </si>
  <si>
    <t>Bodega Central Agrota110106150932702</t>
  </si>
  <si>
    <t>110106151411225</t>
  </si>
  <si>
    <t>Bodega Central Agrota110106151411225</t>
  </si>
  <si>
    <t>Bodega Central Agrota110106151731526</t>
  </si>
  <si>
    <t>110106151809588</t>
  </si>
  <si>
    <t>Bodega Central Agrota110106151809588</t>
  </si>
  <si>
    <t>110106152037215</t>
  </si>
  <si>
    <t>Bodega Central Agrota110106152037215</t>
  </si>
  <si>
    <t>Bodega Central Agrota110106152241867</t>
  </si>
  <si>
    <t>110106152301108</t>
  </si>
  <si>
    <t>Bodega Central Agrota110106152301108</t>
  </si>
  <si>
    <t>Bodega Central Agrota110106152456633</t>
  </si>
  <si>
    <t>Bodega Central Agrota110106152757114</t>
  </si>
  <si>
    <t>Bodega Central Agrota110106152825123</t>
  </si>
  <si>
    <t>Bodega Central Agrota110106152959831</t>
  </si>
  <si>
    <t>Bodega Central Agrota110106153110339</t>
  </si>
  <si>
    <t>Bodega Central Agrota110106153124799</t>
  </si>
  <si>
    <t>Bodega Central Agrota110106153215224</t>
  </si>
  <si>
    <t>110106153340592</t>
  </si>
  <si>
    <t>Bodega Central Agrota110106153340592</t>
  </si>
  <si>
    <t>110106153525299</t>
  </si>
  <si>
    <t>Bodega Central Agrota110106153525299</t>
  </si>
  <si>
    <t>Bodega Central Agrota110106153746784</t>
  </si>
  <si>
    <t>110106153827524</t>
  </si>
  <si>
    <t>Bodega Central Agrota110106153827524</t>
  </si>
  <si>
    <t>110106154031924</t>
  </si>
  <si>
    <t>Bodega Central Agrota110106154031924</t>
  </si>
  <si>
    <t>Bodega Central Agrota110106154128876</t>
  </si>
  <si>
    <t>110106154332249</t>
  </si>
  <si>
    <t>Bodega Central Agrota110106154332249</t>
  </si>
  <si>
    <t>110106154424651</t>
  </si>
  <si>
    <t>Bodega Central Agrota110106154424651</t>
  </si>
  <si>
    <t>110106154754871</t>
  </si>
  <si>
    <t>Bodega Central Agrota110106154754871</t>
  </si>
  <si>
    <t>110106154857387</t>
  </si>
  <si>
    <t>Bodega Central Agrota110106154857387</t>
  </si>
  <si>
    <t>110106155120023</t>
  </si>
  <si>
    <t>Bodega Central Agrota110106155120023</t>
  </si>
  <si>
    <t>110106155419741</t>
  </si>
  <si>
    <t>Bodega Central Agrota110106155419741</t>
  </si>
  <si>
    <t>110106155650361</t>
  </si>
  <si>
    <t>Bodega Central Agrota110106155650361</t>
  </si>
  <si>
    <t>110106161453285</t>
  </si>
  <si>
    <t>Bodega Central Agrota110106161453285</t>
  </si>
  <si>
    <t>Bodega Central Agrota110106161816960</t>
  </si>
  <si>
    <t>110106162907437</t>
  </si>
  <si>
    <t>Bodega Central Agrota110106162907437</t>
  </si>
  <si>
    <t>110106163217555</t>
  </si>
  <si>
    <t>Bodega Central Agrota110106163217555</t>
  </si>
  <si>
    <t>110106163300144</t>
  </si>
  <si>
    <t>Bodega Central Agrota110106163300144</t>
  </si>
  <si>
    <t>110106165137393</t>
  </si>
  <si>
    <t>Bodega Central Agrota110106165137393</t>
  </si>
  <si>
    <t>Bodega Central Agrota110106171538622</t>
  </si>
  <si>
    <t>110106171716201</t>
  </si>
  <si>
    <t>Bodega Central Agrota110106171716201</t>
  </si>
  <si>
    <t>Bodega Central Agrota110106171756605</t>
  </si>
  <si>
    <t>110106171901439</t>
  </si>
  <si>
    <t>Bodega Central Agrota110106171901439</t>
  </si>
  <si>
    <t>110106172043324</t>
  </si>
  <si>
    <t>Bodega Central Agrota110106172043324</t>
  </si>
  <si>
    <t>110106172154460</t>
  </si>
  <si>
    <t>Bodega Central Agrota110106172154460</t>
  </si>
  <si>
    <t>Bodega Central Agrota110106172235566</t>
  </si>
  <si>
    <t>Bodega Central Agrota110106172826568</t>
  </si>
  <si>
    <t>110106173346901</t>
  </si>
  <si>
    <t>Bodega Central Agrota110106173346901</t>
  </si>
  <si>
    <t>Bodega Central Agrota110106174324042</t>
  </si>
  <si>
    <t>110106174520903</t>
  </si>
  <si>
    <t>Bodega Central Agrota110106174520903</t>
  </si>
  <si>
    <t>110106174528671</t>
  </si>
  <si>
    <t>Bodega Central Agrota110106174528671</t>
  </si>
  <si>
    <t>Bodega Central Agrota110106175047085</t>
  </si>
  <si>
    <t>Bodega Central Agrota110106175155382</t>
  </si>
  <si>
    <t>110106175235943</t>
  </si>
  <si>
    <t>Bodega Central Agrota110106175235943</t>
  </si>
  <si>
    <t>110107090711609</t>
  </si>
  <si>
    <t>Bodega Central Agrota110107090711609</t>
  </si>
  <si>
    <t>110107090807015</t>
  </si>
  <si>
    <t>Bodega Central Agrota110107090807015</t>
  </si>
  <si>
    <t>110107090959265</t>
  </si>
  <si>
    <t>Bodega Central Agrota110107090959265</t>
  </si>
  <si>
    <t>Bodega Central Agrota110107091138421</t>
  </si>
  <si>
    <t>110107091452000</t>
  </si>
  <si>
    <t>Bodega Central Agrota110107091452000</t>
  </si>
  <si>
    <t>Bodega Central Agrota110107091540953</t>
  </si>
  <si>
    <t>110107091745625</t>
  </si>
  <si>
    <t>Bodega Central Agrota110107091745625</t>
  </si>
  <si>
    <t>Bodega Central Agrota110107092020000</t>
  </si>
  <si>
    <t>110107092052515</t>
  </si>
  <si>
    <t>Bodega Central Agrota110107092052515</t>
  </si>
  <si>
    <t>110107092300750</t>
  </si>
  <si>
    <t>Bodega Central Agrota110107092300750</t>
  </si>
  <si>
    <t>110107092353062</t>
  </si>
  <si>
    <t>Bodega Central Agrota110107092353062</t>
  </si>
  <si>
    <t>Bodega Central Agrota110107092629421</t>
  </si>
  <si>
    <t>110107093306625</t>
  </si>
  <si>
    <t>Bodega Central Agrota110107093306625</t>
  </si>
  <si>
    <t>Bodega Central Agrota110107094838078</t>
  </si>
  <si>
    <t>Bodega Central Agrota110107095828218</t>
  </si>
  <si>
    <t>110107100524062</t>
  </si>
  <si>
    <t>Bodega Central Agrota110107100524062</t>
  </si>
  <si>
    <t>110107100850687</t>
  </si>
  <si>
    <t>Bodega Central Agrota110107100850687</t>
  </si>
  <si>
    <t>110107101102359</t>
  </si>
  <si>
    <t>Bodega Central Agrota110107101102359</t>
  </si>
  <si>
    <t>110107102505546</t>
  </si>
  <si>
    <t>Bodega Central Agrota110107102505546</t>
  </si>
  <si>
    <t>Bodega Central Agrota110107102724140</t>
  </si>
  <si>
    <t>110107104910156</t>
  </si>
  <si>
    <t>Bodega Central Agrota110107104910156</t>
  </si>
  <si>
    <t>110107105251765</t>
  </si>
  <si>
    <t>Bodega Central Agrota110107105251765</t>
  </si>
  <si>
    <t>110107105441609</t>
  </si>
  <si>
    <t>Bodega Central Agrota110107105441609</t>
  </si>
  <si>
    <t>110107105904671</t>
  </si>
  <si>
    <t>Bodega Central Agrota110107105904671</t>
  </si>
  <si>
    <t>110107105939406</t>
  </si>
  <si>
    <t>Bodega Central Agrota110107105939406</t>
  </si>
  <si>
    <t>Bodega Central Agrota110107110302078</t>
  </si>
  <si>
    <t>110107110452968</t>
  </si>
  <si>
    <t>Bodega Central Agrota110107110452968</t>
  </si>
  <si>
    <t>110107110815546</t>
  </si>
  <si>
    <t>Bodega Central Agrota110107110815546</t>
  </si>
  <si>
    <t>110107165342819</t>
  </si>
  <si>
    <t>Bodega Central Agrota110107165342819</t>
  </si>
  <si>
    <t>Bodega Central Agrota110107165618522</t>
  </si>
  <si>
    <t>110107170246058</t>
  </si>
  <si>
    <t>Bodega Central Agrota110107170246058</t>
  </si>
  <si>
    <t>Bodega Central Agrota110107170653567</t>
  </si>
  <si>
    <t>Bodega Central Agrota110110092001059</t>
  </si>
  <si>
    <t>Bodega Central Agrota110111151756893</t>
  </si>
  <si>
    <t>Bodega Central Agrota110112160243767</t>
  </si>
  <si>
    <t>110112171850589</t>
  </si>
  <si>
    <t>Bodega Central Agrota110112171850589</t>
  </si>
  <si>
    <t>Bodega Central Agrota110112172405771</t>
  </si>
  <si>
    <t>110112172935929</t>
  </si>
  <si>
    <t>Bodega Central Agrota110112172935929</t>
  </si>
  <si>
    <t>110112173348634</t>
  </si>
  <si>
    <t>Bodega Central Agrota110112173348634</t>
  </si>
  <si>
    <t>110113093007056</t>
  </si>
  <si>
    <t>Bodega Central Agrota110113093007056</t>
  </si>
  <si>
    <t>Bodega Central Agrota110113094009002</t>
  </si>
  <si>
    <t>Bodega Central Agrota110113094920075</t>
  </si>
  <si>
    <t>110113095106312</t>
  </si>
  <si>
    <t>Bodega Central Agrota110113095106312</t>
  </si>
  <si>
    <t>Bodega Central Agrota110113095700091</t>
  </si>
  <si>
    <t>110113100344243</t>
  </si>
  <si>
    <t>Bodega Central Agrota110113100344243</t>
  </si>
  <si>
    <t>110113104345223</t>
  </si>
  <si>
    <t>Bodega Central Agrota110113104345223</t>
  </si>
  <si>
    <t>Bodega Central Agrota110113114534818</t>
  </si>
  <si>
    <t>110113115147691</t>
  </si>
  <si>
    <t>Bodega Central Agrota110113115147691</t>
  </si>
  <si>
    <t>110113115422522</t>
  </si>
  <si>
    <t>Bodega Central Agrota110113115422522</t>
  </si>
  <si>
    <t>110113121028075</t>
  </si>
  <si>
    <t>Bodega Central Agrota110113121028075</t>
  </si>
  <si>
    <t>110113122058802</t>
  </si>
  <si>
    <t>Bodega Central Agrota110113122058802</t>
  </si>
  <si>
    <t>110113122346675</t>
  </si>
  <si>
    <t>Bodega Central Agrota110113122346675</t>
  </si>
  <si>
    <t>110113123402380</t>
  </si>
  <si>
    <t>Bodega Central Agrota110113123402380</t>
  </si>
  <si>
    <t>110113123725384</t>
  </si>
  <si>
    <t>Bodega Central Agrota110113123725384</t>
  </si>
  <si>
    <t>Bodega Central Agrota110113124027125</t>
  </si>
  <si>
    <t>110113124533573</t>
  </si>
  <si>
    <t>Bodega Central Agrota110113124533573</t>
  </si>
  <si>
    <t>110113124856858</t>
  </si>
  <si>
    <t>Bodega Central Agrota110113124856858</t>
  </si>
  <si>
    <t>110113153100848</t>
  </si>
  <si>
    <t>Bodega Central Agrota110113153100848</t>
  </si>
  <si>
    <t>Bodega Central Agrota110113153333027</t>
  </si>
  <si>
    <t>110114092329680</t>
  </si>
  <si>
    <t>Bodega Central Agrota110114092329680</t>
  </si>
  <si>
    <t>Bodega Central Agrota110118133900110</t>
  </si>
  <si>
    <t>Bodega Central Agrota110121172140891</t>
  </si>
  <si>
    <t>110126092602982</t>
  </si>
  <si>
    <t>Bodega Central Agrota110126092602982</t>
  </si>
  <si>
    <t>110126093858806</t>
  </si>
  <si>
    <t>Bodega Central Agrota110126093858806</t>
  </si>
  <si>
    <t>110126094713049</t>
  </si>
  <si>
    <t>Bodega Central Agrota110126094713049</t>
  </si>
  <si>
    <t>110126100059199</t>
  </si>
  <si>
    <t>Bodega Central Agrota110126100059199</t>
  </si>
  <si>
    <t>110126102020470</t>
  </si>
  <si>
    <t>Bodega Central Agrota110126102020470</t>
  </si>
  <si>
    <t>Bodega Central Agrota110126103122133</t>
  </si>
  <si>
    <t>110126103427462</t>
  </si>
  <si>
    <t>Bodega Central Agrota110126103427462</t>
  </si>
  <si>
    <t>Bodega Central Agrota110126104633335</t>
  </si>
  <si>
    <t>110126110712685</t>
  </si>
  <si>
    <t>Bodega Central Agrota110126110712685</t>
  </si>
  <si>
    <t>110126110724775</t>
  </si>
  <si>
    <t>Bodega Central Agrota110126110724775</t>
  </si>
  <si>
    <t>110126113129328</t>
  </si>
  <si>
    <t>Bodega Central Agrota110126113129328</t>
  </si>
  <si>
    <t>110126113538649</t>
  </si>
  <si>
    <t>Bodega Central Agrota110126113538649</t>
  </si>
  <si>
    <t>110126114024927</t>
  </si>
  <si>
    <t>Bodega Central Agrota110126114024927</t>
  </si>
  <si>
    <t>110126114308385</t>
  </si>
  <si>
    <t>Bodega Central Agrota110126114308385</t>
  </si>
  <si>
    <t>110126114527865</t>
  </si>
  <si>
    <t>Bodega Central Agrota110126114527865</t>
  </si>
  <si>
    <t>Bodega Central Agrota110126114541063</t>
  </si>
  <si>
    <t>Bodega Central Agrota110126114849294</t>
  </si>
  <si>
    <t>110126115516831</t>
  </si>
  <si>
    <t>Bodega Central Agrota110126115516831</t>
  </si>
  <si>
    <t>110126122329645</t>
  </si>
  <si>
    <t>Bodega Central Agrota110126122329645</t>
  </si>
  <si>
    <t>110126122424058</t>
  </si>
  <si>
    <t>Bodega Central Agrota110126122424058</t>
  </si>
  <si>
    <t>Bodega Central Agrota110126123052610</t>
  </si>
  <si>
    <t>Bodega Central Agrota110126123404647</t>
  </si>
  <si>
    <t>110126124130014</t>
  </si>
  <si>
    <t>Bodega Central Agrota110126124130014</t>
  </si>
  <si>
    <t>110126125239383</t>
  </si>
  <si>
    <t>Bodega Central Agrota110126125239383</t>
  </si>
  <si>
    <t>110126131819363</t>
  </si>
  <si>
    <t>Bodega Central Agrota110126131819363</t>
  </si>
  <si>
    <t>Bodega Central Agrota110126133511591</t>
  </si>
  <si>
    <t>Bodega Central Agrota110126145138254</t>
  </si>
  <si>
    <t>Bodega Central Agrota110126153748851</t>
  </si>
  <si>
    <t>Bodega Central Agrota110126155311253</t>
  </si>
  <si>
    <t>110126155527567</t>
  </si>
  <si>
    <t>Bodega Central Agrota110126155527567</t>
  </si>
  <si>
    <t>110126155951131</t>
  </si>
  <si>
    <t>Bodega Central Agrota110126155951131</t>
  </si>
  <si>
    <t>110126161135585</t>
  </si>
  <si>
    <t>Bodega Central Agrota110126161135585</t>
  </si>
  <si>
    <t>110126161435922</t>
  </si>
  <si>
    <t>Bodega Central Agrota110126161435922</t>
  </si>
  <si>
    <t>Bodega Central Agrota110126162750872</t>
  </si>
  <si>
    <t>110126163027107</t>
  </si>
  <si>
    <t>Bodega Central Agrota110126163027107</t>
  </si>
  <si>
    <t>Bodega Central Agrota110126163912206</t>
  </si>
  <si>
    <t>110126164037117</t>
  </si>
  <si>
    <t>Bodega Central Agrota110126164037117</t>
  </si>
  <si>
    <t>110126164742438</t>
  </si>
  <si>
    <t>Bodega Central Agrota110126164742438</t>
  </si>
  <si>
    <t>Bodega Central Agrota110126165616633</t>
  </si>
  <si>
    <t>Bodega Central Agrota110126165743307</t>
  </si>
  <si>
    <t>Bodega Central Agrota110126170136279</t>
  </si>
  <si>
    <t>110126170623399</t>
  </si>
  <si>
    <t>Bodega Central Agrota110126170623399</t>
  </si>
  <si>
    <t>Bodega Central Agrota110126170941442</t>
  </si>
  <si>
    <t>110126171217677</t>
  </si>
  <si>
    <t>Bodega Central Agrota110126171217677</t>
  </si>
  <si>
    <t>110126171245555</t>
  </si>
  <si>
    <t>Bodega Central Agrota110126171245555</t>
  </si>
  <si>
    <t>Bodega Central Agrota110126171246694</t>
  </si>
  <si>
    <t>110126171357612</t>
  </si>
  <si>
    <t>Bodega Central Agrota110126171357612</t>
  </si>
  <si>
    <t>110126171721177</t>
  </si>
  <si>
    <t>Bodega Central Agrota110126171721177</t>
  </si>
  <si>
    <t>110126171845137</t>
  </si>
  <si>
    <t>Bodega Central Agrota110126171845137</t>
  </si>
  <si>
    <t>110126171917913</t>
  </si>
  <si>
    <t>Bodega Central Agrota110126171917913</t>
  </si>
  <si>
    <t>Bodega Central Agrota110126171926025</t>
  </si>
  <si>
    <t>110126172002701</t>
  </si>
  <si>
    <t>Bodega Central Agrota110126172002701</t>
  </si>
  <si>
    <t>Bodega Central Agrota110126172220528</t>
  </si>
  <si>
    <t>110126172300043</t>
  </si>
  <si>
    <t>Bodega Central Agrota110126172300043</t>
  </si>
  <si>
    <t>Bodega Central Agrota110126172323802</t>
  </si>
  <si>
    <t>Bodega Central Agrota110126172700347</t>
  </si>
  <si>
    <t>110126173017579</t>
  </si>
  <si>
    <t>Bodega Central Agrota110126173017579</t>
  </si>
  <si>
    <t>110126173545680</t>
  </si>
  <si>
    <t>Bodega Central Agrota110126173545680</t>
  </si>
  <si>
    <t>Bodega Central Agrota110126173938948</t>
  </si>
  <si>
    <t>Bodega Central Agrota110126180034320</t>
  </si>
  <si>
    <t>110126180343767</t>
  </si>
  <si>
    <t>Bodega Central Agrota110126180343767</t>
  </si>
  <si>
    <t>110127105841581</t>
  </si>
  <si>
    <t>Bodega Central Agrota110127105841581</t>
  </si>
  <si>
    <t>110127124044964</t>
  </si>
  <si>
    <t>Bodega Central Agrota110127124044964</t>
  </si>
  <si>
    <t>Bodega Central Agrota110127124231512</t>
  </si>
  <si>
    <t>110127124405862</t>
  </si>
  <si>
    <t>Bodega Central Agrota110127124405862</t>
  </si>
  <si>
    <t>Bodega Central Agrota110207181356778</t>
  </si>
  <si>
    <t>Bodega Central Agrota110217103508297</t>
  </si>
  <si>
    <t>110217105825277</t>
  </si>
  <si>
    <t>Bodega Central Agrota110217105825277</t>
  </si>
  <si>
    <t>110217111253479</t>
  </si>
  <si>
    <t>Bodega Central Agrota110217111253479</t>
  </si>
  <si>
    <t>110217121018661</t>
  </si>
  <si>
    <t>Bodega Central Agrota110217121018661</t>
  </si>
  <si>
    <t>110217121538009</t>
  </si>
  <si>
    <t>Bodega Central Agrota110217121538009</t>
  </si>
  <si>
    <t>110217122004972</t>
  </si>
  <si>
    <t>Bodega Central Agrota110217122004972</t>
  </si>
  <si>
    <t>Bodega Central Agrota110217131243722</t>
  </si>
  <si>
    <t>Bodega Central Agrota110218171718047</t>
  </si>
  <si>
    <t>110222153234369</t>
  </si>
  <si>
    <t>Bodega Central Agrota110222153234369</t>
  </si>
  <si>
    <t>110222153549384</t>
  </si>
  <si>
    <t>Bodega Central Agrota110222153549384</t>
  </si>
  <si>
    <t>110223164851244</t>
  </si>
  <si>
    <t>Bodega Central Agrota110223164851244</t>
  </si>
  <si>
    <t>110225141920947</t>
  </si>
  <si>
    <t>Bodega Central Agrota110225141920947</t>
  </si>
  <si>
    <t>110225142109663</t>
  </si>
  <si>
    <t>Bodega Central Agrota110225142109663</t>
  </si>
  <si>
    <t>Bodega Central Agrota110225151852161</t>
  </si>
  <si>
    <t>110323120338996</t>
  </si>
  <si>
    <t>Bodega Central Agrota110323120338996</t>
  </si>
  <si>
    <t>Bodega Central Agrota110323153603173</t>
  </si>
  <si>
    <t>110323155108023</t>
  </si>
  <si>
    <t>Bodega Central Agrota110323155108023</t>
  </si>
  <si>
    <t>Bodega Central Agrota110323160145303</t>
  </si>
  <si>
    <t>Bodega Central Agrota110323172115418</t>
  </si>
  <si>
    <t>110324091945213</t>
  </si>
  <si>
    <t>Bodega Central Agrota110324091945213</t>
  </si>
  <si>
    <t>Bodega Central Agrota110330100706181</t>
  </si>
  <si>
    <t>110330101127251</t>
  </si>
  <si>
    <t>Bodega Central Agrota110330101127251</t>
  </si>
  <si>
    <t>110330104544825</t>
  </si>
  <si>
    <t>Bodega Central Agrota110330104544825</t>
  </si>
  <si>
    <t>Bodega Central Agrota110330113333686</t>
  </si>
  <si>
    <t>110413091352820</t>
  </si>
  <si>
    <t>Bodega Central Agrota110413091352820</t>
  </si>
  <si>
    <t>Bodega Central Agrota110413111150961</t>
  </si>
  <si>
    <t>Bodega Central Agrota110414092004747</t>
  </si>
  <si>
    <t>110429152222690</t>
  </si>
  <si>
    <t>Bodega Central Agrota110429152222690</t>
  </si>
  <si>
    <t>110429154625768</t>
  </si>
  <si>
    <t>Bodega Central Agrota110429154625768</t>
  </si>
  <si>
    <t>Bodega Central Agrota110502155236976</t>
  </si>
  <si>
    <t>Bodega Central Agrota110502155835932</t>
  </si>
  <si>
    <t>110502160944767</t>
  </si>
  <si>
    <t>Bodega Central Agrota110502160944767</t>
  </si>
  <si>
    <t>Bodega Central Agrota110503091524723</t>
  </si>
  <si>
    <t>110503093042767</t>
  </si>
  <si>
    <t>Bodega Central Agrota110503093042767</t>
  </si>
  <si>
    <t>110503093859986</t>
  </si>
  <si>
    <t>Bodega Central Agrota110503093859986</t>
  </si>
  <si>
    <t>110503100115939</t>
  </si>
  <si>
    <t>Bodega Central Agrota110503100115939</t>
  </si>
  <si>
    <t>110503124717288</t>
  </si>
  <si>
    <t>Bodega Central Agrota110503124717288</t>
  </si>
  <si>
    <t>110503130047692</t>
  </si>
  <si>
    <t>Bodega Central Agrota110503130047692</t>
  </si>
  <si>
    <t>110504154723722</t>
  </si>
  <si>
    <t>Bodega Central Agrota110504154723722</t>
  </si>
  <si>
    <t>Bodega Central Agrota110504161013542</t>
  </si>
  <si>
    <t>110504164144306</t>
  </si>
  <si>
    <t>Bodega Central Agrota110504164144306</t>
  </si>
  <si>
    <t>Bodega Central Agrota110504170827842</t>
  </si>
  <si>
    <t>Bodega Central Agrota110504174745668</t>
  </si>
  <si>
    <t>110509123207107</t>
  </si>
  <si>
    <t>Bodega Central Agrota110509123207107</t>
  </si>
  <si>
    <t>110512125513549</t>
  </si>
  <si>
    <t>Bodega Central Agrota110512125513549</t>
  </si>
  <si>
    <t>Bodega Central Agrota110627114713573</t>
  </si>
  <si>
    <t>110801133620826</t>
  </si>
  <si>
    <t>Bodega Central Agrota110801133620826</t>
  </si>
  <si>
    <t>110801150010876</t>
  </si>
  <si>
    <t>Bodega Central Agrota110801150010876</t>
  </si>
  <si>
    <t>110801150355034</t>
  </si>
  <si>
    <t>Bodega Central Agrota110801150355034</t>
  </si>
  <si>
    <t>110803154842600</t>
  </si>
  <si>
    <t>Bodega Central Agrota110803154842600</t>
  </si>
  <si>
    <t>110803155655500</t>
  </si>
  <si>
    <t>Bodega Central Agrota110803155655500</t>
  </si>
  <si>
    <t>Bodega Central Agrota110919124457607</t>
  </si>
  <si>
    <t>110922145740789</t>
  </si>
  <si>
    <t>Bodega Central Agrota110922145740789</t>
  </si>
  <si>
    <t>110926161841481</t>
  </si>
  <si>
    <t>Bodega Central Agrota110926161841481</t>
  </si>
  <si>
    <t>110927132620264</t>
  </si>
  <si>
    <t>Bodega Central Agrota110927132620264</t>
  </si>
  <si>
    <t>110928152623158</t>
  </si>
  <si>
    <t>Bodega Central Agrota110928152623158</t>
  </si>
  <si>
    <t>Bodega Central Agrota110929102013837</t>
  </si>
  <si>
    <t>111024162509834</t>
  </si>
  <si>
    <t>Bodega Central Agrota111024162509834</t>
  </si>
  <si>
    <t>Bodega Central Agrota111108123846541</t>
  </si>
  <si>
    <t>111108152947054</t>
  </si>
  <si>
    <t>Bodega Central Agrota111108152947054</t>
  </si>
  <si>
    <t>111108161853414</t>
  </si>
  <si>
    <t>Bodega Central Agrota111108161853414</t>
  </si>
  <si>
    <t>111108170105684</t>
  </si>
  <si>
    <t>Bodega Central Agrota111108170105684</t>
  </si>
  <si>
    <t>111108174852718</t>
  </si>
  <si>
    <t>Bodega Central Agrota111108174852718</t>
  </si>
  <si>
    <t>111114100203694</t>
  </si>
  <si>
    <t>Bodega Central Agrota111114100203694</t>
  </si>
  <si>
    <t>111114101706644</t>
  </si>
  <si>
    <t>Bodega Central Agrota111114101706644</t>
  </si>
  <si>
    <t>111114102615096</t>
  </si>
  <si>
    <t>Bodega Central Agrota111114102615096</t>
  </si>
  <si>
    <t>111114104908529</t>
  </si>
  <si>
    <t>Bodega Central Agrota111114104908529</t>
  </si>
  <si>
    <t>Bodega Central Agrota111121154115814</t>
  </si>
  <si>
    <t>111121161439760</t>
  </si>
  <si>
    <t>Bodega Central Agrota111121161439760</t>
  </si>
  <si>
    <t>111221091707892</t>
  </si>
  <si>
    <t>Bodega Central Agrota111221091707892</t>
  </si>
  <si>
    <t>111221093247500</t>
  </si>
  <si>
    <t>Bodega Central Agrota111221093247500</t>
  </si>
  <si>
    <t>111221102626781</t>
  </si>
  <si>
    <t>Bodega Central Agrota111221102626781</t>
  </si>
  <si>
    <t>111227112923358</t>
  </si>
  <si>
    <t>Bodega Central Agrota111227112923358</t>
  </si>
  <si>
    <t>Bodega Central Agrota120123133836091</t>
  </si>
  <si>
    <t>120123144246819</t>
  </si>
  <si>
    <t>Bodega Central Agrota120123144246819</t>
  </si>
  <si>
    <t>Bodega Central Agrota120123145046694</t>
  </si>
  <si>
    <t>Bodega Central Agrota120123150159838</t>
  </si>
  <si>
    <t>120123151548375</t>
  </si>
  <si>
    <t>Bodega Central Agrota120123151548375</t>
  </si>
  <si>
    <t>Bodega Central Agrota120123151910381</t>
  </si>
  <si>
    <t>Bodega Central Agrota120123154522684</t>
  </si>
  <si>
    <t>Bodega Central Agrota120123155040006</t>
  </si>
  <si>
    <t>Bodega Central Agrota120131123653093</t>
  </si>
  <si>
    <t>120201123545597</t>
  </si>
  <si>
    <t>Bodega Central Agrota120201123545597</t>
  </si>
  <si>
    <t>120208133639899</t>
  </si>
  <si>
    <t>Bodega Central Agrota120208133639899</t>
  </si>
  <si>
    <t>Bodega Central Agrota120210113717712</t>
  </si>
  <si>
    <t>Bodega Central Agrota120210151714382</t>
  </si>
  <si>
    <t>Bodega Central Agrota120210155750166</t>
  </si>
  <si>
    <t>Bodega Central Agrota120210160328392</t>
  </si>
  <si>
    <t>Bodega Central Agrota120210165226250</t>
  </si>
  <si>
    <t>Bodega Central Agrota120210170524788</t>
  </si>
  <si>
    <t>120306104949182</t>
  </si>
  <si>
    <t>Bodega Central Agrota120306104949182</t>
  </si>
  <si>
    <t>Bodega Central Agrota120307165214656</t>
  </si>
  <si>
    <t>120307170305196</t>
  </si>
  <si>
    <t>Bodega Central Agrota120307170305196</t>
  </si>
  <si>
    <t>120307170737137</t>
  </si>
  <si>
    <t>Bodega Central Agrota120307170737137</t>
  </si>
  <si>
    <t>120307171259809</t>
  </si>
  <si>
    <t>Bodega Central Agrota120307171259809</t>
  </si>
  <si>
    <t>120307171731033</t>
  </si>
  <si>
    <t>Bodega Central Agrota120307171731033</t>
  </si>
  <si>
    <t>Bodega Central Agrota120307172657348</t>
  </si>
  <si>
    <t>120307173533726</t>
  </si>
  <si>
    <t>Bodega Central Agrota120307173533726</t>
  </si>
  <si>
    <t>120327103351480</t>
  </si>
  <si>
    <t>Bodega Central Agrota120327103351480</t>
  </si>
  <si>
    <t>120328125659896</t>
  </si>
  <si>
    <t>Bodega Central Agrota120328125659896</t>
  </si>
  <si>
    <t>120328132225554</t>
  </si>
  <si>
    <t>Bodega Central Agrota120328132225554</t>
  </si>
  <si>
    <t>120328150933014</t>
  </si>
  <si>
    <t>Bodega Central Agrota120328150933014</t>
  </si>
  <si>
    <t>120328152259087</t>
  </si>
  <si>
    <t>Bodega Central Agrota120328152259087</t>
  </si>
  <si>
    <t>Bodega Central Agrota120402153346301</t>
  </si>
  <si>
    <t>120411122936555</t>
  </si>
  <si>
    <t>Bodega Central Agrota120411122936555</t>
  </si>
  <si>
    <t>120425111836811</t>
  </si>
  <si>
    <t>Bodega Central Agrota120425111836811</t>
  </si>
  <si>
    <t>120425175850656</t>
  </si>
  <si>
    <t>Bodega Central Agrota120425175850656</t>
  </si>
  <si>
    <t>120426170015530</t>
  </si>
  <si>
    <t>Bodega Central Agrota120426170015530</t>
  </si>
  <si>
    <t>120511122754574</t>
  </si>
  <si>
    <t>Bodega Central Agrota120511122754574</t>
  </si>
  <si>
    <t>Bodega Central Agrota120523170017913</t>
  </si>
  <si>
    <t>120523173056591</t>
  </si>
  <si>
    <t>Bodega Central Agrota120523173056591</t>
  </si>
  <si>
    <t>Bodega Central Agrota120704115052643</t>
  </si>
  <si>
    <t>120705093950910</t>
  </si>
  <si>
    <t>Bodega Central Agrota120705093950910</t>
  </si>
  <si>
    <t>120709122703144</t>
  </si>
  <si>
    <t>Bodega Central Agrota120709122703144</t>
  </si>
  <si>
    <t>Bodega Central Agrota120807091015422</t>
  </si>
  <si>
    <t>Bodega Central Agrota120808161340060</t>
  </si>
  <si>
    <t>120817103554729</t>
  </si>
  <si>
    <t>Bodega Central Agrota120817103554729</t>
  </si>
  <si>
    <t>120905133516910</t>
  </si>
  <si>
    <t>Bodega Central Agrota120905133516910</t>
  </si>
  <si>
    <t>120905152628277</t>
  </si>
  <si>
    <t>Bodega Central Agrota120905152628277</t>
  </si>
  <si>
    <t>Bodega Central Agrota120919131900783</t>
  </si>
  <si>
    <t>Bodega Central Agrota121010112626768</t>
  </si>
  <si>
    <t>Bodega Central Agrota121114171333702</t>
  </si>
  <si>
    <t>Bodega Central Agrota121203173423067</t>
  </si>
  <si>
    <t>Bodega Central Agrota121203173947671</t>
  </si>
  <si>
    <t>121205092543068</t>
  </si>
  <si>
    <t>Bodega Central Agrota121205092543068</t>
  </si>
  <si>
    <t>121205093340522</t>
  </si>
  <si>
    <t>Bodega Central Agrota121205093340522</t>
  </si>
  <si>
    <t>121206143812715</t>
  </si>
  <si>
    <t>Bodega Central Agrota121206143812715</t>
  </si>
  <si>
    <t>121206144224546</t>
  </si>
  <si>
    <t>Bodega Central Agrota121206144224546</t>
  </si>
  <si>
    <t>121206145020362</t>
  </si>
  <si>
    <t>Bodega Central Agrota121206145020362</t>
  </si>
  <si>
    <t>Bodega Central Agrota121206163956495</t>
  </si>
  <si>
    <t>Bodega Central Agrota121227101210700</t>
  </si>
  <si>
    <t>130103131840765</t>
  </si>
  <si>
    <t>Bodega Central Agrota130103131840765</t>
  </si>
  <si>
    <t>130107125733021</t>
  </si>
  <si>
    <t>Bodega Central Agrota130107125733021</t>
  </si>
  <si>
    <t>130114102919287</t>
  </si>
  <si>
    <t>Bodega Central Agrota130114102919287</t>
  </si>
  <si>
    <t>Bodega Central Agrota130125115603971</t>
  </si>
  <si>
    <t>130125120821472</t>
  </si>
  <si>
    <t>Bodega Central Agrota130125120821472</t>
  </si>
  <si>
    <t>130129102202117</t>
  </si>
  <si>
    <t>Bodega Central Agrota130129102202117</t>
  </si>
  <si>
    <t>130201093642970</t>
  </si>
  <si>
    <t>Bodega Central Agrota130201093642970</t>
  </si>
  <si>
    <t>Bodega Central Agrota130201094911198</t>
  </si>
  <si>
    <t>130206121445472</t>
  </si>
  <si>
    <t>Bodega Central Agrota130206121445472</t>
  </si>
  <si>
    <t>Bodega Central Agrota130307095319181</t>
  </si>
  <si>
    <t>130314145412386</t>
  </si>
  <si>
    <t>Bodega Central Agrota130314145412386</t>
  </si>
  <si>
    <t>130314145756201</t>
  </si>
  <si>
    <t>Bodega Central Agrota130314145756201</t>
  </si>
  <si>
    <t>130314150858238</t>
  </si>
  <si>
    <t>Bodega Central Agrota130314150858238</t>
  </si>
  <si>
    <t>130314151207748</t>
  </si>
  <si>
    <t>Bodega Central Agrota130314151207748</t>
  </si>
  <si>
    <t>130314151641046</t>
  </si>
  <si>
    <t>Bodega Central Agrota130314151641046</t>
  </si>
  <si>
    <t>Bodega Central Agrota130314152047730</t>
  </si>
  <si>
    <t>Bodega Central Agrota130315131316950</t>
  </si>
  <si>
    <t>130326101501191</t>
  </si>
  <si>
    <t>Bodega Central Agrota130326101501191</t>
  </si>
  <si>
    <t>130403084117250</t>
  </si>
  <si>
    <t>Bodega Central Agrota130403084117250</t>
  </si>
  <si>
    <t>130417112502621</t>
  </si>
  <si>
    <t>Bodega Central Agrota130417112502621</t>
  </si>
  <si>
    <t>130507121245297</t>
  </si>
  <si>
    <t>Bodega Central Agrota130507121245297</t>
  </si>
  <si>
    <t>Bodega Central Agrota130509090443539</t>
  </si>
  <si>
    <t>130511060216257</t>
  </si>
  <si>
    <t>Bodega Central Agrota130511060216257</t>
  </si>
  <si>
    <t>130511060807072</t>
  </si>
  <si>
    <t>Bodega Central Agrota130511060807072</t>
  </si>
  <si>
    <t>130511062311629</t>
  </si>
  <si>
    <t>Bodega Central Agrota130511062311629</t>
  </si>
  <si>
    <t>130511062851773</t>
  </si>
  <si>
    <t>Bodega Central Agrota130511062851773</t>
  </si>
  <si>
    <t>130511065424499</t>
  </si>
  <si>
    <t>Bodega Central Agrota130511065424499</t>
  </si>
  <si>
    <t>130511065851401</t>
  </si>
  <si>
    <t>Bodega Central Agrota130511065851401</t>
  </si>
  <si>
    <t>130511070355556</t>
  </si>
  <si>
    <t>Bodega Central Agrota130511070355556</t>
  </si>
  <si>
    <t>130511175422310</t>
  </si>
  <si>
    <t>Bodega Central Agrota130511175422310</t>
  </si>
  <si>
    <t>130511175933610</t>
  </si>
  <si>
    <t>Bodega Central Agrota130511175933610</t>
  </si>
  <si>
    <t>Bodega Central Agrota130511194902844</t>
  </si>
  <si>
    <t>130511195519680</t>
  </si>
  <si>
    <t>Bodega Central Agrota130511195519680</t>
  </si>
  <si>
    <t>Bodega Central Agrota130513085913449</t>
  </si>
  <si>
    <t>Bodega Central Agrota130513091841094</t>
  </si>
  <si>
    <t>130513101317789</t>
  </si>
  <si>
    <t>Bodega Central Agrota130513101317789</t>
  </si>
  <si>
    <t>Bodega Central Agrota130513110557759</t>
  </si>
  <si>
    <t>Bodega Central Agrota130513184909591</t>
  </si>
  <si>
    <t>130516171024435</t>
  </si>
  <si>
    <t>Bodega Central Agrota130516171024435</t>
  </si>
  <si>
    <t>130516172705759</t>
  </si>
  <si>
    <t>Bodega Central Agrota130516172705759</t>
  </si>
  <si>
    <t>Bodega Central Agrota130517083908102</t>
  </si>
  <si>
    <t>130522132012183</t>
  </si>
  <si>
    <t>Bodega Central Agrota130522132012183</t>
  </si>
  <si>
    <t>130523092412492</t>
  </si>
  <si>
    <t>Bodega Central Agrota130523092412492</t>
  </si>
  <si>
    <t>130606162741708</t>
  </si>
  <si>
    <t>Bodega Central Agrota130606162741708</t>
  </si>
  <si>
    <t>130607115920362</t>
  </si>
  <si>
    <t>Bodega Central Agrota130607115920362</t>
  </si>
  <si>
    <t>Bodega Central Agrota130607122113008</t>
  </si>
  <si>
    <t>Bodega Central Agrota130627121313133</t>
  </si>
  <si>
    <t>130705154135756</t>
  </si>
  <si>
    <t>Bodega Central Agrota130705154135756</t>
  </si>
  <si>
    <t>130710103236619</t>
  </si>
  <si>
    <t>Bodega Central Agrota130710103236619</t>
  </si>
  <si>
    <t>Bodega Central Agrota130711095146301</t>
  </si>
  <si>
    <t>Bodega Central Agrota130802093346297</t>
  </si>
  <si>
    <t>130805082221015</t>
  </si>
  <si>
    <t>Bodega Central Agrota130805082221015</t>
  </si>
  <si>
    <t>130805090633873</t>
  </si>
  <si>
    <t>Bodega Central Agrota130805090633873</t>
  </si>
  <si>
    <t>130805104410861</t>
  </si>
  <si>
    <t>Bodega Central Agrota130805104410861</t>
  </si>
  <si>
    <t>130805105135405</t>
  </si>
  <si>
    <t>Bodega Central Agrota130805105135405</t>
  </si>
  <si>
    <t>Bodega Central Agrota130805110032765</t>
  </si>
  <si>
    <t>Bodega Central Agrota130814160413676</t>
  </si>
  <si>
    <t>Bodega Central Agrota130814160716665</t>
  </si>
  <si>
    <t>130827113629285</t>
  </si>
  <si>
    <t>Bodega Central Agrota130827113629285</t>
  </si>
  <si>
    <t>Bodega Central Agrota130827115242335</t>
  </si>
  <si>
    <t>130827154035064</t>
  </si>
  <si>
    <t>Bodega Central Agrota130827154035064</t>
  </si>
  <si>
    <t>Bodega Central Agrota130827161208084</t>
  </si>
  <si>
    <t>Bodega Central Agrota130913103914939</t>
  </si>
  <si>
    <t>130916122004547</t>
  </si>
  <si>
    <t>Bodega Central Agrota130916122004547</t>
  </si>
  <si>
    <t>130916142250726</t>
  </si>
  <si>
    <t>Bodega Central Agrota130916142250726</t>
  </si>
  <si>
    <t>130916142755004</t>
  </si>
  <si>
    <t>Bodega Central Agrota130916142755004</t>
  </si>
  <si>
    <t>Bodega Central Agrota130916143320998</t>
  </si>
  <si>
    <t>Bodega Central Agrota130916162533786</t>
  </si>
  <si>
    <t>130916162841563</t>
  </si>
  <si>
    <t>Bodega Central Agrota130916162841563</t>
  </si>
  <si>
    <t>Bodega Central Agrota130919160239021</t>
  </si>
  <si>
    <t>131010105311945</t>
  </si>
  <si>
    <t>Bodega Central Agrota131010105311945</t>
  </si>
  <si>
    <t>Bodega Central Agrota131118084823001</t>
  </si>
  <si>
    <t>Bodega Central Agrota131118104553265</t>
  </si>
  <si>
    <t>Bodega Central Agrota131118111429047</t>
  </si>
  <si>
    <t>Bodega Central Agrota131118112416746</t>
  </si>
  <si>
    <t>Bodega Central Agrota131118121547433</t>
  </si>
  <si>
    <t>Bodega Central Agrota131118122504946</t>
  </si>
  <si>
    <t>Bodega Central Agrota131119093511394</t>
  </si>
  <si>
    <t>Bodega Central Agrota131119093838141</t>
  </si>
  <si>
    <t>Bodega Central Agrota131119095735911</t>
  </si>
  <si>
    <t>Bodega Central Agrota131119103235578</t>
  </si>
  <si>
    <t>Bodega Central Agrota131120084234866</t>
  </si>
  <si>
    <t>Bodega Central Agrota131120091009777</t>
  </si>
  <si>
    <t>Bodega Central Agrota131120104528409</t>
  </si>
  <si>
    <t>Bodega Central Agrota131120112941985</t>
  </si>
  <si>
    <t>Bodega Central Agrota131120113451738</t>
  </si>
  <si>
    <t>Bodega Central Agrota131120114206666</t>
  </si>
  <si>
    <t>Bodega Central Agrota131120114626718</t>
  </si>
  <si>
    <t>Bodega Central Agrota131120130533861</t>
  </si>
  <si>
    <t>Bodega Central Agrota131120160907383</t>
  </si>
  <si>
    <t>131122151222409</t>
  </si>
  <si>
    <t>Bodega Central Agrota131122151222409</t>
  </si>
  <si>
    <t>Bodega Central Agrota131122154651763</t>
  </si>
  <si>
    <t>Bodega Central Agrota131126100712646</t>
  </si>
  <si>
    <t>Bodega Central Agrota131126102322171</t>
  </si>
  <si>
    <t>Bodega Central Agrota131203153453451</t>
  </si>
  <si>
    <t>131206100336682</t>
  </si>
  <si>
    <t>Bodega Central Agrota131206100336682</t>
  </si>
  <si>
    <t>131210123901826</t>
  </si>
  <si>
    <t>Bodega Central Agrota131210123901826</t>
  </si>
  <si>
    <t>Bodega Central Agrota131210125042812</t>
  </si>
  <si>
    <t>131210125715620</t>
  </si>
  <si>
    <t>Bodega Central Agrota131210125715620</t>
  </si>
  <si>
    <t>131210130417553</t>
  </si>
  <si>
    <t>Bodega Central Agrota131210130417553</t>
  </si>
  <si>
    <t>131210130833861</t>
  </si>
  <si>
    <t>Bodega Central Agrota131210130833861</t>
  </si>
  <si>
    <t>131210132227759</t>
  </si>
  <si>
    <t>Bodega Central Agrota131210132227759</t>
  </si>
  <si>
    <t>Bodega Central Agrota131210132942282</t>
  </si>
  <si>
    <t>131210150216397</t>
  </si>
  <si>
    <t>Bodega Central Agrota131210150216397</t>
  </si>
  <si>
    <t>131210151246481</t>
  </si>
  <si>
    <t>Bodega Central Agrota131210151246481</t>
  </si>
  <si>
    <t>131217105446635</t>
  </si>
  <si>
    <t>Bodega Central Agrota131217105446635</t>
  </si>
  <si>
    <t>131217112712204</t>
  </si>
  <si>
    <t>Bodega Central Agrota131217112712204</t>
  </si>
  <si>
    <t>131220102635559</t>
  </si>
  <si>
    <t>Bodega Central Agrota131220102635559</t>
  </si>
  <si>
    <t>Bodega Central Agrota140123091302964</t>
  </si>
  <si>
    <t>140205101034212</t>
  </si>
  <si>
    <t>Bodega Central Agrota140205101034212</t>
  </si>
  <si>
    <t>140206091905607</t>
  </si>
  <si>
    <t>Bodega Central Agrota140206091905607</t>
  </si>
  <si>
    <t>140214085104064</t>
  </si>
  <si>
    <t>Bodega Central Agrota140214085104064</t>
  </si>
  <si>
    <t>140217082554953</t>
  </si>
  <si>
    <t>Bodega Central Agrota140217082554953</t>
  </si>
  <si>
    <t>Bodega Central Agrota140217091722774</t>
  </si>
  <si>
    <t>Bodega Central Agrota140217110645096</t>
  </si>
  <si>
    <t>140227090952089</t>
  </si>
  <si>
    <t>Bodega Central Agrota140227090952089</t>
  </si>
  <si>
    <t>Bodega Central Agrota140315121232863</t>
  </si>
  <si>
    <t>Bodega Central Agrota140401132453848</t>
  </si>
  <si>
    <t>140411110244160</t>
  </si>
  <si>
    <t>Bodega Central Agrota140411110244160</t>
  </si>
  <si>
    <t>Bodega Central Agrota140424163955954</t>
  </si>
  <si>
    <t>Bodega Central Agrota140424164815796</t>
  </si>
  <si>
    <t>Bodega Central Agrota140424165418046</t>
  </si>
  <si>
    <t>140520131554489</t>
  </si>
  <si>
    <t>Bodega Central Agrota140520131554489</t>
  </si>
  <si>
    <t>140521111502049</t>
  </si>
  <si>
    <t>Bodega Central Agrota140521111502049</t>
  </si>
  <si>
    <t>140521112151801</t>
  </si>
  <si>
    <t>Bodega Central Agrota140521112151801</t>
  </si>
  <si>
    <t>140521114458478</t>
  </si>
  <si>
    <t>Bodega Central Agrota140521114458478</t>
  </si>
  <si>
    <t>140521124558979</t>
  </si>
  <si>
    <t>Bodega Central Agrota140521124558979</t>
  </si>
  <si>
    <t>140521125131995</t>
  </si>
  <si>
    <t>Bodega Central Agrota140521125131995</t>
  </si>
  <si>
    <t>140521130348709</t>
  </si>
  <si>
    <t>Bodega Central Agrota140521130348709</t>
  </si>
  <si>
    <t>Bodega Central Agrota140521131001708</t>
  </si>
  <si>
    <t>140522092530399</t>
  </si>
  <si>
    <t>Bodega Central Agrota140522092530399</t>
  </si>
  <si>
    <t>140522094728389</t>
  </si>
  <si>
    <t>Bodega Central Agrota140522094728389</t>
  </si>
  <si>
    <t>140522102104967</t>
  </si>
  <si>
    <t>Bodega Central Agrota140522102104967</t>
  </si>
  <si>
    <t>Bodega Central Agrota140523093312345</t>
  </si>
  <si>
    <t>Bodega Central Agrota140602154941409</t>
  </si>
  <si>
    <t>Bodega Central Agrota140604163356084</t>
  </si>
  <si>
    <t>Bodega Central Agrota140605103820669</t>
  </si>
  <si>
    <t>Bodega Central Agrota140605132820686</t>
  </si>
  <si>
    <t>Bodega Central Agrota140619101937994</t>
  </si>
  <si>
    <t>140702091553124</t>
  </si>
  <si>
    <t>Bodega Central Agrota140702091553124</t>
  </si>
  <si>
    <t>140702092516911</t>
  </si>
  <si>
    <t>Bodega Central Agrota140702092516911</t>
  </si>
  <si>
    <t>140702093115293</t>
  </si>
  <si>
    <t>Bodega Central Agrota140702093115293</t>
  </si>
  <si>
    <t>140702094513065</t>
  </si>
  <si>
    <t>Bodega Central Agrota140702094513065</t>
  </si>
  <si>
    <t>Bodega Central Agrota140702104429310</t>
  </si>
  <si>
    <t>140804163721881</t>
  </si>
  <si>
    <t>Bodega Central Agrota140804163721881</t>
  </si>
  <si>
    <t>140812144431714</t>
  </si>
  <si>
    <t>Bodega Central Agrota140812144431714</t>
  </si>
  <si>
    <t>Bodega Central Agrota140820150021865</t>
  </si>
  <si>
    <t>Bodega Central Agrota140828144700058</t>
  </si>
  <si>
    <t>140911102200638</t>
  </si>
  <si>
    <t>Bodega Central Agrota140911102200638</t>
  </si>
  <si>
    <t>140911103129854</t>
  </si>
  <si>
    <t>Bodega Central Agrota140911103129854</t>
  </si>
  <si>
    <t>140911110451519</t>
  </si>
  <si>
    <t>Bodega Central Agrota140911110451519</t>
  </si>
  <si>
    <t>140911164832964</t>
  </si>
  <si>
    <t>Bodega Central Agrota140911164832964</t>
  </si>
  <si>
    <t>140930152138133</t>
  </si>
  <si>
    <t>Bodega Central Agrota140930152138133</t>
  </si>
  <si>
    <t>141009120204603</t>
  </si>
  <si>
    <t>Bodega Central Agrota141009120204603</t>
  </si>
  <si>
    <t>Bodega Central Agrota141017160806951</t>
  </si>
  <si>
    <t>141022101612400</t>
  </si>
  <si>
    <t>Bodega Central Agrota141022101612400</t>
  </si>
  <si>
    <t>141022122445948</t>
  </si>
  <si>
    <t>Bodega Central Agrota141022122445948</t>
  </si>
  <si>
    <t>141022123405149</t>
  </si>
  <si>
    <t>Bodega Central Agrota141022123405149</t>
  </si>
  <si>
    <t>141022124915992</t>
  </si>
  <si>
    <t>Bodega Central Agrota141022124915992</t>
  </si>
  <si>
    <t>141022130644693</t>
  </si>
  <si>
    <t>Bodega Central Agrota141022130644693</t>
  </si>
  <si>
    <t>141024103243427</t>
  </si>
  <si>
    <t>Bodega Central Agrota141024103243427</t>
  </si>
  <si>
    <t>141029092740059</t>
  </si>
  <si>
    <t>Bodega Central Agrota141029092740059</t>
  </si>
  <si>
    <t>Bodega Central Agrota141029093149957</t>
  </si>
  <si>
    <t>141029095255765</t>
  </si>
  <si>
    <t>Bodega Central Agrota141029095255765</t>
  </si>
  <si>
    <t>141117105740524</t>
  </si>
  <si>
    <t>Bodega Central Agrota141117105740524</t>
  </si>
  <si>
    <t>141124111202880</t>
  </si>
  <si>
    <t>Bodega Central Agrota141124111202880</t>
  </si>
  <si>
    <t>141125105606484</t>
  </si>
  <si>
    <t>Bodega Central Agrota141125105606484</t>
  </si>
  <si>
    <t>141217094209287</t>
  </si>
  <si>
    <t>Bodega Central Agrota141217094209287</t>
  </si>
  <si>
    <t>141217172348163</t>
  </si>
  <si>
    <t>Bodega Central Agrota141217172348163</t>
  </si>
  <si>
    <t>Bodega Central Agrota150108111605271</t>
  </si>
  <si>
    <t>Bodega Central Agrota150108111951753</t>
  </si>
  <si>
    <t>150127150116904</t>
  </si>
  <si>
    <t>Bodega Central Agrota150127150116904</t>
  </si>
  <si>
    <t>Bodega Central Agrota150210120423626</t>
  </si>
  <si>
    <t>Bodega Central Agrota150210122152596</t>
  </si>
  <si>
    <t>Bodega Central Agrota150210122527290</t>
  </si>
  <si>
    <t>Bodega Central Agrota150210144524009</t>
  </si>
  <si>
    <t>Bodega Central Agrota150210145755547</t>
  </si>
  <si>
    <t>Bodega Central Agrota150210153425262</t>
  </si>
  <si>
    <t>Bodega Central Agrota150210154043660</t>
  </si>
  <si>
    <t>Bodega Central Agrota150220102453393</t>
  </si>
  <si>
    <t>Bodega Central Agrota150220132614316</t>
  </si>
  <si>
    <t>Bodega Central Agrota150224124337287</t>
  </si>
  <si>
    <t>Bodega Central Agrota150224124717429</t>
  </si>
  <si>
    <t>Bodega Central Agrota150224130226480</t>
  </si>
  <si>
    <t>Bodega Central Agrota150224172620403</t>
  </si>
  <si>
    <t>Bodega Central Agrota150224172903528</t>
  </si>
  <si>
    <t>Bodega Central Agrota150226120437267</t>
  </si>
  <si>
    <t>150226121438095</t>
  </si>
  <si>
    <t>Bodega Central Agrota150226121438095</t>
  </si>
  <si>
    <t>Bodega Central Agrota150304094027233</t>
  </si>
  <si>
    <t>150309153026614</t>
  </si>
  <si>
    <t>Bodega Central Agrota150309153026614</t>
  </si>
  <si>
    <t>Bodega Central Agrota150331085145825</t>
  </si>
  <si>
    <t>Bodega Central Agrota150401123931974</t>
  </si>
  <si>
    <t>Bodega Central Agrota150409131637678</t>
  </si>
  <si>
    <t>Bodega Central Agrota150420092705113</t>
  </si>
  <si>
    <t>Bodega Central Agrota150429112753168</t>
  </si>
  <si>
    <t>150504171240944</t>
  </si>
  <si>
    <t>Bodega Central Agrota150504171240944</t>
  </si>
  <si>
    <t>150519144149140</t>
  </si>
  <si>
    <t>Bodega Central Agrota150519144149140</t>
  </si>
  <si>
    <t>150519165106973</t>
  </si>
  <si>
    <t>Bodega Central Agrota150519165106973</t>
  </si>
  <si>
    <t>Bodega Central Agrota150525173710737</t>
  </si>
  <si>
    <t>150601112246405</t>
  </si>
  <si>
    <t>Bodega Central Agrota150601112246405</t>
  </si>
  <si>
    <t>Bodega Central Agrota150612103911627</t>
  </si>
  <si>
    <t>Bodega Central Agrota150612110458216</t>
  </si>
  <si>
    <t>150615101450841</t>
  </si>
  <si>
    <t>Bodega Central Agrota150615101450841</t>
  </si>
  <si>
    <t>Bodega Central Agrota150618082627588</t>
  </si>
  <si>
    <t>150622125211525</t>
  </si>
  <si>
    <t>Bodega Central Agrota150622125211525</t>
  </si>
  <si>
    <t>Bodega Central Agrota150626120608080</t>
  </si>
  <si>
    <t>Bodega Central Agrota150626121407556</t>
  </si>
  <si>
    <t>150630162948463</t>
  </si>
  <si>
    <t>Bodega Central Agrota150630162948463</t>
  </si>
  <si>
    <t>150701123710723</t>
  </si>
  <si>
    <t>Bodega Central Agrota150701123710723</t>
  </si>
  <si>
    <t>150701124329250</t>
  </si>
  <si>
    <t>Bodega Central Agrota150701124329250</t>
  </si>
  <si>
    <t>150701150251740</t>
  </si>
  <si>
    <t>Bodega Central Agrota150701150251740</t>
  </si>
  <si>
    <t>150701150559895</t>
  </si>
  <si>
    <t>Bodega Central Agrota150701150559895</t>
  </si>
  <si>
    <t>Bodega Central Agrota150701150954437</t>
  </si>
  <si>
    <t>Bodega Central Agrota150701153354884</t>
  </si>
  <si>
    <t>150701154817001</t>
  </si>
  <si>
    <t>Bodega Central Agrota150701154817001</t>
  </si>
  <si>
    <t>150701160950952</t>
  </si>
  <si>
    <t>Bodega Central Agrota150701160950952</t>
  </si>
  <si>
    <t>150701161833979</t>
  </si>
  <si>
    <t>Bodega Central Agrota150701161833979</t>
  </si>
  <si>
    <t>150701162148651</t>
  </si>
  <si>
    <t>Bodega Central Agrota150701162148651</t>
  </si>
  <si>
    <t>150701163645485</t>
  </si>
  <si>
    <t>Bodega Central Agrota150701163645485</t>
  </si>
  <si>
    <t>150701165218675</t>
  </si>
  <si>
    <t>Bodega Central Agrota150701165218675</t>
  </si>
  <si>
    <t>150709124004800</t>
  </si>
  <si>
    <t>Bodega Central Agrota150709124004800</t>
  </si>
  <si>
    <t>150805162929876</t>
  </si>
  <si>
    <t>Bodega Central Agrota150805162929876</t>
  </si>
  <si>
    <t>150819125709931</t>
  </si>
  <si>
    <t>Bodega Central Agrota150819125709931</t>
  </si>
  <si>
    <t>Bodega Central Agrota150828093228784</t>
  </si>
  <si>
    <t>150828094019821</t>
  </si>
  <si>
    <t>Bodega Central Agrota150828094019821</t>
  </si>
  <si>
    <t>Bodega Central Agrota150923200053765</t>
  </si>
  <si>
    <t>Bodega Central Agrota150924121008360</t>
  </si>
  <si>
    <t>Bodega Central Agrota150928163010338</t>
  </si>
  <si>
    <t>Bodega Central Agrota150929114500771</t>
  </si>
  <si>
    <t>151006123801732</t>
  </si>
  <si>
    <t>Bodega Central Agrota151006123801732</t>
  </si>
  <si>
    <t>151008112250789</t>
  </si>
  <si>
    <t>Bodega Central Agrota151008112250789</t>
  </si>
  <si>
    <t>Bodega Central Agrota151021093723457</t>
  </si>
  <si>
    <t>Bodega Central Agrota151204181722571</t>
  </si>
  <si>
    <t>160203094934607</t>
  </si>
  <si>
    <t>Bodega Central Agrota160203094934607</t>
  </si>
  <si>
    <t>Bodega Central Agrota160215113021292</t>
  </si>
  <si>
    <t>Bodega Central Agrota160215113711295</t>
  </si>
  <si>
    <t>Bodega Central Agrota160215120226111</t>
  </si>
  <si>
    <t>Bodega Central Agrota160215121648871</t>
  </si>
  <si>
    <t>Bodega Central Agrota160215122537276</t>
  </si>
  <si>
    <t>Bodega Central Agrota160215122820354</t>
  </si>
  <si>
    <t>Bodega Central Agrota160215125213812</t>
  </si>
  <si>
    <t>Bodega Central Agrota160215130813563</t>
  </si>
  <si>
    <t>Bodega Central Agrota160215131138193</t>
  </si>
  <si>
    <t>Bodega Central Agrota160215153444890</t>
  </si>
  <si>
    <t>Bodega Central Agrota160215154743228</t>
  </si>
  <si>
    <t>Bodega Central Agrota160215155036235</t>
  </si>
  <si>
    <t>Bodega Central Agrota160215160344374</t>
  </si>
  <si>
    <t>Bodega Central Agrota160215161300264</t>
  </si>
  <si>
    <t>Bodega Central Agrota160215163001523</t>
  </si>
  <si>
    <t>Bodega Central Agrota160216082633806</t>
  </si>
  <si>
    <t>Bodega Central Agrota160216084224515</t>
  </si>
  <si>
    <t>Bodega Central Agrota160216085204376</t>
  </si>
  <si>
    <t>Bodega Central Agrota160216090016856</t>
  </si>
  <si>
    <t>Bodega Central Agrota160216091448816</t>
  </si>
  <si>
    <t>Bodega Central Agrota160216091726304</t>
  </si>
  <si>
    <t>Bodega Central Agrota160216092250572</t>
  </si>
  <si>
    <t>Bodega Central Agrota160216095627394</t>
  </si>
  <si>
    <t>Bodega Central Agrota160216102304825</t>
  </si>
  <si>
    <t>Bodega Central Agrota160216102515711</t>
  </si>
  <si>
    <t>Bodega Central Agrota160216102728595</t>
  </si>
  <si>
    <t>Bodega Central Agrota160216103640045</t>
  </si>
  <si>
    <t>Bodega Central Agrota160216103914597</t>
  </si>
  <si>
    <t>Bodega Central Agrota160216104205812</t>
  </si>
  <si>
    <t>Bodega Central Agrota160216104502945</t>
  </si>
  <si>
    <t>Bodega Central Agrota160223142711896</t>
  </si>
  <si>
    <t>160225094138632</t>
  </si>
  <si>
    <t>Bodega Central Agrota160225094138632</t>
  </si>
  <si>
    <t>160225113531540</t>
  </si>
  <si>
    <t>Bodega Central Agrota160225113531540</t>
  </si>
  <si>
    <t>160225120018840</t>
  </si>
  <si>
    <t>Bodega Central Agrota160225120018840</t>
  </si>
  <si>
    <t>160225120836882</t>
  </si>
  <si>
    <t>Bodega Central Agrota160225120836882</t>
  </si>
  <si>
    <t>160225121229558</t>
  </si>
  <si>
    <t>Bodega Central Agrota160225121229558</t>
  </si>
  <si>
    <t>160225121541471</t>
  </si>
  <si>
    <t>Bodega Central Agrota160225121541471</t>
  </si>
  <si>
    <t>160225123929158</t>
  </si>
  <si>
    <t>Bodega Central Agrota160225123929158</t>
  </si>
  <si>
    <t>Bodega Central Agrota160226111112910</t>
  </si>
  <si>
    <t>160226113149996</t>
  </si>
  <si>
    <t>Bodega Central Agrota160226113149996</t>
  </si>
  <si>
    <t>Bodega Central Agrota160226131354777</t>
  </si>
  <si>
    <t>Bodega Central Agrota160229123602223</t>
  </si>
  <si>
    <t>Bodega Central Agrota160310165757785</t>
  </si>
  <si>
    <t>160331091121027</t>
  </si>
  <si>
    <t>Bodega Central Agrota160331091121027</t>
  </si>
  <si>
    <t>160331170219133</t>
  </si>
  <si>
    <t>Bodega Central Agrota160331170219133</t>
  </si>
  <si>
    <t>Bodega Central Agrota160331170623144</t>
  </si>
  <si>
    <t>160401082952503</t>
  </si>
  <si>
    <t>Bodega Central Agrota160401082952503</t>
  </si>
  <si>
    <t>160506174707764</t>
  </si>
  <si>
    <t>Bodega Central Agrota160506174707764</t>
  </si>
  <si>
    <t>160603123519513</t>
  </si>
  <si>
    <t>Bodega Central Agrota160603123519513</t>
  </si>
  <si>
    <t>Bodega Central Agrota160603124913958</t>
  </si>
  <si>
    <t>Bodega Central Agrota160615160219483</t>
  </si>
  <si>
    <t>Bodega Central Agrota160629164033946</t>
  </si>
  <si>
    <t>160630091603877</t>
  </si>
  <si>
    <t>Bodega Central Agrota160630091603877</t>
  </si>
  <si>
    <t>Bodega Central Agrota160713175135476</t>
  </si>
  <si>
    <t>160721132207916</t>
  </si>
  <si>
    <t>Bodega Central Agrota160721132207916</t>
  </si>
  <si>
    <t>160721133121590</t>
  </si>
  <si>
    <t>Bodega Central Agrota160721133121590</t>
  </si>
  <si>
    <t>Bodega Central Agrota160726162540379</t>
  </si>
  <si>
    <t>Bodega Central Agrota160801092947433</t>
  </si>
  <si>
    <t>Bodega Central Agrota160801093344119</t>
  </si>
  <si>
    <t>Bodega Central Agrota160801093656974</t>
  </si>
  <si>
    <t>Bodega Central Agrota160803111717936</t>
  </si>
  <si>
    <t>Bodega Central Agrota160803123503695</t>
  </si>
  <si>
    <t>Bodega Central Agrota160803130056862</t>
  </si>
  <si>
    <t>Bodega Central Agrota160803131508244</t>
  </si>
  <si>
    <t>Bodega Central Agrota160804111900210</t>
  </si>
  <si>
    <t>Bodega Central Agrota160805104047800</t>
  </si>
  <si>
    <t>Bodega Central Agrota160805123049333</t>
  </si>
  <si>
    <t>Bodega Central Agrota160805130327248</t>
  </si>
  <si>
    <t>Bodega Central Agrota160805131059357</t>
  </si>
  <si>
    <t>Bodega Central Agrota160805131538444</t>
  </si>
  <si>
    <t>Bodega Central Agrota160808125909073</t>
  </si>
  <si>
    <t>160808161728440</t>
  </si>
  <si>
    <t>Bodega Central Agrota160808161728440</t>
  </si>
  <si>
    <t>Bodega Central Agrota160809125628834</t>
  </si>
  <si>
    <t>Bodega Central Agrota160809165838988</t>
  </si>
  <si>
    <t>Bodega Central Agrota160811103712255</t>
  </si>
  <si>
    <t>Bodega Central Agrota160811112012950</t>
  </si>
  <si>
    <t>Bodega Central Agrota160811123455470</t>
  </si>
  <si>
    <t>Bodega Central Agrota160817130241257</t>
  </si>
  <si>
    <t>Bodega Central Agrota160817134916407</t>
  </si>
  <si>
    <t>Bodega Central Agrota160817135233116</t>
  </si>
  <si>
    <t>Bodega Central Agrota160817141941827</t>
  </si>
  <si>
    <t>160817175747267</t>
  </si>
  <si>
    <t>Bodega Central Agrota160817175747267</t>
  </si>
  <si>
    <t>Bodega Central Agrota160823082740670</t>
  </si>
  <si>
    <t>Bodega Central Agrota160829123815960</t>
  </si>
  <si>
    <t>Bodega Central Agrota160915100423256</t>
  </si>
  <si>
    <t>Bodega Central Agrota160915132338979</t>
  </si>
  <si>
    <t>Bodega Central Agrota160915132745270</t>
  </si>
  <si>
    <t>Bodega Central Agrota160919160540772</t>
  </si>
  <si>
    <t>Bodega Central Agrota160919161329226</t>
  </si>
  <si>
    <t>160930151211208</t>
  </si>
  <si>
    <t>Bodega Central Agrota160930151211208</t>
  </si>
  <si>
    <t>160930151944497</t>
  </si>
  <si>
    <t>Bodega Central Agrota160930151944497</t>
  </si>
  <si>
    <t>160930160110757</t>
  </si>
  <si>
    <t>Bodega Central Agrota160930160110757</t>
  </si>
  <si>
    <t>Bodega Central Agrota160930160600061</t>
  </si>
  <si>
    <t>160930162734477</t>
  </si>
  <si>
    <t>Bodega Central Agrota160930162734477</t>
  </si>
  <si>
    <t>161006110907760</t>
  </si>
  <si>
    <t>Bodega Central Agrota161006110907760</t>
  </si>
  <si>
    <t>Bodega Central Agrota161018105841737</t>
  </si>
  <si>
    <t>161018123308837</t>
  </si>
  <si>
    <t>Bodega Central Agrota161018123308837</t>
  </si>
  <si>
    <t>161018132027058</t>
  </si>
  <si>
    <t>Bodega Central Agrota161018132027058</t>
  </si>
  <si>
    <t>161018154858509</t>
  </si>
  <si>
    <t>Bodega Central Agrota161018154858509</t>
  </si>
  <si>
    <t>161018155223133</t>
  </si>
  <si>
    <t>Bodega Central Agrota161018155223133</t>
  </si>
  <si>
    <t>161018155628526</t>
  </si>
  <si>
    <t>Bodega Central Agrota161018155628526</t>
  </si>
  <si>
    <t>161018164018438</t>
  </si>
  <si>
    <t>Bodega Central Agrota161018164018438</t>
  </si>
  <si>
    <t>Bodega Central Agrota161019120616542</t>
  </si>
  <si>
    <t>161107160604583</t>
  </si>
  <si>
    <t>Bodega Central Agrota161107160604583</t>
  </si>
  <si>
    <t>161107161056145</t>
  </si>
  <si>
    <t>Bodega Central Agrota161107161056145</t>
  </si>
  <si>
    <t>Bodega Central Agrota161114160711381</t>
  </si>
  <si>
    <t>Bodega Central Agrota161205120116118</t>
  </si>
  <si>
    <t>161208112437789</t>
  </si>
  <si>
    <t>Bodega Central Agrota161208112437789</t>
  </si>
  <si>
    <t>Bodega Central Agrota161209131406878</t>
  </si>
  <si>
    <t>Bodega Central Agrota161209153229472</t>
  </si>
  <si>
    <t>Bodega Central Agrota161212094407909</t>
  </si>
  <si>
    <t>Bodega Central Agrota161212094638885</t>
  </si>
  <si>
    <t>Bodega Central Agrota161212094916321</t>
  </si>
  <si>
    <t>Bodega Central Agrota161212095827326</t>
  </si>
  <si>
    <t>Bodega Central Agrota161212100743198</t>
  </si>
  <si>
    <t>Bodega Central Agrota161212132233417</t>
  </si>
  <si>
    <t>Bodega Central Agrota161212132759974</t>
  </si>
  <si>
    <t>Bodega Central Agrota161212150952386</t>
  </si>
  <si>
    <t>Bodega Central Agrota161213084658012</t>
  </si>
  <si>
    <t>Bodega Central Agrota161213085002408</t>
  </si>
  <si>
    <t>Bodega Central Agrota161213094956438</t>
  </si>
  <si>
    <t>Bodega Central Agrota161213100657591</t>
  </si>
  <si>
    <t>Bodega Central Agrota161213103856527</t>
  </si>
  <si>
    <t>Bodega Central Agrota161213104845616</t>
  </si>
  <si>
    <t>Bodega Central Agrota161213105130339</t>
  </si>
  <si>
    <t>Bodega Central Agrota161213153313980</t>
  </si>
  <si>
    <t>Bodega Central Agrota161213163543341</t>
  </si>
  <si>
    <t>Bodega Central Agrota161213163910893</t>
  </si>
  <si>
    <t>Bodega Central Agrota161215103058105</t>
  </si>
  <si>
    <t>161215130019217</t>
  </si>
  <si>
    <t>Bodega Central Agrota161215130019217</t>
  </si>
  <si>
    <t>Bodega Central Agrota161215160029735</t>
  </si>
  <si>
    <t>Bodega Central Agrota161216112830037</t>
  </si>
  <si>
    <t>Bodega Central Agrota161216130556052</t>
  </si>
  <si>
    <t>161219100712307</t>
  </si>
  <si>
    <t>Bodega Central Agrota161219100712307</t>
  </si>
  <si>
    <t>Bodega Central Agrota161219175325978</t>
  </si>
  <si>
    <t>161221130914895</t>
  </si>
  <si>
    <t>Bodega Central Agrota161221130914895</t>
  </si>
  <si>
    <t>161221131226932</t>
  </si>
  <si>
    <t>Bodega Central Agrota161221131226932</t>
  </si>
  <si>
    <t>161227171722018</t>
  </si>
  <si>
    <t>Bodega Central Agrota161227171722018</t>
  </si>
  <si>
    <t>Bodega Central Agrota161228103504164</t>
  </si>
  <si>
    <t>Bodega Central Agrota170116162805322</t>
  </si>
  <si>
    <t>170125113848345</t>
  </si>
  <si>
    <t>Bodega Central Agrota170125113848345</t>
  </si>
  <si>
    <t>170314170757084</t>
  </si>
  <si>
    <t>Bodega Central Agrota170314170757084</t>
  </si>
  <si>
    <t>170314171124281</t>
  </si>
  <si>
    <t>Bodega Central Agrota170314171124281</t>
  </si>
  <si>
    <t>Bodega Central Agrota170322111236563</t>
  </si>
  <si>
    <t>Bodega Central Agrota170502112254984</t>
  </si>
  <si>
    <t>Bodega Central Agrota170509120013228</t>
  </si>
  <si>
    <t>Bodega Central Agrota170519132623999</t>
  </si>
  <si>
    <t>Bodega Central Agrota170519132946505</t>
  </si>
  <si>
    <t>Bodega Central Agrota170519171321823</t>
  </si>
  <si>
    <t>Bodega Central Agrota170519171601547</t>
  </si>
  <si>
    <t>Bodega Central Agrota170519171839565</t>
  </si>
  <si>
    <t>Bodega Central Agrota170519172111374</t>
  </si>
  <si>
    <t>Bodega Central Agrota170519172504044</t>
  </si>
  <si>
    <t>Bodega Central Agrota170519173001381</t>
  </si>
  <si>
    <t>Bodega Central Agrota170519173711250</t>
  </si>
  <si>
    <t>Bodega Central Agrota170523160650024</t>
  </si>
  <si>
    <t>Bodega Central Agrota170524082234734</t>
  </si>
  <si>
    <t>Bodega Central Agrota170524082555311</t>
  </si>
  <si>
    <t>Bodega Central Agrota170524083649636</t>
  </si>
  <si>
    <t>Bodega Central Agrota170524083938539</t>
  </si>
  <si>
    <t>Bodega Central Agrota170524085136463</t>
  </si>
  <si>
    <t>Bodega Central Agrota170524100735937</t>
  </si>
  <si>
    <t>Bodega Central Agrota170524101337059</t>
  </si>
  <si>
    <t>Bodega Central Agrota170524120235605</t>
  </si>
  <si>
    <t>Bodega Central Agrota170524122756974</t>
  </si>
  <si>
    <t>Bodega Central Agrota170524124602073</t>
  </si>
  <si>
    <t>Bodega Central Agrota170524125722185</t>
  </si>
  <si>
    <t>Bodega Central Agrota170524130508733</t>
  </si>
  <si>
    <t>Bodega Central Agrota170524131613495</t>
  </si>
  <si>
    <t>Bodega Central Agrota170524132726064</t>
  </si>
  <si>
    <t>Bodega Central Agrota170524144446057</t>
  </si>
  <si>
    <t>Bodega Central Agrota170524144930312</t>
  </si>
  <si>
    <t>Bodega Central Agrota170524150311650</t>
  </si>
  <si>
    <t>Bodega Central Agrota170524150945497</t>
  </si>
  <si>
    <t>Bodega Central Agrota170524153945472</t>
  </si>
  <si>
    <t>Bodega Central Agrota170524155026169</t>
  </si>
  <si>
    <t>Bodega Central Agrota170524155326846</t>
  </si>
  <si>
    <t>Bodega Central Agrota170524155756306</t>
  </si>
  <si>
    <t>Bodega Central Agrota170524161105488</t>
  </si>
  <si>
    <t>Bodega Central Agrota170524162104851</t>
  </si>
  <si>
    <t>Bodega Central Agrota170524162451160</t>
  </si>
  <si>
    <t>Bodega Central Agrota170524164642486</t>
  </si>
  <si>
    <t>Bodega Central Agrota170524172201571</t>
  </si>
  <si>
    <t>Bodega Central Agrota170525082900714</t>
  </si>
  <si>
    <t>Bodega Central Agrota170525163752547</t>
  </si>
  <si>
    <t>Bodega Central Agrota170525164324493</t>
  </si>
  <si>
    <t>Bodega Central Agrota170525164653868</t>
  </si>
  <si>
    <t>Bodega Central Agrota170529081147668</t>
  </si>
  <si>
    <t>Bodega Central Agrota170529082421482</t>
  </si>
  <si>
    <t>Bodega Central Agrota170529082900124</t>
  </si>
  <si>
    <t>Bodega Central Agrota170529083343729</t>
  </si>
  <si>
    <t>Bodega Central Agrota170529083938869</t>
  </si>
  <si>
    <t>Bodega Central Agrota170529084308723</t>
  </si>
  <si>
    <t>Bodega Central Agrota170529084608743</t>
  </si>
  <si>
    <t>Bodega Central Agrota170529085258588</t>
  </si>
  <si>
    <t>Bodega Central Agrota170529093150695</t>
  </si>
  <si>
    <t>Bodega Central Agrota170529093830208</t>
  </si>
  <si>
    <t>Bodega Central Agrota170529094713719</t>
  </si>
  <si>
    <t>Bodega Central Agrota170529095139341</t>
  </si>
  <si>
    <t>Bodega Central Agrota170529095753362</t>
  </si>
  <si>
    <t>Bodega Central Agrota170529100228772</t>
  </si>
  <si>
    <t>Bodega Central Agrota170529100514107</t>
  </si>
  <si>
    <t>Bodega Central Agrota170529101152528</t>
  </si>
  <si>
    <t>Bodega Central Agrota170529101650734</t>
  </si>
  <si>
    <t>Bodega Central Agrota170529101957459</t>
  </si>
  <si>
    <t>Bodega Central Agrota170529102323929</t>
  </si>
  <si>
    <t>Bodega Central Agrota170529102604443</t>
  </si>
  <si>
    <t>Bodega Central Agrota170529102854230</t>
  </si>
  <si>
    <t>Bodega Central Agrota170529103150616</t>
  </si>
  <si>
    <t>Bodega Central Agrota170529103429661</t>
  </si>
  <si>
    <t>Bodega Central Agrota170529103730855</t>
  </si>
  <si>
    <t>Bodega Central Agrota170529104751784</t>
  </si>
  <si>
    <t>Bodega Central Agrota170529130523010</t>
  </si>
  <si>
    <t>Bodega Central Agrota170529131606897</t>
  </si>
  <si>
    <t>Bodega Central Agrota170529132138322</t>
  </si>
  <si>
    <t>170622155635518</t>
  </si>
  <si>
    <t>Bodega Central Agrota170622155635518</t>
  </si>
  <si>
    <t>Bodega Central Agrota170703112632068</t>
  </si>
  <si>
    <t>Bodega Central Agrota170711123348603</t>
  </si>
  <si>
    <t>Bodega Central Agrota170711150126061</t>
  </si>
  <si>
    <t>170725124852069</t>
  </si>
  <si>
    <t>Bodega Central Agrota170725124852069</t>
  </si>
  <si>
    <t>170725130518712</t>
  </si>
  <si>
    <t>Bodega Central Agrota170725130518712</t>
  </si>
  <si>
    <t>Bodega Central Agrota170728103502094</t>
  </si>
  <si>
    <t>Bodega Central Agrota170728104445169</t>
  </si>
  <si>
    <t>Bodega Central Agrota170728110624189</t>
  </si>
  <si>
    <t>Bodega Central Agrota170728111229807</t>
  </si>
  <si>
    <t>Bodega Central Agrota170728111556321</t>
  </si>
  <si>
    <t>Bodega Central Agrota170728111843169</t>
  </si>
  <si>
    <t>Bodega Central Agrota170728112133423</t>
  </si>
  <si>
    <t>Bodega Central Agrota170728112521137</t>
  </si>
  <si>
    <t>Bodega Central Agrota170728113059622</t>
  </si>
  <si>
    <t>Bodega Central Agrota170728113459034</t>
  </si>
  <si>
    <t>Bodega Central Agrota170906131803271</t>
  </si>
  <si>
    <t>Bodega Central Agrota170906132206610</t>
  </si>
  <si>
    <t>Bodega Central Agrota170915163718126</t>
  </si>
  <si>
    <t>170920100022567</t>
  </si>
  <si>
    <t>Bodega Central Agrota170920100022567</t>
  </si>
  <si>
    <t>Bodega Central Agrota170921130750498</t>
  </si>
  <si>
    <t>Bodega Central Agrota170921132757865</t>
  </si>
  <si>
    <t>Bodega Central Agrota170922100350636</t>
  </si>
  <si>
    <t>Bodega Central Agrota170922100905202</t>
  </si>
  <si>
    <t>Bodega Central Agrota170922110644044</t>
  </si>
  <si>
    <t>Bodega Central Agrota170922111010657</t>
  </si>
  <si>
    <t>Bodega Central Agrota170922111455159</t>
  </si>
  <si>
    <t>Bodega Central Agrota170922113703066</t>
  </si>
  <si>
    <t>Bodega Central Agrota170922113938286</t>
  </si>
  <si>
    <t>170926163017578</t>
  </si>
  <si>
    <t>Bodega Central Agrota170926163017578</t>
  </si>
  <si>
    <t>170926164159899</t>
  </si>
  <si>
    <t>Bodega Central Agrota170926164159899</t>
  </si>
  <si>
    <t>170926164542360</t>
  </si>
  <si>
    <t>Bodega Central Agrota170926164542360</t>
  </si>
  <si>
    <t>170926164858463</t>
  </si>
  <si>
    <t>Bodega Central Agrota170926164858463</t>
  </si>
  <si>
    <t>170926165227166</t>
  </si>
  <si>
    <t>Bodega Central Agrota170926165227166</t>
  </si>
  <si>
    <t>170926170737309</t>
  </si>
  <si>
    <t>Bodega Central Agrota170926170737309</t>
  </si>
  <si>
    <t>170926173346921</t>
  </si>
  <si>
    <t>Bodega Central Agrota170926173346921</t>
  </si>
  <si>
    <t>Bodega Central Agrota171017102437366</t>
  </si>
  <si>
    <t>171114110235613</t>
  </si>
  <si>
    <t>Bodega Central Agrota171114110235613</t>
  </si>
  <si>
    <t>171117150722849</t>
  </si>
  <si>
    <t>Bodega Central Agrota171117150722849</t>
  </si>
  <si>
    <t>171120084253236</t>
  </si>
  <si>
    <t>Bodega Central Agrota171120084253236</t>
  </si>
  <si>
    <t>171120090349005</t>
  </si>
  <si>
    <t>Bodega Central Agrota171120090349005</t>
  </si>
  <si>
    <t>171124163052732</t>
  </si>
  <si>
    <t>Bodega Central Agrota171124163052732</t>
  </si>
  <si>
    <t>Bodega Central Agrota171129123622840</t>
  </si>
  <si>
    <t>Bodega Central Agrota171129124900538</t>
  </si>
  <si>
    <t>Bodega Central Agrota171129125417444</t>
  </si>
  <si>
    <t>Bodega Central Agrota171129130251875</t>
  </si>
  <si>
    <t>Bodega Central Agrota171129130624235</t>
  </si>
  <si>
    <t>Bodega Central Agrota171129131251886</t>
  </si>
  <si>
    <t>Bodega Central Agrota171129131735075</t>
  </si>
  <si>
    <t>171201083027788</t>
  </si>
  <si>
    <t>Bodega Central Agrota171201083027788</t>
  </si>
  <si>
    <t>171201084131572</t>
  </si>
  <si>
    <t>Bodega Central Agrota171201084131572</t>
  </si>
  <si>
    <t>171201105657762</t>
  </si>
  <si>
    <t>Bodega Central Agrota171201105657762</t>
  </si>
  <si>
    <t>Bodega Central Agrota171206150050555</t>
  </si>
  <si>
    <t>171214172700451</t>
  </si>
  <si>
    <t>Bodega Central Agrota171214172700451</t>
  </si>
  <si>
    <t>171214173115458</t>
  </si>
  <si>
    <t>Bodega Central Agrota171214173115458</t>
  </si>
  <si>
    <t>Bodega Central Agrota171214173445635</t>
  </si>
  <si>
    <t>171214174623527</t>
  </si>
  <si>
    <t>Bodega Central Agrota171214174623527</t>
  </si>
  <si>
    <t>171214175022642</t>
  </si>
  <si>
    <t>Bodega Central Agrota171214175022642</t>
  </si>
  <si>
    <t>171220093057084</t>
  </si>
  <si>
    <t>Bodega Central Agrota171220093057084</t>
  </si>
  <si>
    <t>171220113603196</t>
  </si>
  <si>
    <t>Bodega Central Agrota171220113603196</t>
  </si>
  <si>
    <t>171220122530103</t>
  </si>
  <si>
    <t>Bodega Central Agrota171220122530103</t>
  </si>
  <si>
    <t>Bodega Central Agrota180118154937429</t>
  </si>
  <si>
    <t>Bodega Central Agrota180118155729156</t>
  </si>
  <si>
    <t>Bodega Central Agrota180125121239075</t>
  </si>
  <si>
    <t>Bodega Central Agrota180125122710888</t>
  </si>
  <si>
    <t>Bodega Central Agrota180125123451281</t>
  </si>
  <si>
    <t>Bodega Central Agrota180125124251989</t>
  </si>
  <si>
    <t>Bodega Central Agrota180125130328695</t>
  </si>
  <si>
    <t>Bodega Central Agrota180125130726035</t>
  </si>
  <si>
    <t>Bodega Central Agrota180125131515531</t>
  </si>
  <si>
    <t>Bodega Central Agrota180125132118744</t>
  </si>
  <si>
    <t>Bodega Central Agrota180125132506557</t>
  </si>
  <si>
    <t>Bodega Central Agrota180125132524604</t>
  </si>
  <si>
    <t>Bodega Central Agrota180125152404922</t>
  </si>
  <si>
    <t>Bodega Central Agrota180125155032359</t>
  </si>
  <si>
    <t>180125165715385</t>
  </si>
  <si>
    <t>Bodega Central Agrota180125165715385</t>
  </si>
  <si>
    <t>180129165638611</t>
  </si>
  <si>
    <t>Bodega Central Agrota180129165638611</t>
  </si>
  <si>
    <t>180129170058565</t>
  </si>
  <si>
    <t>Bodega Central Agrota180129170058565</t>
  </si>
  <si>
    <t>180208151359274</t>
  </si>
  <si>
    <t>Bodega Central Agrota180208151359274</t>
  </si>
  <si>
    <t>180208153847317</t>
  </si>
  <si>
    <t>Bodega Central Agrota180208153847317</t>
  </si>
  <si>
    <t>10000000056</t>
  </si>
  <si>
    <t>10000000064</t>
  </si>
  <si>
    <t>10000000137</t>
  </si>
  <si>
    <t>10000000375</t>
  </si>
  <si>
    <t>10000000541</t>
  </si>
  <si>
    <t>10000000633</t>
  </si>
  <si>
    <t>10000000643</t>
  </si>
  <si>
    <t>10000000716</t>
  </si>
  <si>
    <t>10000000908</t>
  </si>
  <si>
    <t xml:space="preserve">NEBULIZADORA, PULVERIZADORA 23LITROS </t>
  </si>
  <si>
    <t>10000001192</t>
  </si>
  <si>
    <t>10000001214</t>
  </si>
  <si>
    <t>100913104459238</t>
  </si>
  <si>
    <t>110104173503260</t>
  </si>
  <si>
    <t>110105191346243</t>
  </si>
  <si>
    <t>110106101243800</t>
  </si>
  <si>
    <t>110106162749249</t>
  </si>
  <si>
    <t>110106174207649</t>
  </si>
  <si>
    <t>110107093002578</t>
  </si>
  <si>
    <t>110107151723765</t>
  </si>
  <si>
    <t>120123134739910</t>
  </si>
  <si>
    <t>120611175609126</t>
  </si>
  <si>
    <t>121227100137398</t>
  </si>
  <si>
    <t>130220102520351</t>
  </si>
  <si>
    <t>130511064929376</t>
  </si>
  <si>
    <t>130705154454422</t>
  </si>
  <si>
    <t>130705154950526</t>
  </si>
  <si>
    <t>130826173227734</t>
  </si>
  <si>
    <t>130903102630632</t>
  </si>
  <si>
    <t>131210125412632</t>
  </si>
  <si>
    <t>140307084059389</t>
  </si>
  <si>
    <t>141027090702161</t>
  </si>
  <si>
    <t>150427102808959</t>
  </si>
  <si>
    <t>150519132722830</t>
  </si>
  <si>
    <t>150601112003442</t>
  </si>
  <si>
    <t>150819131027699</t>
  </si>
  <si>
    <t>160226103250892</t>
  </si>
  <si>
    <t>160426090625078</t>
  </si>
  <si>
    <t>160721151005438</t>
  </si>
  <si>
    <t>161018154058232</t>
  </si>
  <si>
    <t>161215131508913</t>
  </si>
  <si>
    <t>170728083026904</t>
  </si>
  <si>
    <t>170728083935203</t>
  </si>
  <si>
    <t>170803122803761</t>
  </si>
  <si>
    <t>171220170858742</t>
  </si>
  <si>
    <t>171220171250223</t>
  </si>
  <si>
    <t>180202090900865</t>
  </si>
  <si>
    <t>180302115848157</t>
  </si>
  <si>
    <t>180302120512601</t>
  </si>
  <si>
    <t>180302124548032</t>
  </si>
  <si>
    <t>MFW 5</t>
  </si>
  <si>
    <t>Bodega Central Agrota160426090625078</t>
  </si>
  <si>
    <t>351 - MFW 5</t>
  </si>
  <si>
    <t>Bodega Central Agrota170728083026904</t>
  </si>
  <si>
    <t>Bodega Central Agrota170728083935203</t>
  </si>
  <si>
    <t>Bodega Central Agrota170803122803761</t>
  </si>
  <si>
    <t>Bodega Central Agrota180202090900865</t>
  </si>
  <si>
    <t>JF 49</t>
  </si>
  <si>
    <t>356 - JF 49</t>
  </si>
  <si>
    <t>Bodega Central Agrota110106094107085</t>
  </si>
  <si>
    <t>Bodega Central Agrota110107151723765</t>
  </si>
  <si>
    <t>Bodega Central Agrota140307083017569</t>
  </si>
  <si>
    <t>Bodega Central Agrota140307084059389</t>
  </si>
  <si>
    <t>GROWAY 22</t>
  </si>
  <si>
    <t>365 - GROWAY 22</t>
  </si>
  <si>
    <t>Bodega Central Agrota171220170858742</t>
  </si>
  <si>
    <t>Bodega Central Agrota171220171250223</t>
  </si>
  <si>
    <t>ECHO 164</t>
  </si>
  <si>
    <t>Bodega Central Agrota10000000056</t>
  </si>
  <si>
    <t>353 - ECHO 164</t>
  </si>
  <si>
    <t>Bodega Central Agrota10000000064</t>
  </si>
  <si>
    <t>Bodega Central Agrota10000000137</t>
  </si>
  <si>
    <t>Bodega Central Agrota10000000375</t>
  </si>
  <si>
    <t>Bodega Central Agrota10000000541</t>
  </si>
  <si>
    <t>Bodega Central Agrota10000000633</t>
  </si>
  <si>
    <t>Bodega Central Agrota10000000643</t>
  </si>
  <si>
    <t>Bodega Central Agrota10000000716</t>
  </si>
  <si>
    <t>Bodega Central Agrota10000000908</t>
  </si>
  <si>
    <t>Bodega Central Agrota10000001192</t>
  </si>
  <si>
    <t>Bodega Central Agrota10000001214</t>
  </si>
  <si>
    <t>Bodega Central Agrota10000001296</t>
  </si>
  <si>
    <t>Bodega Central Agrota110105191346243</t>
  </si>
  <si>
    <t>Bodega Central Agrota110106101243800</t>
  </si>
  <si>
    <t>Bodega Central Agrota110106174207649</t>
  </si>
  <si>
    <t>Bodega Central Agrota110107093002578</t>
  </si>
  <si>
    <t>Bodega Central Agrota120123134739910</t>
  </si>
  <si>
    <t>Bodega Central Agrota120511123908264</t>
  </si>
  <si>
    <t>Bodega Central Agrota120611175609126</t>
  </si>
  <si>
    <t>Bodega Central Agrota121227100137398</t>
  </si>
  <si>
    <t>Bodega Central Agrota130220102520351</t>
  </si>
  <si>
    <t>Bodega Central Agrota130511064929376</t>
  </si>
  <si>
    <t>Bodega Central Agrota130705154454422</t>
  </si>
  <si>
    <t>Bodega Central Agrota130826173227734</t>
  </si>
  <si>
    <t>Bodega Central Agrota130903102630632</t>
  </si>
  <si>
    <t>Bodega Central Agrota131210125412632</t>
  </si>
  <si>
    <t>Bodega Central Agrota140311175512493</t>
  </si>
  <si>
    <t>Bodega Central Agrota141027090702161</t>
  </si>
  <si>
    <t>Bodega Central Agrota150420094049352</t>
  </si>
  <si>
    <t>Bodega Central Agrota150427102808959</t>
  </si>
  <si>
    <t>Bodega Central Agrota150601112003442</t>
  </si>
  <si>
    <t>Bodega Central Agrota150819131027699</t>
  </si>
  <si>
    <t>Bodega Central Agrota160226103250892</t>
  </si>
  <si>
    <t>Bodega Central Agrota160721151005438</t>
  </si>
  <si>
    <t>Bodega Central Agrota161018154058232</t>
  </si>
  <si>
    <t>Bodega Central Agrota161215131508913</t>
  </si>
  <si>
    <t>GROWAY 21</t>
  </si>
  <si>
    <t>Bodega Central Agrota180302115848157</t>
  </si>
  <si>
    <t>368 - GROWAY 21</t>
  </si>
  <si>
    <t>Bodega Central Agrota180302120512601</t>
  </si>
  <si>
    <t>Bodega Central Agrota180302124548032</t>
  </si>
  <si>
    <t>374 - ECHO 165</t>
  </si>
  <si>
    <t>Bodega Central Agrota10000000806</t>
  </si>
  <si>
    <t>Bodega Central Agrota10000000973</t>
  </si>
  <si>
    <t>Bodega Central Agrota10000000974</t>
  </si>
  <si>
    <t>Bodega Central Agrota10000001314</t>
  </si>
  <si>
    <t>Bodega Central Agrota100913104459238</t>
  </si>
  <si>
    <t>Bodega Central Agrota110104173503260</t>
  </si>
  <si>
    <t>Bodega Central Agrota110105190415202</t>
  </si>
  <si>
    <t>Bodega Central Agrota110106162749249</t>
  </si>
  <si>
    <t>Bodega Central Agrota130326100555456</t>
  </si>
  <si>
    <t>Bodega Central Agrota130705154950526</t>
  </si>
  <si>
    <t>Bodega Central Agrota140311175830146</t>
  </si>
  <si>
    <t>Bodega Central Agrota150220093315404</t>
  </si>
  <si>
    <t>Bodega Central Agrota150519132722830</t>
  </si>
  <si>
    <t>BORALSAN 8</t>
  </si>
  <si>
    <t>373 - BORALSAN 8</t>
  </si>
  <si>
    <t>Bodega Central Agrota171127101629902</t>
  </si>
  <si>
    <t>Bodega Central Agrota171127102317462</t>
  </si>
  <si>
    <t>Bodega Central Agrota171127103622465</t>
  </si>
  <si>
    <t>ACT</t>
  </si>
  <si>
    <t>INA</t>
  </si>
  <si>
    <t>Bodega Central Agrota10000000196</t>
  </si>
  <si>
    <t>Bodega Central Agrota10000000280</t>
  </si>
  <si>
    <t>Bodega Central Agrota10000000373</t>
  </si>
  <si>
    <t>Bodega Central Agrota10000000726</t>
  </si>
  <si>
    <t>Bodega Central Agrota10000000743</t>
  </si>
  <si>
    <t>Bodega Central Agrota10000000746</t>
  </si>
  <si>
    <t>Bodega Central Agrota10000001222</t>
  </si>
  <si>
    <t>Bodega Central Agrota100913105001270</t>
  </si>
  <si>
    <t>Bodega Central Agrota100913130317065</t>
  </si>
  <si>
    <t>Bodega Central Agrota110105212720576</t>
  </si>
  <si>
    <t>Bodega Central Agrota110106123430885</t>
  </si>
  <si>
    <t>Bodega Central Agrota110106163808636</t>
  </si>
  <si>
    <t>Bodega Central Agrota110107170403153</t>
  </si>
  <si>
    <t>Bodega Central Agrota110126095449820</t>
  </si>
  <si>
    <t>Bodega Central Agrota110126114248026</t>
  </si>
  <si>
    <t>Bodega Central Agrota110126161817334</t>
  </si>
  <si>
    <t>Bodega Central Agrota110126170911615</t>
  </si>
  <si>
    <t>Bodega Central Agrota110126171121221</t>
  </si>
  <si>
    <t>Bodega Central Agrota110126172453393</t>
  </si>
  <si>
    <t>Bodega Central Agrota110127103738270</t>
  </si>
  <si>
    <t>Bodega Central Agrota110331110702900</t>
  </si>
  <si>
    <t>Bodega Central Agrota110413110007900</t>
  </si>
  <si>
    <t>Bodega Central Agrota110504161735225</t>
  </si>
  <si>
    <t>Bodega Central Agrota120210151325186</t>
  </si>
  <si>
    <t>Bodega Central Agrota120210161506138</t>
  </si>
  <si>
    <t>Bodega Central Agrota120210162927981</t>
  </si>
  <si>
    <t>Bodega Central Agrota120210163342294</t>
  </si>
  <si>
    <t>Bodega Central Agrota120210170149990</t>
  </si>
  <si>
    <t>Bodega Central Agrota120210170835593</t>
  </si>
  <si>
    <t>Bodega Central Agrota120210171602957</t>
  </si>
  <si>
    <t>Bodega Central Agrota120515154145070</t>
  </si>
  <si>
    <t>Bodega Central Agrota130206120153097</t>
  </si>
  <si>
    <t>Bodega Central Agrota130326112812279</t>
  </si>
  <si>
    <t>Bodega Central Agrota130403090419020</t>
  </si>
  <si>
    <t>Bodega Central Agrota130513093254055</t>
  </si>
  <si>
    <t>Bodega Central Agrota130513093547129</t>
  </si>
  <si>
    <t>Bodega Central Agrota130513101115893</t>
  </si>
  <si>
    <t>Bodega Central Agrota130513110015479</t>
  </si>
  <si>
    <t>Bodega Central Agrota130513111019215</t>
  </si>
  <si>
    <t>Bodega Central Agrota130527134559735</t>
  </si>
  <si>
    <t>Bodega Central Agrota130627094455782</t>
  </si>
  <si>
    <t>Bodega Central Agrota130911101403849</t>
  </si>
  <si>
    <t>Bodega Central Agrota130916142526524</t>
  </si>
  <si>
    <t>Bodega Central Agrota131029124916859</t>
  </si>
  <si>
    <t>Bodega Central Agrota131030145746277</t>
  </si>
  <si>
    <t>Bodega Central Agrota131118112056333</t>
  </si>
  <si>
    <t>Bodega Central Agrota131118161106853</t>
  </si>
  <si>
    <t>Bodega Central Agrota131120083035878</t>
  </si>
  <si>
    <t>Bodega Central Agrota131120090232556</t>
  </si>
  <si>
    <t>Bodega Central Agrota131211095031960</t>
  </si>
  <si>
    <t>Bodega Central Agrota140110160214410</t>
  </si>
  <si>
    <t>Bodega Central Agrota140217093233477</t>
  </si>
  <si>
    <t>Bodega Central Agrota140217100725138</t>
  </si>
  <si>
    <t>Bodega Central Agrota140515102928259</t>
  </si>
  <si>
    <t>Bodega Central Agrota140522131248911</t>
  </si>
  <si>
    <t>Bodega Central Agrota140606090927307</t>
  </si>
  <si>
    <t>Bodega Central Agrota140718130509351</t>
  </si>
  <si>
    <t>Bodega Central Agrota140808105156491</t>
  </si>
  <si>
    <t>Bodega Central Agrota150116114625306</t>
  </si>
  <si>
    <t>Bodega Central Agrota150922112546408</t>
  </si>
  <si>
    <t>Bodega Central Agrota150928171746836</t>
  </si>
  <si>
    <t>Bodega Central Agrota150929100326222</t>
  </si>
  <si>
    <t>Bodega Central Agrota160215130507807</t>
  </si>
  <si>
    <t>Bodega Central Agrota160215151134222</t>
  </si>
  <si>
    <t>Bodega Central Agrota160215163847755</t>
  </si>
  <si>
    <t>Bodega Central Agrota160215170412150</t>
  </si>
  <si>
    <t>Bodega Central Agrota160216084529576</t>
  </si>
  <si>
    <t>Bodega Central Agrota160216094822548</t>
  </si>
  <si>
    <t>Bodega Central Agrota160216101111159</t>
  </si>
  <si>
    <t>Bodega Central Agrota160321121036376</t>
  </si>
  <si>
    <t>Bodega Central Agrota160603124631349</t>
  </si>
  <si>
    <t>Bodega Central Agrota160803122138804</t>
  </si>
  <si>
    <t>Bodega Central Agrota160803125211561</t>
  </si>
  <si>
    <t>Bodega Central Agrota160809155047328</t>
  </si>
  <si>
    <t>Bodega Central Agrota160817132906121</t>
  </si>
  <si>
    <t>Bodega Central Agrota160919160947446</t>
  </si>
  <si>
    <t>Bodega Central Agrota161107124456747</t>
  </si>
  <si>
    <t>Bodega Central Agrota161213132005484</t>
  </si>
  <si>
    <t>Bodega Central Agrota161213162949128</t>
  </si>
  <si>
    <t>Bodega Central Agrota161213164818299</t>
  </si>
  <si>
    <t>Bodega Central Agrota161213165113085</t>
  </si>
  <si>
    <t>Bodega Central Agrota161215161545669</t>
  </si>
  <si>
    <t>Bodega Central Agrota161219171304842</t>
  </si>
  <si>
    <t>Bodega Central Agrota161228120818612</t>
  </si>
  <si>
    <t>Bodega Central Agrota170523163109845</t>
  </si>
  <si>
    <t>Bodega Central Agrota170524161742042</t>
  </si>
  <si>
    <t>Bodega Central Agrota170728104806641</t>
  </si>
  <si>
    <t>Bodega Central Agrota171017092500145</t>
  </si>
  <si>
    <t>Bodega Central Agrota171017093405752</t>
  </si>
  <si>
    <t>Bodega Central Agrota171017095309934</t>
  </si>
  <si>
    <t>Bodega Central Agrota171017104755105</t>
  </si>
  <si>
    <t>Bodega Central Agrota171017105116469</t>
  </si>
  <si>
    <t>Bodega Central Agrota171023110111441</t>
  </si>
  <si>
    <t>Bodega Central Agrota180125154452659</t>
  </si>
  <si>
    <t>Bodega Central Agrota180125155209900</t>
  </si>
  <si>
    <t>Bodega Central Agrota180125155713189</t>
  </si>
  <si>
    <t>Bodega Central Agrota180125155903238</t>
  </si>
  <si>
    <t>Bodega Central Agrota180125160234228</t>
  </si>
  <si>
    <t>Bodega Central Agrota180125160629138</t>
  </si>
  <si>
    <t>Bodega Central Agrota180125165006254</t>
  </si>
  <si>
    <t>Bodega Central Agrota180125170016331</t>
  </si>
  <si>
    <t>Bodega Central Agrota180202095244659</t>
  </si>
  <si>
    <t>Bodega Central Agrota180207113902603</t>
  </si>
  <si>
    <t>Bodega Central Agrota180306092542540</t>
  </si>
  <si>
    <t>Bodega Central Agrota180306100908047</t>
  </si>
  <si>
    <t>Bodega Central Agrota180306101406365</t>
  </si>
  <si>
    <t>Bodega Central Agrota180306102022522</t>
  </si>
  <si>
    <t>Bodega Central Agrota180307100225712</t>
  </si>
  <si>
    <t>ALERTAS</t>
  </si>
  <si>
    <t>03/06/2018</t>
  </si>
  <si>
    <t>LIBRE-192</t>
  </si>
  <si>
    <t>10000000002</t>
  </si>
  <si>
    <t>CA CONTRA CUCHILLA RECOJEDOR (283)</t>
  </si>
  <si>
    <t>Buffer Inicial</t>
  </si>
  <si>
    <t>+</t>
  </si>
  <si>
    <t>10000000000</t>
  </si>
  <si>
    <t>CA COJINETE 6000 B450 B530</t>
  </si>
  <si>
    <t>JF-02.043906</t>
  </si>
  <si>
    <t xml:space="preserve">REPUESTOS PICADORA </t>
  </si>
  <si>
    <t>AGROPECUARIA</t>
  </si>
  <si>
    <t>REPUESTOS</t>
  </si>
  <si>
    <t>REPUESTOS 2T</t>
  </si>
  <si>
    <t>EC-90080206000</t>
  </si>
  <si>
    <t>18/10/2018</t>
  </si>
  <si>
    <t>19/10/2018</t>
  </si>
  <si>
    <t>22/10/2018</t>
  </si>
  <si>
    <t>23/10/2018</t>
  </si>
  <si>
    <t>24/10/2018</t>
  </si>
  <si>
    <t>25/10/2018</t>
  </si>
  <si>
    <t>26/10/2018</t>
  </si>
  <si>
    <t>29/10/2018</t>
  </si>
  <si>
    <t>30/10/2018</t>
  </si>
  <si>
    <t>31/10/2018</t>
  </si>
  <si>
    <t>01/11/2018</t>
  </si>
  <si>
    <t>02/11/2018</t>
  </si>
  <si>
    <t>05/11/2018</t>
  </si>
  <si>
    <t>06/11/2018</t>
  </si>
  <si>
    <t>07/11/2018</t>
  </si>
  <si>
    <t>08/11/2018</t>
  </si>
  <si>
    <t>09/11/2018</t>
  </si>
  <si>
    <t>12/11/2018</t>
  </si>
  <si>
    <t>13/11/2018</t>
  </si>
  <si>
    <t>14/11/2018</t>
  </si>
  <si>
    <t>15/11/2018</t>
  </si>
  <si>
    <t>16/11/2018</t>
  </si>
  <si>
    <t>19/11/2018</t>
  </si>
  <si>
    <t>20/11/2018</t>
  </si>
  <si>
    <t>21/11/2018</t>
  </si>
  <si>
    <t>22/11/2018</t>
  </si>
  <si>
    <t>23/11/2018</t>
  </si>
  <si>
    <t>26/11/2018</t>
  </si>
  <si>
    <t>27/11/2018</t>
  </si>
  <si>
    <t>28/11/2018</t>
  </si>
  <si>
    <t>SUSP-26</t>
  </si>
  <si>
    <t>MFR-73</t>
  </si>
  <si>
    <t>LIBRE-98</t>
  </si>
  <si>
    <t>MAC MFR-46</t>
  </si>
  <si>
    <t>LIBRE-1090</t>
  </si>
  <si>
    <t>LIBRE-290</t>
  </si>
  <si>
    <t>LIBRE-549</t>
  </si>
  <si>
    <t>LIBRE-60</t>
  </si>
  <si>
    <t>LIBRE-215</t>
  </si>
  <si>
    <t>LIBRE-193</t>
  </si>
  <si>
    <t>LIBRE-354</t>
  </si>
  <si>
    <t>LIBRE-516</t>
  </si>
  <si>
    <t>LIBRE-108</t>
  </si>
  <si>
    <t>MFR-46</t>
  </si>
  <si>
    <t>LIBRE-426</t>
  </si>
  <si>
    <t>LIBRE-313</t>
  </si>
  <si>
    <t>LIBRE-294</t>
  </si>
  <si>
    <t>MFR-123</t>
  </si>
  <si>
    <t>LIBRE-48</t>
  </si>
  <si>
    <t>MAC MFR-108</t>
  </si>
  <si>
    <t>LIBRE-255</t>
  </si>
  <si>
    <t>MAC MFR-102</t>
  </si>
  <si>
    <t>LIBRE-20</t>
  </si>
  <si>
    <t>LIBRE-298</t>
  </si>
  <si>
    <t>LIBRE-52</t>
  </si>
  <si>
    <t>LIBRE-119</t>
  </si>
  <si>
    <t>LIBRE-0</t>
  </si>
  <si>
    <t>LIBRE-992</t>
  </si>
  <si>
    <t>LIBRE-43185</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</si>
</sst>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_(&quot;$&quot;* #,##0.00_);_(&quot;$&quot;* \(#,##0.00\);_(&quot;$&quot;* &quot;-&quot;??_);_(@_)"/>
    <numFmt numFmtId="165" formatCode="&quot;$&quot;\ #,##0"/>
    <numFmt numFmtId="166" formatCode="0.0"/>
    <numFmt numFmtId="167" formatCode="yyyy\-mm\-dd;@"/>
    <numFmt numFmtId="168" formatCode="dd/mm/yyyy;@"/>
    <numFmt numFmtId="169" formatCode="&quot;$&quot;\ #,##0.00"/>
    <numFmt numFmtId="170" formatCode="m/d/yyyy"/>
    <numFmt numFmtId="171" formatCode="m/d/yyyy\ h:mm"/>
    <numFmt numFmtId="172" formatCode="dd/mmm\ h:mm"/>
    <numFmt numFmtId="173" formatCode="mm\ /\ yyyy"/>
    <numFmt numFmtId="174" formatCode="\A\c\t\ \a\:\ \ dd/mm/yyyy"/>
    <numFmt numFmtId="175" formatCode="dd/mmm/yyyy"/>
    <numFmt numFmtId="176" formatCode="dd/mmm/yy"/>
  </numFmts>
  <fonts count="6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Arial"/>
      <family val="2"/>
    </font>
    <font>
      <sz val="8"/>
      <color indexed="81"/>
      <name val="Tahoma"/>
      <family val="2"/>
    </font>
    <font>
      <b/>
      <sz val="8"/>
      <color indexed="81"/>
      <name val="Tahoma"/>
      <family val="2"/>
    </font>
    <font>
      <sz val="9"/>
      <color indexed="81"/>
      <name val="Tahoma"/>
      <family val="2"/>
    </font>
    <font>
      <b/>
      <sz val="9"/>
      <color indexed="81"/>
      <name val="Tahoma"/>
      <family val="2"/>
    </font>
    <font>
      <u/>
      <sz val="10"/>
      <name val="Arial"/>
      <family val="2"/>
    </font>
    <font>
      <b/>
      <sz val="11"/>
      <color rgb="FFFF0000"/>
      <name val="Arial"/>
      <family val="2"/>
    </font>
    <font>
      <sz val="9"/>
      <color theme="1"/>
      <name val="Arial"/>
      <family val="2"/>
    </font>
    <font>
      <sz val="9"/>
      <color theme="0"/>
      <name val="Arial"/>
      <family val="2"/>
    </font>
    <font>
      <sz val="9"/>
      <color rgb="FFFF0000"/>
      <name val="Arial"/>
      <family val="2"/>
    </font>
    <font>
      <sz val="9"/>
      <color rgb="FFFFFF00"/>
      <name val="Arial"/>
      <family val="2"/>
    </font>
    <font>
      <sz val="9"/>
      <color rgb="FF006600"/>
      <name val="Arial"/>
      <family val="2"/>
    </font>
    <font>
      <b/>
      <sz val="10"/>
      <name val="Verdana"/>
      <family val="2"/>
    </font>
    <font>
      <b/>
      <sz val="11"/>
      <color rgb="FFFF0000"/>
      <name val="Verdana"/>
      <family val="2"/>
    </font>
    <font>
      <sz val="10"/>
      <name val="Verdana"/>
      <family val="2"/>
    </font>
    <font>
      <b/>
      <sz val="10"/>
      <color rgb="FFFF0000"/>
      <name val="Verdana"/>
      <family val="2"/>
    </font>
    <font>
      <sz val="9"/>
      <color rgb="FF7030A0"/>
      <name val="Arial"/>
      <family val="2"/>
    </font>
    <font>
      <sz val="10"/>
      <color theme="0"/>
      <name val="Arial"/>
      <family val="2"/>
    </font>
    <font>
      <b/>
      <sz val="10"/>
      <color theme="0"/>
      <name val="Arial"/>
      <family val="2"/>
    </font>
    <font>
      <b/>
      <sz val="9"/>
      <name val="Verdana"/>
      <family val="2"/>
    </font>
    <font>
      <b/>
      <sz val="9"/>
      <color rgb="FFFF0000"/>
      <name val="Verdana"/>
      <family val="2"/>
    </font>
    <font>
      <sz val="11"/>
      <color rgb="FFFF0000"/>
      <name val="Calibri"/>
      <family val="2"/>
      <scheme val="minor"/>
    </font>
    <font>
      <sz val="11"/>
      <color theme="3"/>
      <name val="Calibri"/>
      <family val="2"/>
      <scheme val="minor"/>
    </font>
    <font>
      <sz val="10"/>
      <name val="Arial Unicode MS"/>
      <family val="2"/>
    </font>
    <font>
      <sz val="9"/>
      <name val="Verdana"/>
      <family val="2"/>
    </font>
    <font>
      <u/>
      <sz val="10"/>
      <color theme="10"/>
      <name val="Arial"/>
      <family val="2"/>
    </font>
    <font>
      <sz val="10"/>
      <color theme="2"/>
      <name val="Arial"/>
      <family val="2"/>
    </font>
    <font>
      <sz val="11"/>
      <color theme="3"/>
      <name val="Calibri"/>
      <family val="2"/>
      <scheme val="minor"/>
    </font>
    <font>
      <sz val="10"/>
      <name val="Arial Narrow"/>
      <family val="2"/>
    </font>
    <font>
      <sz val="9"/>
      <color rgb="FFFF0000"/>
      <name val="Verdana"/>
      <family val="2"/>
    </font>
    <font>
      <sz val="10"/>
      <color rgb="FFFF0000"/>
      <name val="Arial"/>
      <family val="2"/>
    </font>
    <font>
      <b/>
      <sz val="11"/>
      <color theme="1"/>
      <name val="Calibri"/>
      <family val="2"/>
      <scheme val="minor"/>
    </font>
    <font>
      <b/>
      <sz val="10"/>
      <name val="Arial"/>
      <family val="2"/>
    </font>
    <font>
      <sz val="10"/>
      <name val="Arial"/>
      <family val="2"/>
    </font>
    <font>
      <sz val="11"/>
      <name val="Calibri"/>
      <family val="2"/>
    </font>
    <font>
      <b/>
      <sz val="10"/>
      <color theme="1"/>
      <name val="Arial"/>
      <family val="2"/>
    </font>
    <font>
      <sz val="11"/>
      <name val="Arial"/>
      <family val="2"/>
    </font>
    <font>
      <sz val="8"/>
      <name val="Verdana"/>
      <family val="2"/>
    </font>
    <font>
      <sz val="8"/>
      <color rgb="FF000000"/>
      <name val="Arial"/>
      <family val="2"/>
    </font>
    <font>
      <sz val="10"/>
      <color theme="0" tint="-0.14999847407452621"/>
      <name val="Arial"/>
      <family val="2"/>
    </font>
    <font>
      <sz val="10"/>
      <color rgb="FFFFFF00"/>
      <name val="Arial"/>
      <family val="2"/>
    </font>
    <font>
      <sz val="8"/>
      <color theme="1"/>
      <name val="Arial"/>
      <family val="2"/>
    </font>
    <font>
      <sz val="9"/>
      <color rgb="FFFF0000"/>
      <name val="Verdana"/>
      <family val="2"/>
    </font>
    <font>
      <sz val="10"/>
      <color rgb="FF000000"/>
      <name val="Arial"/>
      <family val="2"/>
    </font>
    <font>
      <sz val="18"/>
      <color theme="3"/>
      <name val="Cambria"/>
      <family val="2"/>
      <scheme val="major"/>
    </font>
    <font>
      <sz val="9"/>
      <color rgb="FFFF0000"/>
      <name val="Verdana"/>
      <family val="2"/>
    </font>
    <font>
      <sz val="9"/>
      <color rgb="FFFF0000"/>
      <name val="Verdana"/>
      <family val="2"/>
    </font>
    <font>
      <sz val="8"/>
      <name val="Arial"/>
      <family val="2"/>
    </font>
    <font>
      <b/>
      <sz val="8"/>
      <name val="Arial"/>
      <family val="2"/>
    </font>
    <font>
      <b/>
      <sz val="8"/>
      <color theme="1"/>
      <name val="Arial"/>
      <family val="2"/>
    </font>
    <font>
      <b/>
      <sz val="8"/>
      <color rgb="FF0000FF"/>
      <name val="Arial"/>
      <family val="2"/>
    </font>
    <font>
      <sz val="16"/>
      <color rgb="FFFF0000"/>
      <name val="Calibri"/>
      <family val="2"/>
      <scheme val="minor"/>
    </font>
    <font>
      <sz val="10"/>
      <color rgb="FFC00000"/>
      <name val="Arial"/>
      <family val="2"/>
    </font>
    <font>
      <sz val="10"/>
      <color theme="1"/>
      <name val="Arial"/>
      <family val="2"/>
    </font>
    <font>
      <sz val="8"/>
      <color rgb="FFFFFFFF"/>
      <name val="Arial"/>
      <family val="2"/>
    </font>
    <font>
      <sz val="9"/>
      <name val="Arial"/>
      <family val="2"/>
    </font>
    <font>
      <b/>
      <sz val="10"/>
      <color rgb="FFFFFF00"/>
      <name val="Arial"/>
      <family val="2"/>
    </font>
    <font>
      <b/>
      <sz val="12"/>
      <color rgb="FF0000FF"/>
      <name val="Arial"/>
      <family val="2"/>
    </font>
    <font>
      <sz val="11"/>
      <color rgb="FF000000"/>
      <name val="Calibri"/>
      <family val="2"/>
    </font>
    <font>
      <sz val="8"/>
      <color theme="0"/>
      <name val="Arial"/>
      <family val="2"/>
    </font>
  </fonts>
  <fills count="41">
    <fill>
      <patternFill patternType="none"/>
    </fill>
    <fill>
      <patternFill patternType="gray125"/>
    </fill>
    <fill>
      <patternFill patternType="solid">
        <fgColor rgb="FF7030A0"/>
        <bgColor indexed="64"/>
      </patternFill>
    </fill>
    <fill>
      <patternFill patternType="solid">
        <fgColor rgb="FFFF0000"/>
        <bgColor indexed="64"/>
      </patternFill>
    </fill>
    <fill>
      <patternFill patternType="solid">
        <fgColor rgb="FFFFFF00"/>
        <bgColor indexed="64"/>
      </patternFill>
    </fill>
    <fill>
      <patternFill patternType="solid">
        <fgColor theme="1"/>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rgb="FF006600"/>
        <bgColor indexed="64"/>
      </patternFill>
    </fill>
    <fill>
      <patternFill patternType="solid">
        <fgColor theme="4"/>
        <bgColor theme="4"/>
      </patternFill>
    </fill>
    <fill>
      <patternFill patternType="solid">
        <fgColor rgb="FF00B050"/>
        <bgColor indexed="64"/>
      </patternFill>
    </fill>
    <fill>
      <patternFill patternType="solid">
        <fgColor theme="2" tint="-0.749992370372631"/>
        <bgColor indexed="64"/>
      </patternFill>
    </fill>
    <fill>
      <patternFill patternType="solid">
        <fgColor theme="7" tint="-0.249977111117893"/>
        <bgColor indexed="64"/>
      </patternFill>
    </fill>
    <fill>
      <patternFill patternType="solid">
        <fgColor theme="7" tint="0.59999389629810485"/>
        <bgColor indexed="64"/>
      </patternFill>
    </fill>
    <fill>
      <patternFill patternType="solid">
        <fgColor theme="1" tint="0.499984740745262"/>
        <bgColor indexed="64"/>
      </patternFill>
    </fill>
    <fill>
      <patternFill patternType="solid">
        <fgColor theme="5" tint="-0.249977111117893"/>
        <bgColor indexed="64"/>
      </patternFill>
    </fill>
    <fill>
      <patternFill patternType="solid">
        <fgColor theme="2" tint="-9.9978637043366805E-2"/>
        <bgColor indexed="64"/>
      </patternFill>
    </fill>
    <fill>
      <patternFill patternType="solid">
        <fgColor rgb="FFCBCBCB"/>
        <bgColor indexed="64"/>
      </patternFill>
    </fill>
    <fill>
      <patternFill patternType="solid">
        <fgColor theme="4" tint="-0.249977111117893"/>
        <bgColor indexed="64"/>
      </patternFill>
    </fill>
    <fill>
      <patternFill patternType="solid">
        <fgColor theme="6" tint="-0.249977111117893"/>
        <bgColor indexed="64"/>
      </patternFill>
    </fill>
    <fill>
      <patternFill patternType="solid">
        <fgColor theme="8" tint="-0.249977111117893"/>
        <bgColor indexed="64"/>
      </patternFill>
    </fill>
    <fill>
      <patternFill patternType="solid">
        <fgColor theme="3"/>
        <bgColor indexed="64"/>
      </patternFill>
    </fill>
    <fill>
      <patternFill patternType="solid">
        <fgColor theme="0" tint="-0.14999847407452621"/>
        <bgColor theme="0" tint="-0.14999847407452621"/>
      </patternFill>
    </fill>
    <fill>
      <patternFill patternType="solid">
        <fgColor rgb="FF008000"/>
        <bgColor indexed="64"/>
      </patternFill>
    </fill>
    <fill>
      <patternFill patternType="solid">
        <fgColor rgb="FF004600"/>
        <bgColor indexed="64"/>
      </patternFill>
    </fill>
    <fill>
      <patternFill patternType="solid">
        <fgColor theme="0"/>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rgb="FFA5A5A5"/>
        <bgColor theme="0" tint="-0.14999847407452621"/>
      </patternFill>
    </fill>
    <fill>
      <patternFill patternType="solid">
        <fgColor rgb="FFFF3300"/>
        <bgColor indexed="64"/>
      </patternFill>
    </fill>
    <fill>
      <patternFill patternType="solid">
        <fgColor rgb="FFA5A5A5"/>
        <bgColor indexed="64"/>
      </patternFill>
    </fill>
    <fill>
      <patternFill patternType="solid">
        <fgColor theme="4" tint="0.39997558519241921"/>
        <bgColor indexed="64"/>
      </patternFill>
    </fill>
    <fill>
      <patternFill patternType="solid">
        <fgColor theme="8" tint="-0.499984740745262"/>
        <bgColor indexed="64"/>
      </patternFill>
    </fill>
    <fill>
      <patternFill patternType="solid">
        <fgColor rgb="FF000000"/>
        <bgColor indexed="64"/>
      </patternFill>
    </fill>
    <fill>
      <patternFill patternType="solid">
        <fgColor rgb="FFC00000"/>
        <bgColor indexed="64"/>
      </patternFill>
    </fill>
    <fill>
      <patternFill patternType="solid">
        <fgColor rgb="FF92D050"/>
        <bgColor indexed="64"/>
      </patternFill>
    </fill>
    <fill>
      <patternFill patternType="solid">
        <fgColor rgb="FF006600"/>
        <bgColor theme="0" tint="-0.14999847407452621"/>
      </patternFill>
    </fill>
    <fill>
      <patternFill patternType="solid">
        <fgColor rgb="FFFFFF00"/>
        <bgColor theme="0" tint="-0.14999847407452621"/>
      </patternFill>
    </fill>
    <fill>
      <patternFill patternType="solid">
        <fgColor rgb="FFFF0000"/>
        <bgColor theme="0" tint="-0.14999847407452621"/>
      </patternFill>
    </fill>
    <fill>
      <patternFill patternType="solid">
        <fgColor rgb="FF000000"/>
        <bgColor theme="0" tint="-0.14999847407452621"/>
      </patternFill>
    </fill>
    <fill>
      <patternFill patternType="solid">
        <fgColor rgb="FF7030A0"/>
        <bgColor theme="0" tint="-0.14999847407452621"/>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theme="0"/>
      </right>
      <top/>
      <bottom style="thick">
        <color theme="0"/>
      </bottom>
      <diagonal/>
    </border>
    <border>
      <left/>
      <right/>
      <top/>
      <bottom style="thick">
        <color theme="0"/>
      </bottom>
      <diagonal/>
    </border>
    <border>
      <left/>
      <right style="thin">
        <color theme="1"/>
      </right>
      <top/>
      <bottom/>
      <diagonal/>
    </border>
    <border>
      <left/>
      <right style="thin">
        <color theme="1"/>
      </right>
      <top style="thin">
        <color theme="1"/>
      </top>
      <bottom style="medium">
        <color theme="1"/>
      </bottom>
      <diagonal/>
    </border>
    <border>
      <left/>
      <right style="thin">
        <color theme="1"/>
      </right>
      <top/>
      <bottom style="medium">
        <color theme="1"/>
      </bottom>
      <diagonal/>
    </border>
    <border>
      <left style="thin">
        <color theme="1"/>
      </left>
      <right style="thin">
        <color theme="1"/>
      </right>
      <top style="thin">
        <color theme="1"/>
      </top>
      <bottom style="thin">
        <color theme="1"/>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top style="thin">
        <color indexed="64"/>
      </top>
      <bottom style="thin">
        <color indexed="64"/>
      </bottom>
      <diagonal/>
    </border>
    <border>
      <left/>
      <right style="thin">
        <color theme="1"/>
      </right>
      <top style="thin">
        <color theme="1"/>
      </top>
      <bottom style="thin">
        <color theme="1"/>
      </bottom>
      <diagonal/>
    </border>
    <border>
      <left style="thin">
        <color theme="1"/>
      </left>
      <right style="thin">
        <color theme="1"/>
      </right>
      <top style="thin">
        <color theme="1"/>
      </top>
      <bottom/>
      <diagonal/>
    </border>
  </borders>
  <cellStyleXfs count="14">
    <xf numFmtId="0" fontId="0" fillId="0" borderId="0"/>
    <xf numFmtId="0" fontId="8" fillId="0" borderId="0"/>
    <xf numFmtId="0" fontId="6" fillId="0" borderId="0"/>
    <xf numFmtId="0" fontId="7" fillId="0" borderId="0"/>
    <xf numFmtId="0" fontId="33" fillId="0" borderId="0" applyNumberFormat="0" applyFill="0" applyBorder="0" applyAlignment="0" applyProtection="0">
      <alignment vertical="top"/>
      <protection locked="0"/>
    </xf>
    <xf numFmtId="0" fontId="7" fillId="0" borderId="0"/>
    <xf numFmtId="0" fontId="5" fillId="0" borderId="0"/>
    <xf numFmtId="0" fontId="7" fillId="0" borderId="0"/>
    <xf numFmtId="0" fontId="7" fillId="0" borderId="0"/>
    <xf numFmtId="0" fontId="4" fillId="0" borderId="0"/>
    <xf numFmtId="164" fontId="41" fillId="0" borderId="0" applyFont="0" applyFill="0" applyBorder="0" applyAlignment="0" applyProtection="0"/>
    <xf numFmtId="0" fontId="52" fillId="0" borderId="0" applyNumberFormat="0" applyFill="0" applyBorder="0" applyAlignment="0" applyProtection="0"/>
    <xf numFmtId="0" fontId="3" fillId="0" borderId="0"/>
    <xf numFmtId="0" fontId="2" fillId="0" borderId="0"/>
  </cellStyleXfs>
  <cellXfs count="309">
    <xf numFmtId="0" fontId="0" fillId="0" borderId="0" xfId="0"/>
    <xf numFmtId="0" fontId="7" fillId="0" borderId="0" xfId="0" applyFont="1"/>
    <xf numFmtId="0" fontId="0" fillId="0" borderId="0" xfId="0" applyAlignment="1">
      <alignment horizontal="left"/>
    </xf>
    <xf numFmtId="0" fontId="0" fillId="0" borderId="0" xfId="0" applyBorder="1"/>
    <xf numFmtId="0" fontId="7" fillId="4" borderId="2" xfId="0" applyFont="1" applyFill="1" applyBorder="1"/>
    <xf numFmtId="0" fontId="0" fillId="4" borderId="3" xfId="0" applyFill="1" applyBorder="1"/>
    <xf numFmtId="0" fontId="7" fillId="4" borderId="4" xfId="0" applyFont="1" applyFill="1" applyBorder="1"/>
    <xf numFmtId="0" fontId="0" fillId="4" borderId="5" xfId="0" applyFill="1" applyBorder="1"/>
    <xf numFmtId="0" fontId="0" fillId="4" borderId="6" xfId="0" applyFill="1" applyBorder="1"/>
    <xf numFmtId="0" fontId="0" fillId="4" borderId="1" xfId="0" applyFill="1" applyBorder="1"/>
    <xf numFmtId="0" fontId="0" fillId="7" borderId="0" xfId="0" applyFill="1" applyBorder="1"/>
    <xf numFmtId="0" fontId="0" fillId="7" borderId="0" xfId="0" applyFill="1"/>
    <xf numFmtId="14" fontId="0" fillId="0" borderId="0" xfId="0" applyNumberFormat="1"/>
    <xf numFmtId="0" fontId="0" fillId="0" borderId="0" xfId="0" applyNumberFormat="1"/>
    <xf numFmtId="0" fontId="0" fillId="0" borderId="0" xfId="0" applyFont="1"/>
    <xf numFmtId="49" fontId="0" fillId="0" borderId="0" xfId="0" applyNumberFormat="1"/>
    <xf numFmtId="1" fontId="0" fillId="0" borderId="0" xfId="0" applyNumberFormat="1"/>
    <xf numFmtId="14" fontId="0" fillId="0" borderId="0" xfId="0" applyNumberFormat="1" applyBorder="1"/>
    <xf numFmtId="0" fontId="0" fillId="0" borderId="0" xfId="0" applyNumberFormat="1" applyBorder="1"/>
    <xf numFmtId="0" fontId="13" fillId="0" borderId="0" xfId="0" applyFont="1"/>
    <xf numFmtId="14" fontId="0" fillId="0" borderId="0" xfId="0" applyNumberFormat="1" applyAlignment="1">
      <alignment horizontal="center"/>
    </xf>
    <xf numFmtId="14" fontId="0" fillId="0" borderId="0" xfId="0" applyNumberFormat="1" applyBorder="1" applyAlignment="1">
      <alignment horizontal="center"/>
    </xf>
    <xf numFmtId="0" fontId="14" fillId="0" borderId="0" xfId="0" applyFont="1"/>
    <xf numFmtId="0" fontId="0" fillId="4" borderId="0" xfId="0" applyFill="1"/>
    <xf numFmtId="167" fontId="0" fillId="0" borderId="0" xfId="0" applyNumberFormat="1"/>
    <xf numFmtId="0" fontId="26" fillId="9" borderId="7" xfId="0" applyFont="1" applyFill="1" applyBorder="1"/>
    <xf numFmtId="0" fontId="26" fillId="9" borderId="8" xfId="0" applyFont="1" applyFill="1" applyBorder="1"/>
    <xf numFmtId="0" fontId="0" fillId="0" borderId="0" xfId="0" applyNumberFormat="1" applyAlignment="1">
      <alignment horizontal="center"/>
    </xf>
    <xf numFmtId="0" fontId="0" fillId="0" borderId="0" xfId="0" applyAlignment="1">
      <alignment horizontal="center" vertical="center" wrapText="1"/>
    </xf>
    <xf numFmtId="0" fontId="0" fillId="3" borderId="0" xfId="0" applyFill="1" applyAlignment="1">
      <alignment horizontal="center" vertical="center" wrapText="1"/>
    </xf>
    <xf numFmtId="0" fontId="29" fillId="4" borderId="0" xfId="0" applyFont="1" applyFill="1" applyAlignment="1">
      <alignment horizontal="center" vertical="center" wrapText="1"/>
    </xf>
    <xf numFmtId="0" fontId="0" fillId="10" borderId="0" xfId="0" applyFill="1" applyAlignment="1">
      <alignment horizontal="center" vertical="center" wrapText="1"/>
    </xf>
    <xf numFmtId="0" fontId="0" fillId="11" borderId="0" xfId="0" applyFill="1" applyAlignment="1">
      <alignment horizontal="center" vertical="center" wrapText="1"/>
    </xf>
    <xf numFmtId="0" fontId="0" fillId="12" borderId="0" xfId="0" applyFill="1" applyAlignment="1">
      <alignment horizontal="center" vertical="center" wrapText="1"/>
    </xf>
    <xf numFmtId="0" fontId="30" fillId="13" borderId="0" xfId="0" applyFont="1" applyFill="1" applyAlignment="1">
      <alignment horizontal="center" vertical="center" wrapText="1"/>
    </xf>
    <xf numFmtId="0" fontId="7" fillId="2" borderId="0" xfId="0" applyFont="1" applyFill="1" applyAlignment="1">
      <alignment horizontal="center" vertical="center" wrapText="1"/>
    </xf>
    <xf numFmtId="0" fontId="0" fillId="14" borderId="0" xfId="0" applyFill="1" applyAlignment="1">
      <alignment horizontal="center" vertical="center" wrapText="1"/>
    </xf>
    <xf numFmtId="0" fontId="25" fillId="12" borderId="0" xfId="0" applyFont="1" applyFill="1" applyAlignment="1">
      <alignment horizontal="center" vertical="center" wrapText="1"/>
    </xf>
    <xf numFmtId="0" fontId="31" fillId="0" borderId="0" xfId="0" applyFont="1"/>
    <xf numFmtId="0" fontId="7" fillId="6" borderId="0" xfId="0" applyFont="1" applyFill="1" applyAlignment="1" applyProtection="1">
      <alignment horizontal="center" vertical="center" wrapText="1"/>
    </xf>
    <xf numFmtId="0" fontId="16" fillId="3" borderId="0" xfId="0" applyFont="1" applyFill="1" applyAlignment="1" applyProtection="1">
      <alignment horizontal="center" vertical="center" wrapText="1"/>
    </xf>
    <xf numFmtId="0" fontId="15" fillId="5" borderId="0" xfId="0" applyFont="1" applyFill="1" applyAlignment="1" applyProtection="1">
      <alignment horizontal="center" vertical="center"/>
    </xf>
    <xf numFmtId="0" fontId="17" fillId="3" borderId="0" xfId="0" applyFont="1" applyFill="1" applyAlignment="1" applyProtection="1">
      <alignment horizontal="center" vertical="center"/>
    </xf>
    <xf numFmtId="0" fontId="18" fillId="4" borderId="0" xfId="0" applyFont="1" applyFill="1" applyAlignment="1" applyProtection="1">
      <alignment horizontal="center" vertical="center"/>
    </xf>
    <xf numFmtId="0" fontId="19" fillId="8" borderId="0" xfId="0" applyFont="1" applyFill="1" applyAlignment="1" applyProtection="1">
      <alignment horizontal="center" vertical="center"/>
    </xf>
    <xf numFmtId="0" fontId="24" fillId="2" borderId="0" xfId="0" applyFont="1" applyFill="1" applyAlignment="1" applyProtection="1">
      <alignment horizontal="center" vertical="center"/>
    </xf>
    <xf numFmtId="0" fontId="33" fillId="0" borderId="0" xfId="4" applyAlignment="1" applyProtection="1"/>
    <xf numFmtId="0" fontId="7" fillId="0" borderId="0" xfId="0" quotePrefix="1" applyFont="1"/>
    <xf numFmtId="0" fontId="25" fillId="15" borderId="0" xfId="0" applyFont="1" applyFill="1" applyAlignment="1" applyProtection="1">
      <alignment horizontal="center" vertical="center" wrapText="1"/>
    </xf>
    <xf numFmtId="0" fontId="34" fillId="15" borderId="0" xfId="0" applyFont="1" applyFill="1" applyAlignment="1" applyProtection="1">
      <alignment horizontal="center" vertical="center" wrapText="1"/>
    </xf>
    <xf numFmtId="14" fontId="7" fillId="0" borderId="0" xfId="0" applyNumberFormat="1" applyFont="1" applyAlignment="1">
      <alignment wrapText="1"/>
    </xf>
    <xf numFmtId="0" fontId="0" fillId="0" borderId="0" xfId="0" applyAlignment="1">
      <alignment wrapText="1"/>
    </xf>
    <xf numFmtId="0" fontId="7" fillId="16" borderId="0" xfId="0" applyFont="1" applyFill="1" applyAlignment="1" applyProtection="1">
      <alignment horizontal="center" vertical="center" wrapText="1"/>
    </xf>
    <xf numFmtId="14" fontId="7" fillId="16" borderId="0" xfId="0" applyNumberFormat="1" applyFont="1" applyFill="1" applyAlignment="1" applyProtection="1">
      <alignment horizontal="center" vertical="center" wrapText="1"/>
    </xf>
    <xf numFmtId="0" fontId="0" fillId="0" borderId="0" xfId="0" quotePrefix="1"/>
    <xf numFmtId="0" fontId="27" fillId="17" borderId="0" xfId="0" applyFont="1" applyFill="1"/>
    <xf numFmtId="0" fontId="28" fillId="17" borderId="0" xfId="0" applyFont="1" applyFill="1" applyAlignment="1">
      <alignment horizontal="left"/>
    </xf>
    <xf numFmtId="0" fontId="21" fillId="17" borderId="0" xfId="0" applyFont="1" applyFill="1" applyAlignment="1">
      <alignment horizontal="center"/>
    </xf>
    <xf numFmtId="0" fontId="22" fillId="17" borderId="0" xfId="0" applyFont="1" applyFill="1"/>
    <xf numFmtId="0" fontId="27" fillId="17" borderId="0" xfId="0" applyFont="1" applyFill="1" applyAlignment="1">
      <alignment horizontal="left"/>
    </xf>
    <xf numFmtId="0" fontId="20" fillId="17" borderId="0" xfId="0" applyFont="1" applyFill="1" applyAlignment="1">
      <alignment horizontal="center"/>
    </xf>
    <xf numFmtId="0" fontId="23" fillId="17" borderId="0" xfId="0" applyFont="1" applyFill="1" applyAlignment="1">
      <alignment horizontal="center"/>
    </xf>
    <xf numFmtId="168" fontId="32" fillId="17" borderId="0" xfId="0" applyNumberFormat="1" applyFont="1" applyFill="1" applyAlignment="1">
      <alignment horizontal="left"/>
    </xf>
    <xf numFmtId="0" fontId="0" fillId="17" borderId="0" xfId="0" applyFill="1"/>
    <xf numFmtId="0" fontId="7" fillId="0" borderId="0" xfId="0" applyFont="1" applyBorder="1"/>
    <xf numFmtId="0" fontId="35" fillId="13" borderId="0" xfId="0" applyFont="1" applyFill="1" applyAlignment="1">
      <alignment horizontal="center" vertical="center" wrapText="1"/>
    </xf>
    <xf numFmtId="14" fontId="0" fillId="0" borderId="0" xfId="0" applyNumberFormat="1"/>
    <xf numFmtId="14" fontId="0" fillId="0" borderId="0" xfId="0" applyNumberFormat="1"/>
    <xf numFmtId="0" fontId="0" fillId="0" borderId="0" xfId="0"/>
    <xf numFmtId="0" fontId="25" fillId="18" borderId="0" xfId="0" applyFont="1" applyFill="1" applyAlignment="1" applyProtection="1">
      <alignment horizontal="center" vertical="center" wrapText="1"/>
    </xf>
    <xf numFmtId="0" fontId="25" fillId="19" borderId="0" xfId="0" applyFont="1" applyFill="1" applyAlignment="1" applyProtection="1">
      <alignment horizontal="center" vertical="center" wrapText="1"/>
    </xf>
    <xf numFmtId="0" fontId="7" fillId="7" borderId="0" xfId="0" applyFont="1" applyFill="1" applyBorder="1" applyAlignment="1" applyProtection="1">
      <alignment horizontal="center" vertical="center" wrapText="1"/>
    </xf>
    <xf numFmtId="0" fontId="7" fillId="7" borderId="0" xfId="0" applyFont="1" applyFill="1" applyAlignment="1" applyProtection="1">
      <alignment horizontal="center" vertical="center" wrapText="1"/>
    </xf>
    <xf numFmtId="0" fontId="25" fillId="20" borderId="0" xfId="0" applyFont="1" applyFill="1" applyAlignment="1" applyProtection="1">
      <alignment horizontal="center" vertical="center" wrapText="1"/>
    </xf>
    <xf numFmtId="14" fontId="0" fillId="0" borderId="0" xfId="0" applyNumberFormat="1"/>
    <xf numFmtId="14" fontId="0" fillId="0" borderId="0" xfId="0" applyNumberFormat="1"/>
    <xf numFmtId="0" fontId="0" fillId="0" borderId="0" xfId="0" applyProtection="1"/>
    <xf numFmtId="14" fontId="0" fillId="0" borderId="0" xfId="0" applyNumberFormat="1"/>
    <xf numFmtId="14" fontId="7" fillId="0" borderId="0" xfId="0" applyNumberFormat="1" applyFont="1"/>
    <xf numFmtId="0" fontId="37" fillId="0" borderId="0" xfId="0" applyFont="1" applyFill="1"/>
    <xf numFmtId="0" fontId="22" fillId="0" borderId="0" xfId="0" applyFont="1" applyFill="1"/>
    <xf numFmtId="165" fontId="32" fillId="17" borderId="0" xfId="0" applyNumberFormat="1" applyFont="1" applyFill="1"/>
    <xf numFmtId="14" fontId="36" fillId="0" borderId="0" xfId="8" applyNumberFormat="1" applyFont="1" applyAlignment="1" applyProtection="1">
      <alignment horizontal="left" vertical="center" textRotation="180"/>
    </xf>
    <xf numFmtId="0" fontId="25" fillId="23" borderId="0" xfId="0" applyFont="1" applyFill="1" applyAlignment="1" applyProtection="1">
      <alignment horizontal="center" vertical="center" wrapText="1"/>
    </xf>
    <xf numFmtId="0" fontId="0" fillId="0" borderId="9" xfId="0" applyNumberFormat="1" applyBorder="1"/>
    <xf numFmtId="0" fontId="7" fillId="0" borderId="0" xfId="0" applyNumberFormat="1" applyFont="1"/>
    <xf numFmtId="14" fontId="0" fillId="0" borderId="0" xfId="0" applyNumberFormat="1"/>
    <xf numFmtId="0" fontId="38" fillId="0" borderId="0" xfId="0" applyFont="1" applyBorder="1"/>
    <xf numFmtId="14" fontId="0" fillId="0" borderId="0" xfId="0" applyNumberFormat="1"/>
    <xf numFmtId="0" fontId="39" fillId="0" borderId="0" xfId="0" applyFont="1"/>
    <xf numFmtId="0" fontId="0" fillId="0" borderId="0" xfId="0" applyAlignment="1">
      <alignment horizontal="center"/>
    </xf>
    <xf numFmtId="0" fontId="0" fillId="0" borderId="4"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2" xfId="0" applyBorder="1"/>
    <xf numFmtId="0" fontId="0" fillId="0" borderId="17" xfId="0" applyBorder="1"/>
    <xf numFmtId="0" fontId="0" fillId="0" borderId="18" xfId="0" applyBorder="1"/>
    <xf numFmtId="0" fontId="7" fillId="0" borderId="3" xfId="0" applyFont="1" applyBorder="1"/>
    <xf numFmtId="170" fontId="0" fillId="0" borderId="0" xfId="0" applyNumberFormat="1"/>
    <xf numFmtId="0" fontId="0" fillId="0" borderId="1" xfId="0" applyBorder="1"/>
    <xf numFmtId="0" fontId="25" fillId="3" borderId="1" xfId="0" applyFont="1" applyFill="1" applyBorder="1"/>
    <xf numFmtId="0" fontId="0" fillId="0" borderId="1" xfId="0" applyBorder="1" applyAlignment="1">
      <alignment horizontal="center"/>
    </xf>
    <xf numFmtId="1" fontId="0" fillId="0" borderId="1" xfId="0" applyNumberFormat="1" applyBorder="1" applyAlignment="1">
      <alignment horizontal="center"/>
    </xf>
    <xf numFmtId="9" fontId="0" fillId="0" borderId="1" xfId="0" applyNumberFormat="1" applyBorder="1" applyAlignment="1">
      <alignment horizontal="center"/>
    </xf>
    <xf numFmtId="0" fontId="7" fillId="0" borderId="1" xfId="0" applyFont="1" applyBorder="1" applyAlignment="1">
      <alignment horizontal="center"/>
    </xf>
    <xf numFmtId="169" fontId="42" fillId="0" borderId="1" xfId="10" applyNumberFormat="1" applyFont="1" applyFill="1" applyBorder="1" applyAlignment="1">
      <alignment horizontal="center"/>
    </xf>
    <xf numFmtId="0" fontId="25" fillId="24" borderId="13" xfId="0" applyFont="1" applyFill="1" applyBorder="1"/>
    <xf numFmtId="165" fontId="0" fillId="0" borderId="1" xfId="0" applyNumberFormat="1" applyBorder="1" applyAlignment="1">
      <alignment horizontal="center"/>
    </xf>
    <xf numFmtId="0" fontId="44" fillId="0" borderId="1" xfId="0" applyFont="1" applyBorder="1" applyAlignment="1">
      <alignment horizontal="center"/>
    </xf>
    <xf numFmtId="0" fontId="0" fillId="0" borderId="6" xfId="0" applyBorder="1"/>
    <xf numFmtId="0" fontId="0" fillId="0" borderId="0" xfId="0" applyAlignment="1">
      <alignment horizontal="right"/>
    </xf>
    <xf numFmtId="0" fontId="7" fillId="0" borderId="0" xfId="0" applyFont="1" applyAlignment="1">
      <alignment horizontal="right"/>
    </xf>
    <xf numFmtId="0" fontId="7" fillId="0" borderId="0" xfId="0" applyFont="1" applyProtection="1"/>
    <xf numFmtId="171" fontId="0" fillId="0" borderId="0" xfId="0" applyNumberFormat="1"/>
    <xf numFmtId="172" fontId="45" fillId="17" borderId="0" xfId="0" applyNumberFormat="1" applyFont="1" applyFill="1"/>
    <xf numFmtId="0" fontId="0" fillId="0" borderId="0" xfId="0" pivotButton="1"/>
    <xf numFmtId="173" fontId="0" fillId="0" borderId="0" xfId="0" applyNumberFormat="1" applyAlignment="1">
      <alignment horizontal="center"/>
    </xf>
    <xf numFmtId="174" fontId="25" fillId="25" borderId="0" xfId="0" applyNumberFormat="1" applyFont="1" applyFill="1" applyAlignment="1">
      <alignment horizontal="left"/>
    </xf>
    <xf numFmtId="0" fontId="0" fillId="26" borderId="0" xfId="0" applyFill="1" applyAlignment="1">
      <alignment horizontal="right"/>
    </xf>
    <xf numFmtId="0" fontId="47" fillId="5" borderId="0" xfId="0" applyFont="1" applyFill="1" applyAlignment="1" applyProtection="1">
      <alignment horizontal="center" vertical="center" wrapText="1"/>
    </xf>
    <xf numFmtId="0" fontId="7" fillId="0" borderId="0" xfId="0" applyFont="1" applyFill="1" applyAlignment="1" applyProtection="1">
      <alignment horizontal="center" vertical="center" wrapText="1"/>
    </xf>
    <xf numFmtId="0" fontId="48" fillId="29" borderId="0" xfId="0" applyFont="1" applyFill="1" applyAlignment="1">
      <alignment vertical="center" wrapText="1"/>
    </xf>
    <xf numFmtId="0" fontId="50" fillId="0" borderId="0" xfId="0" applyFont="1" applyFill="1"/>
    <xf numFmtId="0" fontId="25" fillId="0" borderId="0" xfId="0" applyFont="1"/>
    <xf numFmtId="0" fontId="52" fillId="0" borderId="0" xfId="11"/>
    <xf numFmtId="0" fontId="7" fillId="0" borderId="0" xfId="0" applyFont="1" applyAlignment="1">
      <alignment horizontal="center" vertical="center" wrapText="1"/>
    </xf>
    <xf numFmtId="0" fontId="53" fillId="0" borderId="0" xfId="0" applyFont="1" applyFill="1"/>
    <xf numFmtId="0" fontId="0" fillId="0" borderId="0" xfId="0" applyFont="1" applyAlignment="1">
      <alignment horizontal="center" vertical="center" wrapText="1"/>
    </xf>
    <xf numFmtId="0" fontId="54" fillId="0" borderId="0" xfId="0" applyFont="1" applyFill="1"/>
    <xf numFmtId="0" fontId="7" fillId="0" borderId="0" xfId="0" applyFont="1" applyAlignment="1">
      <alignment horizontal="center"/>
    </xf>
    <xf numFmtId="49" fontId="55" fillId="0" borderId="0" xfId="0" applyNumberFormat="1" applyFont="1" applyFill="1" applyAlignment="1" applyProtection="1">
      <alignment horizontal="left" vertical="center"/>
      <protection locked="0"/>
    </xf>
    <xf numFmtId="49" fontId="55" fillId="0" borderId="0" xfId="0" applyNumberFormat="1" applyFont="1" applyFill="1" applyAlignment="1" applyProtection="1">
      <alignment horizontal="center" vertical="center"/>
      <protection locked="0"/>
    </xf>
    <xf numFmtId="49" fontId="55" fillId="0" borderId="0" xfId="0" applyNumberFormat="1" applyFont="1" applyFill="1" applyAlignment="1" applyProtection="1">
      <alignment horizontal="center" vertical="center"/>
    </xf>
    <xf numFmtId="0" fontId="55" fillId="0" borderId="0" xfId="0" applyNumberFormat="1" applyFont="1" applyFill="1" applyProtection="1">
      <protection hidden="1"/>
    </xf>
    <xf numFmtId="169" fontId="55" fillId="0" borderId="0" xfId="0" applyNumberFormat="1" applyFont="1" applyFill="1" applyProtection="1">
      <protection hidden="1"/>
    </xf>
    <xf numFmtId="170" fontId="55" fillId="0" borderId="0" xfId="0" applyNumberFormat="1" applyFont="1" applyFill="1" applyProtection="1">
      <protection hidden="1"/>
    </xf>
    <xf numFmtId="0" fontId="55" fillId="0" borderId="0" xfId="0" applyNumberFormat="1" applyFont="1" applyFill="1" applyAlignment="1" applyProtection="1">
      <alignment horizontal="center"/>
    </xf>
    <xf numFmtId="0" fontId="7" fillId="0" borderId="0" xfId="0" applyNumberFormat="1" applyFont="1" applyFill="1" applyAlignment="1" applyProtection="1">
      <alignment horizontal="center"/>
    </xf>
    <xf numFmtId="166" fontId="55" fillId="0" borderId="0" xfId="0" applyNumberFormat="1" applyFont="1" applyFill="1" applyAlignment="1" applyProtection="1">
      <alignment horizontal="center"/>
    </xf>
    <xf numFmtId="0" fontId="57" fillId="6" borderId="0" xfId="0" applyNumberFormat="1" applyFont="1" applyFill="1" applyBorder="1" applyAlignment="1" applyProtection="1">
      <alignment horizontal="center"/>
      <protection locked="0"/>
    </xf>
    <xf numFmtId="0" fontId="57" fillId="6" borderId="0" xfId="0" applyNumberFormat="1" applyFont="1" applyFill="1" applyAlignment="1" applyProtection="1">
      <alignment horizontal="center"/>
      <protection locked="0"/>
    </xf>
    <xf numFmtId="0" fontId="43" fillId="6" borderId="0" xfId="0" applyNumberFormat="1" applyFont="1" applyFill="1" applyAlignment="1" applyProtection="1">
      <alignment horizontal="center"/>
      <protection locked="0"/>
    </xf>
    <xf numFmtId="9" fontId="57" fillId="6" borderId="0" xfId="0" applyNumberFormat="1" applyFont="1" applyFill="1" applyAlignment="1" applyProtection="1">
      <alignment horizontal="center"/>
      <protection locked="0"/>
    </xf>
    <xf numFmtId="1" fontId="57" fillId="6" borderId="0" xfId="0" applyNumberFormat="1" applyFont="1" applyFill="1" applyAlignment="1" applyProtection="1">
      <alignment horizontal="center" vertical="center"/>
      <protection locked="0"/>
    </xf>
    <xf numFmtId="0" fontId="58" fillId="0" borderId="0" xfId="0" applyNumberFormat="1" applyFont="1" applyFill="1" applyBorder="1" applyAlignment="1" applyProtection="1">
      <alignment horizontal="center"/>
    </xf>
    <xf numFmtId="0" fontId="55" fillId="0" borderId="0" xfId="0" applyNumberFormat="1" applyFont="1" applyFill="1" applyBorder="1" applyAlignment="1" applyProtection="1">
      <alignment horizontal="center"/>
      <protection locked="0"/>
    </xf>
    <xf numFmtId="0" fontId="55" fillId="6" borderId="0" xfId="0" applyNumberFormat="1" applyFont="1" applyFill="1" applyAlignment="1" applyProtection="1">
      <alignment horizontal="center"/>
      <protection locked="0"/>
    </xf>
    <xf numFmtId="0" fontId="55" fillId="6" borderId="0" xfId="0" applyNumberFormat="1" applyFont="1" applyFill="1" applyBorder="1" applyAlignment="1" applyProtection="1">
      <alignment horizontal="center"/>
      <protection locked="0"/>
    </xf>
    <xf numFmtId="0" fontId="55" fillId="0" borderId="0" xfId="0" applyNumberFormat="1" applyFont="1" applyAlignment="1" applyProtection="1">
      <alignment horizontal="center"/>
    </xf>
    <xf numFmtId="9" fontId="55" fillId="0" borderId="0" xfId="0" applyNumberFormat="1" applyFont="1" applyAlignment="1" applyProtection="1">
      <alignment horizontal="center"/>
    </xf>
    <xf numFmtId="0" fontId="55" fillId="27" borderId="0" xfId="0" applyNumberFormat="1" applyFont="1" applyFill="1" applyAlignment="1" applyProtection="1">
      <alignment horizontal="center"/>
    </xf>
    <xf numFmtId="0" fontId="58" fillId="0" borderId="0" xfId="0" applyNumberFormat="1" applyFont="1" applyAlignment="1" applyProtection="1">
      <alignment horizontal="center"/>
    </xf>
    <xf numFmtId="1" fontId="55" fillId="0" borderId="0" xfId="0" applyNumberFormat="1" applyFont="1" applyAlignment="1" applyProtection="1">
      <alignment horizontal="center"/>
    </xf>
    <xf numFmtId="49" fontId="55" fillId="6" borderId="0" xfId="0" applyNumberFormat="1" applyFont="1" applyFill="1" applyAlignment="1" applyProtection="1">
      <alignment horizontal="center"/>
      <protection locked="0"/>
    </xf>
    <xf numFmtId="49" fontId="55" fillId="0" borderId="0" xfId="0" applyNumberFormat="1" applyFont="1" applyAlignment="1" applyProtection="1">
      <alignment horizontal="center"/>
      <protection locked="0"/>
    </xf>
    <xf numFmtId="0" fontId="55" fillId="0" borderId="0" xfId="0" applyNumberFormat="1" applyFont="1" applyAlignment="1" applyProtection="1">
      <alignment horizontal="left"/>
    </xf>
    <xf numFmtId="166" fontId="55" fillId="0" borderId="0" xfId="0" applyNumberFormat="1" applyFont="1" applyAlignment="1" applyProtection="1">
      <alignment horizontal="center"/>
    </xf>
    <xf numFmtId="9" fontId="55" fillId="0" borderId="9" xfId="0" applyNumberFormat="1" applyFont="1" applyBorder="1" applyAlignment="1" applyProtection="1">
      <alignment horizontal="center"/>
    </xf>
    <xf numFmtId="0" fontId="3" fillId="0" borderId="0" xfId="12"/>
    <xf numFmtId="14" fontId="3" fillId="0" borderId="0" xfId="12" applyNumberFormat="1"/>
    <xf numFmtId="0" fontId="3" fillId="0" borderId="0" xfId="12" applyNumberFormat="1"/>
    <xf numFmtId="0" fontId="3" fillId="0" borderId="0" xfId="12" applyAlignment="1">
      <alignment horizontal="center"/>
    </xf>
    <xf numFmtId="0" fontId="59" fillId="0" borderId="0" xfId="12" applyFont="1"/>
    <xf numFmtId="0" fontId="0" fillId="31" borderId="0" xfId="0" applyFill="1"/>
    <xf numFmtId="0" fontId="48" fillId="32" borderId="0" xfId="0" applyFont="1" applyFill="1" applyAlignment="1">
      <alignment vertical="center" wrapText="1"/>
    </xf>
    <xf numFmtId="0" fontId="3" fillId="0" borderId="0" xfId="12" applyFill="1"/>
    <xf numFmtId="0" fontId="60" fillId="0" borderId="0" xfId="0" applyFont="1"/>
    <xf numFmtId="0" fontId="61" fillId="7" borderId="1" xfId="0" applyFont="1" applyFill="1" applyBorder="1" applyAlignment="1">
      <alignment horizontal="left" vertical="center" wrapText="1"/>
    </xf>
    <xf numFmtId="0" fontId="61" fillId="16" borderId="1" xfId="0" applyFont="1" applyFill="1" applyBorder="1" applyAlignment="1">
      <alignment horizontal="left" vertical="center" wrapText="1"/>
    </xf>
    <xf numFmtId="0" fontId="25" fillId="23" borderId="15" xfId="0" applyFont="1" applyFill="1" applyBorder="1"/>
    <xf numFmtId="0" fontId="25" fillId="15" borderId="1" xfId="0" applyFont="1" applyFill="1" applyBorder="1" applyAlignment="1">
      <alignment horizontal="left" vertical="center" wrapText="1"/>
    </xf>
    <xf numFmtId="0" fontId="43" fillId="22" borderId="20" xfId="0" applyNumberFormat="1" applyFont="1" applyFill="1" applyBorder="1" applyAlignment="1">
      <alignment horizontal="center"/>
    </xf>
    <xf numFmtId="0" fontId="40" fillId="0" borderId="6" xfId="0" applyFont="1" applyBorder="1" applyAlignment="1">
      <alignment horizontal="center"/>
    </xf>
    <xf numFmtId="0" fontId="7" fillId="0" borderId="6" xfId="0" applyFont="1" applyBorder="1" applyAlignment="1">
      <alignment horizontal="center"/>
    </xf>
    <xf numFmtId="0" fontId="61" fillId="6" borderId="1" xfId="0" applyFont="1" applyFill="1" applyBorder="1" applyAlignment="1">
      <alignment horizontal="center" vertical="center" wrapText="1"/>
    </xf>
    <xf numFmtId="0" fontId="61" fillId="6" borderId="1" xfId="0" applyFont="1" applyFill="1" applyBorder="1" applyAlignment="1">
      <alignment horizontal="left" vertical="center" wrapText="1"/>
    </xf>
    <xf numFmtId="0" fontId="0" fillId="16" borderId="1" xfId="0" applyFill="1" applyBorder="1" applyAlignment="1">
      <alignment horizontal="center"/>
    </xf>
    <xf numFmtId="0" fontId="47" fillId="5" borderId="1" xfId="0" applyFont="1" applyFill="1" applyBorder="1" applyAlignment="1">
      <alignment horizontal="left" vertical="center" wrapText="1"/>
    </xf>
    <xf numFmtId="0" fontId="25" fillId="19" borderId="1" xfId="0" applyFont="1" applyFill="1" applyBorder="1" applyAlignment="1">
      <alignment horizontal="left" vertical="center" wrapText="1"/>
    </xf>
    <xf numFmtId="0" fontId="25" fillId="23" borderId="1" xfId="0" applyFont="1" applyFill="1" applyBorder="1" applyAlignment="1">
      <alignment horizontal="left" vertical="center" wrapText="1"/>
    </xf>
    <xf numFmtId="175" fontId="0" fillId="0" borderId="1" xfId="0" applyNumberFormat="1" applyBorder="1" applyAlignment="1">
      <alignment horizontal="center"/>
    </xf>
    <xf numFmtId="0" fontId="25" fillId="15" borderId="15" xfId="0" applyFont="1" applyFill="1" applyBorder="1" applyAlignment="1">
      <alignment horizontal="left" vertical="center" wrapText="1"/>
    </xf>
    <xf numFmtId="0" fontId="25" fillId="20" borderId="1" xfId="0" applyFont="1" applyFill="1" applyBorder="1" applyAlignment="1">
      <alignment horizontal="left" vertical="center" wrapText="1"/>
    </xf>
    <xf numFmtId="0" fontId="42" fillId="0" borderId="1" xfId="10" applyNumberFormat="1" applyFont="1" applyFill="1" applyBorder="1" applyAlignment="1">
      <alignment horizontal="center"/>
    </xf>
    <xf numFmtId="0" fontId="61" fillId="16" borderId="15" xfId="0" applyFont="1" applyFill="1" applyBorder="1" applyAlignment="1">
      <alignment horizontal="left" vertical="center" wrapText="1"/>
    </xf>
    <xf numFmtId="0" fontId="0" fillId="0" borderId="5" xfId="0" applyBorder="1" applyAlignment="1">
      <alignment horizontal="centerContinuous"/>
    </xf>
    <xf numFmtId="0" fontId="0" fillId="0" borderId="19" xfId="0" applyBorder="1" applyAlignment="1">
      <alignment horizontal="centerContinuous"/>
    </xf>
    <xf numFmtId="0" fontId="0" fillId="0" borderId="6" xfId="0" applyBorder="1" applyAlignment="1">
      <alignment horizontal="centerContinuous"/>
    </xf>
    <xf numFmtId="0" fontId="47" fillId="5" borderId="6" xfId="0" applyFont="1" applyFill="1" applyBorder="1" applyAlignment="1">
      <alignment horizontal="left" vertical="center" wrapText="1"/>
    </xf>
    <xf numFmtId="0" fontId="0" fillId="16" borderId="5" xfId="0" applyFill="1" applyBorder="1" applyAlignment="1"/>
    <xf numFmtId="0" fontId="0" fillId="16" borderId="19" xfId="0" applyFill="1" applyBorder="1" applyAlignment="1"/>
    <xf numFmtId="0" fontId="0" fillId="16" borderId="6" xfId="0" applyFill="1" applyBorder="1" applyAlignment="1"/>
    <xf numFmtId="175" fontId="55" fillId="0" borderId="0" xfId="0" applyNumberFormat="1" applyFont="1" applyAlignment="1" applyProtection="1">
      <alignment horizontal="center" vertical="center"/>
    </xf>
    <xf numFmtId="0" fontId="7" fillId="0" borderId="0" xfId="0" applyNumberFormat="1" applyFont="1" applyAlignment="1" applyProtection="1">
      <alignment horizontal="center"/>
    </xf>
    <xf numFmtId="0" fontId="48" fillId="34" borderId="0" xfId="0" applyFont="1" applyFill="1" applyAlignment="1">
      <alignment vertical="center" wrapText="1"/>
    </xf>
    <xf numFmtId="0" fontId="63" fillId="0" borderId="9" xfId="0" applyNumberFormat="1" applyFont="1" applyBorder="1" applyAlignment="1">
      <alignment horizontal="center"/>
    </xf>
    <xf numFmtId="176" fontId="55" fillId="0" borderId="0" xfId="0" applyNumberFormat="1" applyFont="1" applyFill="1" applyAlignment="1" applyProtection="1">
      <alignment horizontal="center"/>
    </xf>
    <xf numFmtId="176" fontId="55" fillId="0" borderId="0" xfId="0" applyNumberFormat="1" applyFont="1" applyAlignment="1" applyProtection="1">
      <alignment horizontal="center" vertical="center"/>
    </xf>
    <xf numFmtId="176" fontId="55" fillId="0" borderId="0" xfId="0" applyNumberFormat="1" applyFont="1" applyAlignment="1" applyProtection="1">
      <alignment horizontal="center" vertical="center"/>
      <protection locked="0"/>
    </xf>
    <xf numFmtId="176" fontId="55" fillId="0" borderId="0" xfId="0" applyNumberFormat="1" applyFont="1" applyAlignment="1" applyProtection="1">
      <alignment horizontal="center"/>
    </xf>
    <xf numFmtId="0" fontId="25" fillId="21" borderId="0" xfId="0" applyFont="1" applyFill="1" applyAlignment="1">
      <alignment horizontal="center" vertical="center" wrapText="1"/>
    </xf>
    <xf numFmtId="14" fontId="3" fillId="0" borderId="0" xfId="12" applyNumberFormat="1" applyFill="1"/>
    <xf numFmtId="0" fontId="25" fillId="0" borderId="0" xfId="0" pivotButton="1" applyFont="1"/>
    <xf numFmtId="0" fontId="25" fillId="0" borderId="0" xfId="0" applyFont="1" applyAlignment="1">
      <alignment horizontal="left"/>
    </xf>
    <xf numFmtId="0" fontId="25" fillId="0" borderId="0" xfId="0" applyNumberFormat="1" applyFont="1"/>
    <xf numFmtId="0" fontId="25" fillId="0" borderId="0" xfId="0" applyFont="1" applyAlignment="1">
      <alignment horizontal="left" indent="1"/>
    </xf>
    <xf numFmtId="14" fontId="25" fillId="0" borderId="0" xfId="0" applyNumberFormat="1" applyFont="1" applyAlignment="1">
      <alignment horizontal="left" indent="2"/>
    </xf>
    <xf numFmtId="0" fontId="64" fillId="34" borderId="0" xfId="0" applyFont="1" applyFill="1" applyBorder="1"/>
    <xf numFmtId="0" fontId="65" fillId="0" borderId="1" xfId="0" applyFont="1" applyBorder="1" applyAlignment="1">
      <alignment horizontal="center"/>
    </xf>
    <xf numFmtId="49" fontId="56" fillId="6" borderId="0" xfId="0" applyNumberFormat="1" applyFont="1" applyFill="1" applyAlignment="1" applyProtection="1">
      <alignment horizontal="center"/>
      <protection locked="0"/>
    </xf>
    <xf numFmtId="49" fontId="57" fillId="0" borderId="0" xfId="0" applyNumberFormat="1" applyFont="1" applyFill="1" applyAlignment="1" applyProtection="1">
      <alignment horizontal="left"/>
      <protection locked="0"/>
    </xf>
    <xf numFmtId="0" fontId="57" fillId="0" borderId="0" xfId="0" applyNumberFormat="1" applyFont="1" applyFill="1" applyAlignment="1" applyProtection="1">
      <alignment horizontal="center"/>
      <protection locked="0"/>
    </xf>
    <xf numFmtId="0" fontId="58" fillId="0" borderId="0" xfId="0" applyNumberFormat="1" applyFont="1" applyFill="1" applyAlignment="1" applyProtection="1">
      <alignment horizontal="center"/>
    </xf>
    <xf numFmtId="0" fontId="7" fillId="0" borderId="9" xfId="0" applyNumberFormat="1" applyFont="1" applyBorder="1"/>
    <xf numFmtId="0" fontId="55" fillId="0" borderId="0" xfId="0" applyNumberFormat="1" applyFont="1" applyAlignment="1" applyProtection="1">
      <alignment horizontal="center" vertical="center"/>
    </xf>
    <xf numFmtId="0" fontId="66" fillId="0" borderId="0" xfId="0" applyFont="1"/>
    <xf numFmtId="0" fontId="46" fillId="30" borderId="12" xfId="0" applyNumberFormat="1" applyFont="1" applyFill="1" applyBorder="1" applyAlignment="1">
      <alignment horizontal="center" vertical="center"/>
    </xf>
    <xf numFmtId="0" fontId="49" fillId="0" borderId="12" xfId="0" applyNumberFormat="1" applyFont="1" applyBorder="1" applyAlignment="1">
      <alignment horizontal="center" vertical="center"/>
    </xf>
    <xf numFmtId="0" fontId="46" fillId="28" borderId="12" xfId="0" applyNumberFormat="1" applyFont="1" applyFill="1" applyBorder="1" applyAlignment="1">
      <alignment horizontal="center" vertical="center"/>
    </xf>
    <xf numFmtId="0" fontId="49" fillId="22" borderId="12" xfId="0" applyNumberFormat="1" applyFont="1" applyFill="1" applyBorder="1" applyAlignment="1">
      <alignment horizontal="center" vertical="center"/>
    </xf>
    <xf numFmtId="0" fontId="62" fillId="33" borderId="12" xfId="0" applyNumberFormat="1" applyFont="1" applyFill="1" applyBorder="1" applyAlignment="1">
      <alignment horizontal="center" vertical="center"/>
    </xf>
    <xf numFmtId="0" fontId="62" fillId="3" borderId="12" xfId="0" applyNumberFormat="1" applyFont="1" applyFill="1" applyBorder="1" applyAlignment="1">
      <alignment horizontal="center" vertical="center"/>
    </xf>
    <xf numFmtId="0" fontId="46" fillId="4" borderId="12" xfId="0" applyNumberFormat="1" applyFont="1" applyFill="1" applyBorder="1" applyAlignment="1">
      <alignment horizontal="center" vertical="center"/>
    </xf>
    <xf numFmtId="0" fontId="62" fillId="8" borderId="12" xfId="0" applyNumberFormat="1" applyFont="1" applyFill="1" applyBorder="1" applyAlignment="1">
      <alignment horizontal="center" vertical="center"/>
    </xf>
    <xf numFmtId="0" fontId="62" fillId="2" borderId="12" xfId="0" applyNumberFormat="1" applyFont="1" applyFill="1" applyBorder="1" applyAlignment="1">
      <alignment horizontal="center" vertical="center"/>
    </xf>
    <xf numFmtId="0" fontId="0" fillId="0" borderId="3" xfId="0" applyBorder="1" applyAlignment="1">
      <alignment horizontal="center"/>
    </xf>
    <xf numFmtId="0" fontId="0" fillId="0" borderId="14" xfId="0" applyBorder="1" applyAlignment="1">
      <alignment horizontal="center"/>
    </xf>
    <xf numFmtId="0" fontId="0" fillId="0" borderId="16" xfId="0" applyBorder="1" applyAlignment="1">
      <alignment horizontal="center"/>
    </xf>
    <xf numFmtId="0" fontId="7" fillId="0" borderId="5" xfId="0" applyFont="1" applyBorder="1" applyAlignment="1">
      <alignment horizontal="centerContinuous"/>
    </xf>
    <xf numFmtId="0" fontId="25" fillId="12" borderId="4" xfId="0" applyFont="1" applyFill="1" applyBorder="1"/>
    <xf numFmtId="0" fontId="25" fillId="12" borderId="13" xfId="0" applyFont="1" applyFill="1" applyBorder="1"/>
    <xf numFmtId="0" fontId="25" fillId="12" borderId="15" xfId="0" applyFont="1" applyFill="1" applyBorder="1"/>
    <xf numFmtId="0" fontId="25" fillId="12" borderId="4" xfId="0" applyFont="1" applyFill="1" applyBorder="1" applyAlignment="1">
      <alignment horizontal="center"/>
    </xf>
    <xf numFmtId="0" fontId="2" fillId="0" borderId="0" xfId="13"/>
    <xf numFmtId="14" fontId="2" fillId="0" borderId="0" xfId="13" applyNumberFormat="1"/>
    <xf numFmtId="49" fontId="2" fillId="0" borderId="0" xfId="13" applyNumberFormat="1"/>
    <xf numFmtId="0" fontId="2" fillId="0" borderId="0" xfId="13" applyFill="1"/>
    <xf numFmtId="170" fontId="43" fillId="0" borderId="10" xfId="0" applyNumberFormat="1" applyFont="1" applyBorder="1" applyAlignment="1">
      <alignment horizontal="center" vertical="top" textRotation="180"/>
    </xf>
    <xf numFmtId="170" fontId="43" fillId="0" borderId="9" xfId="0" applyNumberFormat="1" applyFont="1" applyBorder="1" applyAlignment="1">
      <alignment horizontal="center" vertical="top" textRotation="180"/>
    </xf>
    <xf numFmtId="170" fontId="43" fillId="0" borderId="11" xfId="0" applyNumberFormat="1" applyFont="1" applyBorder="1" applyAlignment="1">
      <alignment horizontal="center" vertical="top" textRotation="180"/>
    </xf>
    <xf numFmtId="0" fontId="55" fillId="0" borderId="0" xfId="0" applyNumberFormat="1" applyFont="1" applyFill="1" applyAlignment="1" applyProtection="1">
      <alignment horizontal="center" vertical="center"/>
    </xf>
    <xf numFmtId="0" fontId="55" fillId="0" borderId="0" xfId="0" applyNumberFormat="1" applyFont="1" applyFill="1" applyProtection="1"/>
    <xf numFmtId="0" fontId="48" fillId="35" borderId="0" xfId="0" applyFont="1" applyFill="1" applyAlignment="1">
      <alignment vertical="center" wrapText="1"/>
    </xf>
    <xf numFmtId="0" fontId="1" fillId="0" borderId="0" xfId="13" applyFont="1"/>
    <xf numFmtId="170" fontId="2" fillId="0" borderId="0" xfId="13" applyNumberFormat="1" applyFill="1"/>
    <xf numFmtId="0" fontId="67" fillId="0" borderId="12" xfId="0" applyNumberFormat="1" applyFont="1" applyBorder="1" applyAlignment="1">
      <alignment horizontal="center" vertical="center"/>
    </xf>
    <xf numFmtId="0" fontId="62" fillId="36" borderId="12" xfId="0" applyNumberFormat="1" applyFont="1" applyFill="1" applyBorder="1" applyAlignment="1">
      <alignment horizontal="center" vertical="center"/>
    </xf>
    <xf numFmtId="0" fontId="62" fillId="38" borderId="12" xfId="0" applyNumberFormat="1" applyFont="1" applyFill="1" applyBorder="1" applyAlignment="1">
      <alignment horizontal="center" vertical="center"/>
    </xf>
    <xf numFmtId="0" fontId="46" fillId="37" borderId="12" xfId="0" applyNumberFormat="1" applyFont="1" applyFill="1" applyBorder="1" applyAlignment="1">
      <alignment horizontal="center" vertical="center"/>
    </xf>
    <xf numFmtId="0" fontId="67" fillId="22" borderId="12" xfId="0" applyNumberFormat="1" applyFont="1" applyFill="1" applyBorder="1" applyAlignment="1">
      <alignment horizontal="center" vertical="center"/>
    </xf>
    <xf numFmtId="0" fontId="62" fillId="40" borderId="12" xfId="0" applyNumberFormat="1" applyFont="1" applyFill="1" applyBorder="1" applyAlignment="1">
      <alignment horizontal="center" vertical="center"/>
    </xf>
    <xf numFmtId="0" fontId="62" fillId="39" borderId="12" xfId="0" applyNumberFormat="1" applyFont="1" applyFill="1" applyBorder="1" applyAlignment="1">
      <alignment horizontal="center" vertical="center"/>
    </xf>
    <xf numFmtId="0" fontId="46" fillId="37" borderId="1" xfId="0" applyNumberFormat="1" applyFont="1" applyFill="1" applyBorder="1" applyAlignment="1">
      <alignment horizontal="center" vertical="center"/>
    </xf>
    <xf numFmtId="0" fontId="62" fillId="36" borderId="1" xfId="0" applyNumberFormat="1" applyFont="1" applyFill="1" applyBorder="1" applyAlignment="1">
      <alignment horizontal="center" vertical="center"/>
    </xf>
    <xf numFmtId="0" fontId="62" fillId="39" borderId="1" xfId="0" applyNumberFormat="1" applyFont="1" applyFill="1" applyBorder="1" applyAlignment="1">
      <alignment horizontal="center" vertical="center"/>
    </xf>
    <xf numFmtId="0" fontId="62" fillId="38" borderId="1" xfId="0" applyNumberFormat="1" applyFont="1" applyFill="1" applyBorder="1" applyAlignment="1">
      <alignment horizontal="center" vertical="center"/>
    </xf>
    <xf numFmtId="0" fontId="67" fillId="22" borderId="1" xfId="0" applyNumberFormat="1" applyFont="1" applyFill="1" applyBorder="1" applyAlignment="1">
      <alignment horizontal="center" vertical="center"/>
    </xf>
    <xf numFmtId="0" fontId="62" fillId="40" borderId="1" xfId="0" applyNumberFormat="1" applyFont="1" applyFill="1" applyBorder="1" applyAlignment="1">
      <alignment horizontal="center" vertical="center"/>
    </xf>
    <xf numFmtId="0" fontId="46" fillId="28" borderId="1" xfId="0" applyNumberFormat="1" applyFont="1" applyFill="1" applyBorder="1" applyAlignment="1">
      <alignment horizontal="center" vertical="center"/>
    </xf>
    <xf numFmtId="0" fontId="49" fillId="22" borderId="1" xfId="0" applyNumberFormat="1" applyFont="1" applyFill="1" applyBorder="1" applyAlignment="1">
      <alignment horizontal="center" vertical="center"/>
    </xf>
    <xf numFmtId="0" fontId="55" fillId="0" borderId="9" xfId="0" applyNumberFormat="1" applyFont="1" applyBorder="1" applyAlignment="1" applyProtection="1">
      <alignment horizontal="center" vertical="center"/>
      <protection locked="0"/>
    </xf>
    <xf numFmtId="49" fontId="55" fillId="0" borderId="0" xfId="0" applyNumberFormat="1" applyFont="1" applyFill="1" applyBorder="1" applyAlignment="1" applyProtection="1">
      <alignment horizontal="left" vertical="center"/>
      <protection locked="0"/>
    </xf>
    <xf numFmtId="49" fontId="55" fillId="0" borderId="0" xfId="0" applyNumberFormat="1" applyFont="1" applyFill="1" applyBorder="1" applyAlignment="1" applyProtection="1">
      <alignment horizontal="center" vertical="center"/>
      <protection locked="0"/>
    </xf>
    <xf numFmtId="49" fontId="55" fillId="0" borderId="0" xfId="0" applyNumberFormat="1" applyFont="1" applyFill="1" applyBorder="1" applyAlignment="1" applyProtection="1">
      <alignment horizontal="center" vertical="center"/>
    </xf>
    <xf numFmtId="0" fontId="55" fillId="0" borderId="0" xfId="0" applyNumberFormat="1" applyFont="1" applyFill="1" applyBorder="1" applyAlignment="1" applyProtection="1">
      <alignment horizontal="center" vertical="center"/>
    </xf>
    <xf numFmtId="0" fontId="55" fillId="0" borderId="0" xfId="0" applyNumberFormat="1" applyFont="1" applyFill="1" applyBorder="1" applyProtection="1"/>
    <xf numFmtId="0" fontId="55" fillId="0" borderId="0" xfId="0" applyNumberFormat="1" applyFont="1" applyFill="1" applyBorder="1" applyProtection="1">
      <protection hidden="1"/>
    </xf>
    <xf numFmtId="169" fontId="55" fillId="0" borderId="0" xfId="0" applyNumberFormat="1" applyFont="1" applyFill="1" applyBorder="1" applyProtection="1">
      <protection hidden="1"/>
    </xf>
    <xf numFmtId="170" fontId="55" fillId="0" borderId="0" xfId="0" applyNumberFormat="1" applyFont="1" applyFill="1" applyBorder="1" applyProtection="1">
      <protection hidden="1"/>
    </xf>
    <xf numFmtId="0" fontId="55" fillId="0" borderId="0" xfId="0" applyNumberFormat="1" applyFont="1" applyFill="1" applyBorder="1" applyAlignment="1" applyProtection="1">
      <alignment horizontal="center"/>
    </xf>
    <xf numFmtId="0" fontId="7" fillId="0" borderId="0" xfId="0" applyNumberFormat="1" applyFont="1" applyFill="1" applyBorder="1" applyAlignment="1" applyProtection="1">
      <alignment horizontal="center"/>
    </xf>
    <xf numFmtId="0" fontId="7" fillId="0" borderId="0" xfId="0" applyNumberFormat="1" applyFont="1" applyBorder="1" applyAlignment="1" applyProtection="1">
      <alignment horizontal="center"/>
    </xf>
    <xf numFmtId="0" fontId="0" fillId="0" borderId="0" xfId="0" applyNumberFormat="1" applyBorder="1" applyAlignment="1">
      <alignment horizontal="center"/>
    </xf>
    <xf numFmtId="166" fontId="55" fillId="0" borderId="0" xfId="0" applyNumberFormat="1" applyFont="1" applyFill="1" applyBorder="1" applyAlignment="1" applyProtection="1">
      <alignment horizontal="center"/>
    </xf>
    <xf numFmtId="176" fontId="55" fillId="0" borderId="0" xfId="0" applyNumberFormat="1" applyFont="1" applyFill="1" applyBorder="1" applyAlignment="1" applyProtection="1">
      <alignment horizontal="center"/>
    </xf>
    <xf numFmtId="49" fontId="56" fillId="6" borderId="0" xfId="0" applyNumberFormat="1" applyFont="1" applyFill="1" applyBorder="1" applyAlignment="1" applyProtection="1">
      <alignment horizontal="center"/>
      <protection locked="0"/>
    </xf>
    <xf numFmtId="0" fontId="43" fillId="6" borderId="0" xfId="0" applyNumberFormat="1" applyFont="1" applyFill="1" applyBorder="1" applyAlignment="1" applyProtection="1">
      <alignment horizontal="center"/>
      <protection locked="0"/>
    </xf>
    <xf numFmtId="9" fontId="57" fillId="6" borderId="0" xfId="0" applyNumberFormat="1" applyFont="1" applyFill="1" applyBorder="1" applyAlignment="1" applyProtection="1">
      <alignment horizontal="center"/>
      <protection locked="0"/>
    </xf>
    <xf numFmtId="1" fontId="57" fillId="6" borderId="0" xfId="0" applyNumberFormat="1" applyFont="1" applyFill="1" applyBorder="1" applyAlignment="1" applyProtection="1">
      <alignment horizontal="center" vertical="center"/>
      <protection locked="0"/>
    </xf>
    <xf numFmtId="49" fontId="57" fillId="0" borderId="0" xfId="0" applyNumberFormat="1" applyFont="1" applyFill="1" applyBorder="1" applyAlignment="1" applyProtection="1">
      <alignment horizontal="left"/>
      <protection locked="0"/>
    </xf>
    <xf numFmtId="0" fontId="57" fillId="0" borderId="0" xfId="0" applyNumberFormat="1" applyFont="1" applyFill="1" applyBorder="1" applyAlignment="1" applyProtection="1">
      <alignment horizontal="center"/>
      <protection locked="0"/>
    </xf>
    <xf numFmtId="0" fontId="55" fillId="0" borderId="0" xfId="0" applyFont="1" applyBorder="1" applyAlignment="1" applyProtection="1">
      <alignment horizontal="center"/>
      <protection locked="0"/>
    </xf>
    <xf numFmtId="0" fontId="55" fillId="0" borderId="0" xfId="0" applyNumberFormat="1" applyFont="1" applyBorder="1" applyAlignment="1" applyProtection="1">
      <alignment horizontal="center"/>
    </xf>
    <xf numFmtId="9" fontId="55" fillId="0" borderId="0" xfId="0" applyNumberFormat="1" applyFont="1" applyBorder="1" applyAlignment="1" applyProtection="1">
      <alignment horizontal="center"/>
    </xf>
    <xf numFmtId="0" fontId="55" fillId="27" borderId="0" xfId="0" applyNumberFormat="1" applyFont="1" applyFill="1" applyBorder="1" applyAlignment="1" applyProtection="1">
      <alignment horizontal="center"/>
    </xf>
    <xf numFmtId="0" fontId="58" fillId="0" borderId="0" xfId="0" applyNumberFormat="1" applyFont="1" applyBorder="1" applyAlignment="1" applyProtection="1">
      <alignment horizontal="center"/>
    </xf>
    <xf numFmtId="1" fontId="55" fillId="0" borderId="0" xfId="0" applyNumberFormat="1" applyFont="1" applyBorder="1" applyAlignment="1" applyProtection="1">
      <alignment horizontal="center"/>
    </xf>
    <xf numFmtId="49" fontId="55" fillId="6" borderId="0" xfId="0" applyNumberFormat="1" applyFont="1" applyFill="1" applyBorder="1" applyAlignment="1" applyProtection="1">
      <alignment horizontal="center"/>
      <protection locked="0"/>
    </xf>
    <xf numFmtId="49" fontId="55" fillId="0" borderId="0" xfId="0" applyNumberFormat="1" applyFont="1" applyBorder="1" applyAlignment="1" applyProtection="1">
      <alignment horizontal="center"/>
      <protection locked="0"/>
    </xf>
    <xf numFmtId="0" fontId="55" fillId="0" borderId="0" xfId="0" applyNumberFormat="1" applyFont="1" applyBorder="1" applyAlignment="1" applyProtection="1">
      <alignment horizontal="left"/>
    </xf>
    <xf numFmtId="166" fontId="55" fillId="0" borderId="0" xfId="0" applyNumberFormat="1" applyFont="1" applyBorder="1" applyAlignment="1" applyProtection="1">
      <alignment horizontal="center"/>
    </xf>
    <xf numFmtId="176" fontId="55" fillId="0" borderId="0" xfId="0" applyNumberFormat="1" applyFont="1" applyBorder="1" applyAlignment="1" applyProtection="1">
      <alignment horizontal="center" vertical="center"/>
    </xf>
    <xf numFmtId="176" fontId="55" fillId="0" borderId="0" xfId="0" applyNumberFormat="1" applyFont="1" applyBorder="1" applyAlignment="1" applyProtection="1">
      <alignment horizontal="center" vertical="center"/>
      <protection locked="0"/>
    </xf>
    <xf numFmtId="176" fontId="55" fillId="0" borderId="0" xfId="0" applyNumberFormat="1" applyFont="1" applyBorder="1" applyAlignment="1" applyProtection="1">
      <alignment horizontal="center"/>
    </xf>
    <xf numFmtId="175" fontId="55" fillId="0" borderId="0" xfId="0" applyNumberFormat="1" applyFont="1" applyBorder="1" applyAlignment="1" applyProtection="1">
      <alignment horizontal="center" vertical="center"/>
    </xf>
    <xf numFmtId="0" fontId="55" fillId="0" borderId="0" xfId="0" applyNumberFormat="1" applyFont="1" applyBorder="1" applyAlignment="1" applyProtection="1">
      <alignment horizontal="center" vertical="center"/>
    </xf>
    <xf numFmtId="0" fontId="49" fillId="22" borderId="21" xfId="0" applyNumberFormat="1" applyFont="1" applyFill="1" applyBorder="1" applyAlignment="1">
      <alignment horizontal="center" vertical="center"/>
    </xf>
    <xf numFmtId="0" fontId="49" fillId="22" borderId="21" xfId="0" applyNumberFormat="1" applyFont="1" applyFill="1" applyBorder="1" applyAlignment="1" applyProtection="1">
      <alignment horizontal="center" vertical="center"/>
      <protection locked="0"/>
    </xf>
    <xf numFmtId="0" fontId="62" fillId="33" borderId="21" xfId="0" applyNumberFormat="1" applyFont="1" applyFill="1" applyBorder="1" applyAlignment="1" applyProtection="1">
      <alignment horizontal="center" vertical="center"/>
      <protection locked="0"/>
    </xf>
    <xf numFmtId="0" fontId="62" fillId="39" borderId="21" xfId="0" applyNumberFormat="1" applyFont="1" applyFill="1" applyBorder="1" applyAlignment="1" applyProtection="1">
      <alignment horizontal="center" vertical="center"/>
      <protection locked="0"/>
    </xf>
    <xf numFmtId="0" fontId="46" fillId="28" borderId="21" xfId="0" applyNumberFormat="1" applyFont="1" applyFill="1" applyBorder="1" applyAlignment="1">
      <alignment horizontal="center" vertical="center"/>
    </xf>
    <xf numFmtId="0" fontId="67" fillId="0" borderId="1" xfId="0" applyNumberFormat="1" applyFont="1" applyFill="1" applyBorder="1" applyAlignment="1">
      <alignment horizontal="center" vertical="center"/>
    </xf>
    <xf numFmtId="0" fontId="67" fillId="0" borderId="12" xfId="0" applyNumberFormat="1" applyFont="1" applyFill="1" applyBorder="1" applyAlignment="1">
      <alignment horizontal="center" vertical="center"/>
    </xf>
    <xf numFmtId="0" fontId="49" fillId="0" borderId="12" xfId="0" applyNumberFormat="1" applyFont="1" applyFill="1" applyBorder="1" applyAlignment="1">
      <alignment horizontal="center" vertical="center"/>
    </xf>
    <xf numFmtId="0" fontId="49" fillId="0" borderId="1" xfId="0" applyNumberFormat="1" applyFont="1" applyFill="1" applyBorder="1" applyAlignment="1">
      <alignment horizontal="center" vertical="center"/>
    </xf>
    <xf numFmtId="0" fontId="49" fillId="0" borderId="21" xfId="0" applyNumberFormat="1" applyFont="1" applyFill="1" applyBorder="1" applyAlignment="1" applyProtection="1">
      <alignment horizontal="center" vertical="center"/>
      <protection locked="0"/>
    </xf>
    <xf numFmtId="0" fontId="46" fillId="28" borderId="21" xfId="0" applyNumberFormat="1" applyFont="1" applyFill="1" applyBorder="1" applyAlignment="1" applyProtection="1">
      <alignment horizontal="center" vertical="center"/>
      <protection locked="0"/>
    </xf>
  </cellXfs>
  <cellStyles count="14">
    <cellStyle name="Cancel" xfId="1"/>
    <cellStyle name="Cancel 2" xfId="5"/>
    <cellStyle name="Cancel_Bodega" xfId="7"/>
    <cellStyle name="Hipervínculo" xfId="4" builtinId="8"/>
    <cellStyle name="Moneda" xfId="10" builtinId="4"/>
    <cellStyle name="Normal" xfId="0" builtinId="0"/>
    <cellStyle name="Normal 2" xfId="2"/>
    <cellStyle name="Normal 2 2" xfId="6"/>
    <cellStyle name="Normal 2_Bodega" xfId="9"/>
    <cellStyle name="Normal 3" xfId="3"/>
    <cellStyle name="Normal 4" xfId="12"/>
    <cellStyle name="Normal 5" xfId="13"/>
    <cellStyle name="Normal_Bodega" xfId="8"/>
    <cellStyle name="Título" xfId="11" builtinId="15"/>
  </cellStyles>
  <dxfs count="1060">
    <dxf>
      <font>
        <strike val="0"/>
        <outline val="0"/>
        <shadow val="0"/>
        <u val="none"/>
        <vertAlign val="baseline"/>
        <sz val="10"/>
        <color auto="1"/>
        <name val="Arial"/>
        <scheme val="none"/>
      </font>
    </dxf>
    <dxf>
      <numFmt numFmtId="0" formatCode="General"/>
    </dxf>
    <dxf>
      <numFmt numFmtId="0" formatCode="General"/>
    </dxf>
    <dxf>
      <numFmt numFmtId="170" formatCode="m/d/yyyy"/>
    </dxf>
    <dxf>
      <font>
        <strike val="0"/>
        <outline val="0"/>
        <shadow val="0"/>
        <u val="none"/>
        <vertAlign val="baseline"/>
        <sz val="10"/>
        <color auto="1"/>
        <name val="Arial"/>
        <scheme val="none"/>
      </font>
    </dxf>
    <dxf>
      <numFmt numFmtId="170" formatCode="m/d/yyyy"/>
    </dxf>
    <dxf>
      <numFmt numFmtId="0" formatCode="General"/>
    </dxf>
    <dxf>
      <numFmt numFmtId="170" formatCode="m/d/yyyy"/>
    </dxf>
    <dxf>
      <numFmt numFmtId="170"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dxf>
    <dxf>
      <font>
        <color theme="0"/>
      </font>
    </dxf>
    <dxf>
      <alignment horizontal="center" readingOrder="0"/>
    </dxf>
    <dxf>
      <alignment horizontal="center" readingOrder="0"/>
    </dxf>
    <dxf>
      <numFmt numFmtId="173" formatCode="mm\ /\ yyyy"/>
    </dxf>
    <dxf>
      <alignment horizontal="center" readingOrder="0"/>
    </dxf>
    <dxf>
      <alignment horizontal="center" readingOrder="0"/>
    </dxf>
    <dxf>
      <numFmt numFmtId="177" formatCode="mm/yyyy"/>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ont>
        <color theme="0"/>
      </font>
    </dxf>
    <dxf>
      <font>
        <color theme="0"/>
      </font>
    </dxf>
    <dxf>
      <font>
        <b/>
        <i val="0"/>
        <color rgb="FFFF0000"/>
      </font>
    </dxf>
    <dxf>
      <font>
        <b/>
        <i val="0"/>
        <color rgb="FF006600"/>
      </font>
    </dxf>
    <dxf>
      <font>
        <color rgb="FF9C0006"/>
      </font>
      <fill>
        <patternFill>
          <bgColor rgb="FFFFC7CE"/>
        </patternFill>
      </fill>
    </dxf>
    <dxf>
      <font>
        <b/>
        <i val="0"/>
        <color rgb="FFFF0000"/>
      </font>
    </dxf>
    <dxf>
      <font>
        <b/>
        <i val="0"/>
        <color rgb="FF006600"/>
      </font>
    </dxf>
    <dxf>
      <font>
        <b/>
        <i val="0"/>
        <color rgb="FFFF0000"/>
      </font>
    </dxf>
    <dxf>
      <font>
        <b/>
        <i val="0"/>
        <color rgb="FF006600"/>
      </font>
    </dxf>
    <dxf>
      <font>
        <color theme="0"/>
      </font>
    </dxf>
    <dxf>
      <font>
        <color theme="0"/>
      </font>
      <fill>
        <patternFill>
          <bgColor rgb="FF006600"/>
        </patternFill>
      </fill>
    </dxf>
    <dxf>
      <fill>
        <patternFill>
          <bgColor rgb="FFFFFF00"/>
        </patternFill>
      </fill>
    </dxf>
    <dxf>
      <font>
        <color theme="0"/>
      </font>
      <fill>
        <patternFill>
          <bgColor rgb="FFFF0000"/>
        </patternFill>
      </fill>
    </dxf>
    <dxf>
      <font>
        <color theme="0"/>
      </font>
      <fill>
        <patternFill>
          <bgColor rgb="FF7030A0"/>
        </patternFill>
      </fill>
    </dxf>
    <dxf>
      <font>
        <color theme="0"/>
      </font>
      <fill>
        <patternFill>
          <bgColor theme="1" tint="4.9989318521683403E-2"/>
        </patternFill>
      </fill>
    </dxf>
    <dxf>
      <font>
        <color theme="1"/>
      </font>
      <fill>
        <patternFill>
          <bgColor theme="0" tint="-0.34998626667073579"/>
        </patternFill>
      </fill>
    </dxf>
    <dxf>
      <font>
        <color theme="0"/>
      </font>
      <fill>
        <patternFill>
          <bgColor rgb="FF006600"/>
        </patternFill>
      </fill>
    </dxf>
    <dxf>
      <fill>
        <patternFill>
          <bgColor rgb="FFFFFF00"/>
        </patternFill>
      </fill>
    </dxf>
    <dxf>
      <font>
        <color theme="0"/>
      </font>
      <fill>
        <patternFill>
          <bgColor rgb="FFFF0000"/>
        </patternFill>
      </fill>
    </dxf>
    <dxf>
      <font>
        <color theme="0"/>
      </font>
      <fill>
        <patternFill>
          <bgColor rgb="FF7030A0"/>
        </patternFill>
      </fill>
    </dxf>
    <dxf>
      <font>
        <color theme="0"/>
      </font>
      <fill>
        <patternFill>
          <bgColor theme="1" tint="4.9989318521683403E-2"/>
        </patternFill>
      </fill>
    </dxf>
    <dxf>
      <font>
        <color theme="1"/>
      </font>
      <fill>
        <patternFill>
          <bgColor theme="0" tint="-0.34998626667073579"/>
        </patternFill>
      </fill>
    </dxf>
    <dxf>
      <font>
        <color rgb="FF9C0006"/>
      </font>
      <fill>
        <patternFill>
          <bgColor rgb="FFFFC7CE"/>
        </patternFill>
      </fill>
    </dxf>
    <dxf>
      <numFmt numFmtId="170" formatCode="m/d/yyyy"/>
      <alignment horizontal="center" vertical="bottom" textRotation="0" wrapText="0" relativeIndent="0" justifyLastLine="0" shrinkToFit="0" readingOrder="0"/>
    </dxf>
    <dxf>
      <numFmt numFmtId="170" formatCode="m/d/yyyy"/>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numFmt numFmtId="0" formatCode="General"/>
    </dxf>
    <dxf>
      <font>
        <b val="0"/>
        <i val="0"/>
        <strike val="0"/>
        <condense val="0"/>
        <extend val="0"/>
        <outline val="0"/>
        <shadow val="0"/>
        <u val="none"/>
        <vertAlign val="baseline"/>
        <sz val="10"/>
        <color auto="1"/>
        <name val="Arial"/>
        <scheme val="none"/>
      </font>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3"/>
        <name val="Calibri"/>
        <scheme val="minor"/>
      </font>
      <fill>
        <patternFill patternType="solid">
          <fgColor indexed="64"/>
          <bgColor theme="7" tint="0.59999389629810485"/>
        </patternFill>
      </fill>
      <alignment horizontal="center" vertical="center" textRotation="0" wrapText="1" relativeIndent="0" justifyLastLine="0" shrinkToFit="0" readingOrder="0"/>
    </dxf>
    <dxf>
      <font>
        <b val="0"/>
        <i val="0"/>
        <strike val="0"/>
        <condense val="0"/>
        <extend val="0"/>
        <outline val="0"/>
        <shadow val="0"/>
        <u val="none"/>
        <vertAlign val="baseline"/>
        <sz val="11"/>
        <color theme="3"/>
        <name val="Calibri"/>
        <scheme val="minor"/>
      </font>
      <fill>
        <patternFill patternType="solid">
          <fgColor indexed="64"/>
          <bgColor theme="7" tint="0.59999389629810485"/>
        </patternFill>
      </fill>
      <alignment horizontal="center" vertical="center" textRotation="0" wrapText="1" relativeIndent="0" justifyLastLine="0" shrinkToFit="0" readingOrder="0"/>
    </dxf>
    <dxf>
      <font>
        <b/>
        <i val="0"/>
        <strike val="0"/>
        <condense val="0"/>
        <extend val="0"/>
        <outline val="0"/>
        <shadow val="0"/>
        <u val="none"/>
        <vertAlign val="baseline"/>
        <sz val="10"/>
        <color theme="1"/>
        <name val="Arial"/>
        <scheme val="none"/>
      </font>
      <numFmt numFmtId="170" formatCode="m/d/yyyy"/>
      <alignment horizontal="center" vertical="top" textRotation="180" wrapText="0" relativeIndent="0" justifyLastLine="0" shrinkToFit="0" readingOrder="0"/>
      <border diagonalUp="0" diagonalDown="0">
        <left/>
        <right style="thin">
          <color theme="1"/>
        </right>
        <top style="thin">
          <color theme="1"/>
        </top>
        <bottom style="medium">
          <color theme="1"/>
        </bottom>
        <vertical/>
        <horizontal/>
      </border>
    </dxf>
    <dxf>
      <border outline="0">
        <bottom style="medium">
          <color theme="1"/>
        </bottom>
      </border>
    </dxf>
    <dxf>
      <font>
        <b/>
        <i val="0"/>
        <strike val="0"/>
        <condense val="0"/>
        <extend val="0"/>
        <outline val="0"/>
        <shadow val="0"/>
        <u val="none"/>
        <vertAlign val="baseline"/>
        <sz val="10"/>
        <color theme="1"/>
        <name val="Arial"/>
        <scheme val="none"/>
      </font>
      <alignment horizontal="center" vertical="top" textRotation="180" wrapText="0" relativeIndent="0" justifyLastLine="0" shrinkToFit="0" readingOrder="0"/>
    </dxf>
    <dxf>
      <numFmt numFmtId="0" formatCode="General"/>
    </dxf>
    <dxf>
      <font>
        <b val="0"/>
        <i val="0"/>
        <strike val="0"/>
        <condense val="0"/>
        <extend val="0"/>
        <outline val="0"/>
        <shadow val="0"/>
        <u val="none"/>
        <vertAlign val="baseline"/>
        <sz val="10"/>
        <color auto="1"/>
        <name val="Arial"/>
        <scheme val="none"/>
      </font>
    </dxf>
    <dxf>
      <border outline="0">
        <bottom style="thick">
          <color theme="0"/>
        </bottom>
      </border>
    </dxf>
    <dxf>
      <font>
        <b/>
        <i val="0"/>
        <strike val="0"/>
        <condense val="0"/>
        <extend val="0"/>
        <outline val="0"/>
        <shadow val="0"/>
        <u val="none"/>
        <vertAlign val="baseline"/>
        <sz val="10"/>
        <color theme="0"/>
        <name val="Arial"/>
        <scheme val="none"/>
      </font>
      <fill>
        <patternFill patternType="solid">
          <fgColor theme="4"/>
          <bgColor theme="4"/>
        </patternFill>
      </fill>
      <border diagonalUp="0" diagonalDown="0" outline="0">
        <left style="thin">
          <color theme="0"/>
        </left>
        <right style="thin">
          <color theme="0"/>
        </right>
        <top/>
        <bottom/>
      </border>
    </dxf>
    <dxf>
      <numFmt numFmtId="170"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dxf>
    <dxf>
      <numFmt numFmtId="0" formatCode="General"/>
    </dxf>
    <dxf>
      <font>
        <b val="0"/>
        <i val="0"/>
        <strike val="0"/>
        <condense val="0"/>
        <extend val="0"/>
        <outline val="0"/>
        <shadow val="0"/>
        <u val="none"/>
        <vertAlign val="baseline"/>
        <sz val="10"/>
        <color auto="1"/>
        <name val="Arial"/>
        <scheme val="none"/>
      </font>
    </dxf>
    <dxf>
      <numFmt numFmtId="0" formatCode="General"/>
    </dxf>
    <dxf>
      <numFmt numFmtId="0" formatCode="General"/>
    </dxf>
    <dxf>
      <numFmt numFmtId="171" formatCode="m/d/yyyy\ h:mm"/>
    </dxf>
    <dxf>
      <numFmt numFmtId="171" formatCode="m/d/yyyy\ h:mm"/>
    </dxf>
    <dxf>
      <numFmt numFmtId="0" formatCode="General"/>
    </dxf>
    <dxf>
      <numFmt numFmtId="0" formatCode="General"/>
    </dxf>
    <dxf>
      <numFmt numFmtId="0" formatCode="General"/>
    </dxf>
    <dxf>
      <numFmt numFmtId="170" formatCode="m/d/yyyy"/>
    </dxf>
    <dxf>
      <numFmt numFmtId="0" formatCode="General"/>
    </dxf>
    <dxf>
      <font>
        <strike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ill>
        <patternFill>
          <bgColor theme="1"/>
        </patternFill>
      </fill>
    </dxf>
    <dxf>
      <numFmt numFmtId="170" formatCode="m/d/yyyy"/>
    </dxf>
    <dxf>
      <numFmt numFmtId="170" formatCode="m/d/yyyy"/>
    </dxf>
    <dxf>
      <numFmt numFmtId="170" formatCode="m/d/yyyy"/>
    </dxf>
    <dxf>
      <numFmt numFmtId="0" formatCode="General"/>
    </dxf>
    <dxf>
      <numFmt numFmtId="0" formatCode="General"/>
    </dxf>
    <dxf>
      <numFmt numFmtId="0" formatCode="General"/>
    </dxf>
    <dxf>
      <numFmt numFmtId="0" formatCode="General"/>
    </dxf>
    <dxf>
      <numFmt numFmtId="30" formatCode="@"/>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9"/>
        <color rgb="FFFF0000"/>
        <name val="Verdana"/>
        <scheme val="none"/>
      </font>
      <fill>
        <patternFill patternType="none">
          <fgColor indexed="64"/>
          <bgColor indexed="65"/>
        </patternFill>
      </fill>
    </dxf>
    <dxf>
      <font>
        <b val="0"/>
        <i val="0"/>
        <strike val="0"/>
        <condense val="0"/>
        <extend val="0"/>
        <outline val="0"/>
        <shadow val="0"/>
        <u val="none"/>
        <vertAlign val="baseline"/>
        <sz val="9"/>
        <color rgb="FFFF0000"/>
        <name val="Verdana"/>
        <scheme val="none"/>
      </font>
      <fill>
        <patternFill patternType="none">
          <fgColor indexed="64"/>
          <bgColor indexed="65"/>
        </patternFill>
      </fill>
    </dxf>
    <dxf>
      <font>
        <b val="0"/>
        <i val="0"/>
        <strike val="0"/>
        <condense val="0"/>
        <extend val="0"/>
        <outline val="0"/>
        <shadow val="0"/>
        <u val="none"/>
        <vertAlign val="baseline"/>
        <sz val="9"/>
        <color rgb="FFFF0000"/>
        <name val="Verdana"/>
        <scheme val="none"/>
      </font>
      <fill>
        <patternFill patternType="none">
          <fgColor indexed="64"/>
          <bgColor indexed="65"/>
        </patternFill>
      </fill>
    </dxf>
    <dxf>
      <numFmt numFmtId="0" formatCode="General"/>
    </dxf>
    <dxf>
      <numFmt numFmtId="167" formatCode="yyyy\-mm\-dd;@"/>
    </dxf>
    <dxf>
      <numFmt numFmtId="167" formatCode="yyyy\-mm\-dd;@"/>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ill>
        <patternFill>
          <bgColor rgb="FFFFC000"/>
        </patternFill>
      </fill>
    </dxf>
    <dxf>
      <fill>
        <patternFill>
          <bgColor rgb="FFFF0000"/>
        </patternFill>
      </fill>
    </dxf>
    <dxf>
      <font>
        <color theme="0"/>
      </font>
    </dxf>
    <dxf>
      <font>
        <color theme="0" tint="-4.9989318521683403E-2"/>
      </font>
      <fill>
        <patternFill>
          <bgColor rgb="FFFF0000"/>
        </patternFill>
      </fill>
    </dxf>
    <dxf>
      <font>
        <color rgb="FFFFFF00"/>
      </font>
      <fill>
        <patternFill>
          <fgColor rgb="FFFF0000"/>
          <bgColor rgb="FFFF0000"/>
        </patternFill>
      </fill>
    </dxf>
    <dxf>
      <font>
        <b val="0"/>
        <i val="0"/>
        <strike val="0"/>
        <condense val="0"/>
        <extend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font>
        <u val="none"/>
      </font>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horizontal="center" readingOrder="0"/>
    </dxf>
    <dxf>
      <alignment horizontal="center" readingOrder="0"/>
    </dxf>
    <dxf>
      <alignment horizontal="center" readingOrder="0"/>
    </dxf>
    <dxf>
      <alignment horizontal="center" readingOrder="0"/>
    </dxf>
    <dxf>
      <numFmt numFmtId="0" formatCode="General"/>
    </dxf>
    <dxf>
      <numFmt numFmtId="0" formatCode="General"/>
    </dxf>
    <dxf>
      <numFmt numFmtId="0" formatCode="General"/>
    </dxf>
    <dxf>
      <numFmt numFmtId="170" formatCode="m/d/yyyy"/>
    </dxf>
    <dxf>
      <numFmt numFmtId="170" formatCode="m/d/yyyy"/>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alignment horizontal="center" vertical="center" textRotation="0" wrapText="1" indent="0" justifyLastLine="0" shrinkToFit="0" readingOrder="0"/>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1"/>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strike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border diagonalUp="0" diagonalDown="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numFmt numFmtId="0" formatCode="General"/>
      <border diagonalUp="0" diagonalDown="0" outline="0">
        <left/>
        <right/>
        <top/>
        <bottom/>
      </border>
    </dxf>
    <dxf>
      <font>
        <sz val="8"/>
      </font>
      <numFmt numFmtId="0" formatCode="General"/>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dxf>
    <dxf>
      <font>
        <b val="0"/>
        <i val="0"/>
        <strike val="0"/>
        <condense val="0"/>
        <extend val="0"/>
        <outline val="0"/>
        <shadow val="0"/>
        <u val="none"/>
        <vertAlign val="baseline"/>
        <sz val="8"/>
        <color auto="1"/>
        <name val="Arial"/>
        <scheme val="none"/>
      </font>
      <numFmt numFmtId="175" formatCode="dd/mmm/yyyy"/>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dxf>
    <dxf>
      <font>
        <b val="0"/>
        <i val="0"/>
        <strike val="0"/>
        <outline val="0"/>
        <shadow val="0"/>
        <u val="none"/>
        <vertAlign val="baseline"/>
        <name val="Arial"/>
        <scheme val="none"/>
      </font>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right style="thin">
          <color theme="1"/>
        </right>
      </border>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style="thin">
          <color theme="1"/>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left/>
        <right style="thin">
          <color theme="1"/>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relativeIndent="0" justifyLastLine="0" shrinkToFit="0" readingOrder="0"/>
      <protection locked="1" hidden="0"/>
    </dxf>
    <dxf>
      <font>
        <b val="0"/>
        <i val="0"/>
        <strike val="0"/>
        <outline val="0"/>
        <shadow val="0"/>
        <u val="none"/>
        <vertAlign val="baseline"/>
        <sz val="8"/>
        <color auto="1"/>
        <name val="Arial"/>
        <scheme val="none"/>
      </font>
      <numFmt numFmtId="176"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center" textRotation="0" wrapText="0" relativeIndent="0" justifyLastLine="0" shrinkToFit="0" readingOrder="0"/>
      <protection locked="0" hidden="0"/>
    </dxf>
    <dxf>
      <font>
        <b val="0"/>
        <i val="0"/>
        <strike val="0"/>
        <outline val="0"/>
        <shadow val="0"/>
        <u val="none"/>
        <vertAlign val="baseline"/>
        <sz val="8"/>
        <color auto="1"/>
        <name val="Arial"/>
        <scheme val="none"/>
      </font>
      <numFmt numFmtId="176" formatCode="dd/mmm/yy"/>
      <alignment horizontal="center" vertical="center"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left"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i val="0"/>
        <strike val="0"/>
        <condense val="0"/>
        <extend val="0"/>
        <outline val="0"/>
        <shadow val="0"/>
        <u val="none"/>
        <vertAlign val="baseline"/>
        <sz val="8"/>
        <color rgb="FF0000FF"/>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alignment horizontal="center" vertical="bottom" textRotation="0" wrapText="0" indent="0" justifyLastLine="0" shrinkToFit="0" readingOrder="0"/>
      <border diagonalUp="0" diagonalDown="0" outline="0">
        <left/>
        <right/>
        <top/>
        <bottom/>
      </border>
      <protection locked="0" hidden="0"/>
    </dxf>
    <dxf>
      <font>
        <b val="0"/>
        <i val="0"/>
        <strike val="0"/>
        <outline val="0"/>
        <shadow val="0"/>
        <u val="none"/>
        <vertAlign val="baseline"/>
        <sz val="8"/>
        <color auto="1"/>
        <name val="Arial"/>
        <scheme val="none"/>
      </font>
      <alignment horizontal="center" vertical="bottom" textRotation="0" wrapText="0" indent="0" justifyLastLine="0" shrinkToFit="0" readingOrder="0"/>
      <protection locked="0" hidden="0"/>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alignment horizontal="center" vertical="bottom" textRotation="0" wrapText="0" indent="0" justifyLastLine="0" shrinkToFit="0" readingOrder="0"/>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30" formatCode="@"/>
      <fill>
        <patternFill patternType="none">
          <fgColor indexed="64"/>
          <bgColor indexed="65"/>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1" formatCode="0"/>
      <fill>
        <patternFill patternType="solid">
          <fgColor indexed="64"/>
          <bgColor theme="3" tint="0.59999389629810485"/>
        </patternFill>
      </fill>
      <alignment horizontal="center" vertical="center"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1" formatCode="0"/>
      <fill>
        <patternFill patternType="solid">
          <fgColor indexed="64"/>
          <bgColor theme="3" tint="0.59999389629810485"/>
        </patternFill>
      </fill>
      <alignment horizontal="center" vertical="center"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13" formatCode="0%"/>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13" formatCode="0%"/>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10"/>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10"/>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border diagonalUp="0" diagonalDown="0" outline="0">
        <left/>
        <right/>
        <top/>
        <bottom/>
      </border>
      <protection locked="0" hidden="0"/>
    </dxf>
    <dxf>
      <font>
        <b/>
        <i val="0"/>
        <strike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border diagonalUp="0" diagonalDown="0" outline="0">
        <left/>
        <right/>
        <top/>
        <bottom/>
      </border>
      <protection locked="0" hidden="0"/>
    </dxf>
    <dxf>
      <font>
        <b/>
        <i val="0"/>
        <strike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Arial"/>
        <scheme val="none"/>
      </font>
      <numFmt numFmtId="167"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6"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7"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6"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7"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6"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numFmt numFmtId="0" formatCode="General"/>
      <border diagonalUp="0" diagonalDown="0" outline="0">
        <left/>
        <right/>
        <top/>
        <bottom/>
      </border>
    </dxf>
    <dxf>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protection locked="1" hidden="0"/>
    </dxf>
    <dxf>
      <font>
        <b val="0"/>
        <i val="0"/>
        <strike val="0"/>
        <outline val="0"/>
        <shadow val="0"/>
        <u val="none"/>
        <vertAlign val="baseline"/>
        <name val="Arial"/>
        <scheme val="none"/>
      </font>
      <numFmt numFmtId="0" formatCode="Genera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center"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center" textRotation="0" wrapText="0" indent="0" justifyLastLine="0" shrinkToFit="0" readingOrder="0"/>
      <protection locked="0" hidden="0"/>
    </dxf>
    <dxf>
      <font>
        <b val="0"/>
        <i val="0"/>
        <strike val="0"/>
        <outline val="0"/>
        <shadow val="0"/>
        <u val="none"/>
        <vertAlign val="baseline"/>
        <name val="Arial"/>
        <scheme val="none"/>
      </font>
      <alignment textRotation="0" wrapText="0" indent="0" justifyLastLine="0" shrinkToFit="0" readingOrder="0"/>
      <protection locked="0" hidden="0"/>
    </dxf>
    <dxf>
      <font>
        <strike val="0"/>
        <outline val="0"/>
        <shadow val="0"/>
        <vertAlign val="baseline"/>
        <sz val="9"/>
        <name val="Arial"/>
        <scheme val="none"/>
      </font>
      <alignment horizontal="center" vertical="center" wrapText="0" indent="0" justifyLastLine="0" shrinkToFit="0" readingOrder="0"/>
      <protection locked="1" hidden="0"/>
    </dxf>
    <dxf>
      <font>
        <color auto="1"/>
      </font>
      <fill>
        <patternFill patternType="lightDown">
          <fgColor theme="9"/>
        </patternFill>
      </fill>
    </dxf>
    <dxf>
      <fill>
        <patternFill patternType="lightUp">
          <fgColor theme="9"/>
        </patternFill>
      </fill>
    </dxf>
    <dxf>
      <fill>
        <patternFill>
          <fgColor indexed="64"/>
          <bgColor theme="0"/>
        </patternFill>
      </fill>
    </dxf>
    <dxf>
      <font>
        <b val="0"/>
        <i val="0"/>
        <strike val="0"/>
        <color theme="0"/>
      </font>
      <fill>
        <patternFill patternType="solid">
          <fgColor auto="1"/>
          <bgColor rgb="FF996600"/>
        </patternFill>
      </fill>
      <border>
        <left style="thin">
          <color auto="1"/>
        </left>
        <right style="thin">
          <color auto="1"/>
        </right>
        <top style="thin">
          <color auto="1"/>
        </top>
        <bottom style="thin">
          <color auto="1"/>
        </bottom>
        <vertical/>
        <horizontal/>
      </border>
    </dxf>
    <dxf>
      <font>
        <color theme="0"/>
      </font>
      <fill>
        <patternFill>
          <bgColor rgb="FFFF0000"/>
        </patternFill>
      </fill>
    </dxf>
    <dxf>
      <font>
        <b/>
        <i val="0"/>
        <color rgb="FFFF0000"/>
      </font>
    </dxf>
    <dxf>
      <font>
        <b/>
        <i val="0"/>
        <color rgb="FF006600"/>
      </font>
    </dxf>
    <dxf>
      <font>
        <b/>
        <i val="0"/>
        <color rgb="FFFF0000"/>
      </font>
    </dxf>
    <dxf>
      <font>
        <b/>
        <i val="0"/>
        <color rgb="FF006600"/>
      </font>
    </dxf>
    <dxf>
      <font>
        <b/>
        <i val="0"/>
        <color rgb="FF0000FF"/>
      </font>
    </dxf>
    <dxf>
      <font>
        <b/>
        <i val="0"/>
        <color rgb="FF008000"/>
      </font>
      <fill>
        <patternFill>
          <bgColor theme="1"/>
        </patternFill>
      </fill>
    </dxf>
    <dxf>
      <font>
        <b/>
        <i val="0"/>
        <color rgb="FFFF0000"/>
      </font>
      <fill>
        <patternFill>
          <bgColor theme="1" tint="4.9989318521683403E-2"/>
        </patternFill>
      </fill>
    </dxf>
    <dxf>
      <font>
        <b/>
        <i val="0"/>
        <color theme="0"/>
      </font>
      <fill>
        <patternFill>
          <bgColor theme="1"/>
        </patternFill>
      </fill>
    </dxf>
    <dxf>
      <font>
        <b/>
        <i val="0"/>
        <color theme="0"/>
      </font>
      <fill>
        <patternFill>
          <bgColor rgb="FF008000"/>
        </patternFill>
      </fill>
    </dxf>
    <dxf>
      <font>
        <b/>
        <i val="0"/>
        <color theme="1"/>
      </font>
      <fill>
        <patternFill>
          <bgColor rgb="FFFFFF00"/>
        </patternFill>
      </fill>
    </dxf>
    <dxf>
      <font>
        <b/>
        <i val="0"/>
        <color theme="0"/>
      </font>
      <fill>
        <patternFill>
          <bgColor rgb="FFFF0000"/>
        </patternFill>
      </fill>
    </dxf>
    <dxf>
      <font>
        <b/>
        <i val="0"/>
        <color rgb="FFFFFF00"/>
      </font>
      <fill>
        <patternFill>
          <bgColor rgb="FFC00000"/>
        </patternFill>
      </fill>
    </dxf>
    <dxf>
      <fill>
        <patternFill>
          <bgColor theme="5" tint="0.39994506668294322"/>
        </patternFill>
      </fill>
    </dxf>
    <dxf>
      <fill>
        <patternFill>
          <bgColor rgb="FFFFC000"/>
        </patternFill>
      </fill>
    </dxf>
    <dxf>
      <font>
        <color theme="1"/>
      </font>
      <fill>
        <patternFill>
          <bgColor theme="0" tint="-0.34998626667073579"/>
        </patternFill>
      </fill>
    </dxf>
    <dxf>
      <font>
        <color theme="0"/>
      </font>
      <fill>
        <patternFill>
          <bgColor rgb="FF000000"/>
        </patternFill>
      </fill>
    </dxf>
    <dxf>
      <font>
        <color theme="0"/>
      </font>
      <fill>
        <patternFill>
          <bgColor rgb="FF7030A0"/>
        </patternFill>
      </fill>
    </dxf>
    <dxf>
      <font>
        <color theme="0"/>
      </font>
      <fill>
        <patternFill>
          <bgColor rgb="FFFF0000"/>
        </patternFill>
      </fill>
    </dxf>
    <dxf>
      <font>
        <color theme="0"/>
      </font>
      <fill>
        <patternFill>
          <bgColor rgb="FF006600"/>
        </patternFill>
      </fill>
    </dxf>
    <dxf>
      <fill>
        <patternFill>
          <bgColor rgb="FFFFFF00"/>
        </patternFill>
      </fill>
    </dxf>
    <dxf>
      <font>
        <color theme="1"/>
      </font>
      <fill>
        <patternFill>
          <bgColor theme="0" tint="-0.34998626667073579"/>
        </patternFill>
      </fill>
    </dxf>
    <dxf>
      <font>
        <color theme="0"/>
      </font>
      <fill>
        <patternFill>
          <bgColor rgb="FF000000"/>
        </patternFill>
      </fill>
    </dxf>
    <dxf>
      <font>
        <color theme="0"/>
      </font>
      <fill>
        <patternFill>
          <bgColor rgb="FF7030A0"/>
        </patternFill>
      </fill>
    </dxf>
    <dxf>
      <font>
        <color theme="0"/>
      </font>
      <fill>
        <patternFill>
          <bgColor rgb="FFFF0000"/>
        </patternFill>
      </fill>
    </dxf>
    <dxf>
      <font>
        <color theme="0"/>
      </font>
      <fill>
        <patternFill>
          <bgColor rgb="FF006600"/>
        </patternFill>
      </fill>
    </dxf>
    <dxf>
      <fill>
        <patternFill>
          <bgColor rgb="FFFFFF00"/>
        </patternFill>
      </fill>
    </dxf>
    <dxf>
      <font>
        <color rgb="FFFF0000"/>
      </font>
      <fill>
        <patternFill>
          <bgColor rgb="FFFFFFCC"/>
        </patternFill>
      </fill>
    </dxf>
    <dxf>
      <font>
        <color rgb="FFFFFF00"/>
      </font>
      <fill>
        <patternFill>
          <bgColor theme="1"/>
        </patternFill>
      </fill>
    </dxf>
    <dxf>
      <font>
        <color rgb="FFFFFF00"/>
      </font>
      <fill>
        <patternFill>
          <bgColor theme="1"/>
        </patternFill>
      </fill>
    </dxf>
    <dxf>
      <font>
        <color rgb="FFFFFF00"/>
      </font>
      <fill>
        <patternFill>
          <bgColor theme="1"/>
        </patternFill>
      </fill>
    </dxf>
    <dxf>
      <font>
        <color theme="0"/>
      </font>
    </dxf>
    <dxf>
      <fill>
        <patternFill>
          <bgColor theme="5" tint="0.39994506668294322"/>
        </patternFill>
      </fill>
    </dxf>
    <dxf>
      <fill>
        <patternFill>
          <bgColor rgb="FFFFC000"/>
        </patternFill>
      </fill>
    </dxf>
  </dxfs>
  <tableStyles count="0" defaultTableStyle="TableStyleMedium9" defaultPivotStyle="PivotStyleLight16"/>
  <colors>
    <mruColors>
      <color rgb="FF008000"/>
      <color rgb="FF996600"/>
      <color rgb="FF0000FF"/>
      <color rgb="FF000000"/>
      <color rgb="FFCBCBCB"/>
      <color rgb="FFFF3300"/>
      <color rgb="FF006600"/>
      <color rgb="FFCC0066"/>
      <color rgb="FF9966FF"/>
      <color rgb="FF33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microsoft.com/office/2007/relationships/slicerCache" Target="slicerCaches/slicerCache6.xml"/><Relationship Id="rId6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externalLink" Target="externalLinks/externalLink1.xml"/><Relationship Id="rId58" Type="http://schemas.microsoft.com/office/2007/relationships/slicerCache" Target="slicerCaches/slicerCache1.xml"/><Relationship Id="rId66" Type="http://schemas.openxmlformats.org/officeDocument/2006/relationships/theme" Target="theme/theme1.xml"/><Relationship Id="rId74" Type="http://schemas.microsoft.com/office/2006/relationships/vbaProject" Target="vbaProject.bin"/><Relationship Id="rId5" Type="http://schemas.openxmlformats.org/officeDocument/2006/relationships/worksheet" Target="worksheets/sheet5.xml"/><Relationship Id="rId61" Type="http://schemas.microsoft.com/office/2007/relationships/slicerCache" Target="slicerCaches/slicerCache4.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3.xml"/><Relationship Id="rId64" Type="http://schemas.microsoft.com/office/2007/relationships/slicerCache" Target="slicerCaches/slicerCache7.xml"/><Relationship Id="rId69"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07/relationships/slicerCache" Target="slicerCaches/slicerCache2.xml"/><Relationship Id="rId67"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1.xml"/><Relationship Id="rId62" Type="http://schemas.microsoft.com/office/2007/relationships/slicerCache" Target="slicerCaches/slicerCache5.xml"/><Relationship Id="rId7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4.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microsoft.com/office/2007/relationships/slicerCache" Target="slicerCaches/slicerCache3.xml"/><Relationship Id="rId65" Type="http://schemas.microsoft.com/office/2007/relationships/slicerCache" Target="slicerCaches/slicerCache8.xml"/><Relationship Id="rId73"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pivotCacheDefinition" Target="pivotCache/pivotCacheDefinition2.xml"/><Relationship Id="rId7" Type="http://schemas.openxmlformats.org/officeDocument/2006/relationships/worksheet" Target="worksheets/sheet7.xml"/><Relationship Id="rId71"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8BD21D10-EC42-11CE-9E0D-00AA006002F3}"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[Control Buffers.xlsm]GráficoDin!TD_Evolucion_Buffers</c:name>
    <c:fmtId val="3"/>
  </c:pivotSource>
  <c:chart>
    <c:title>
      <c:tx>
        <c:rich>
          <a:bodyPr rot="0" spcFirstLastPara="1" vertOverflow="ellipsis" vert="horz" wrap="square" anchor="ctr" anchorCtr="1"/>
          <a:lstStyle/>
          <a:p>
            <a:pPr>
              <a:defRPr sz="1430" b="0" i="0" u="none" strike="noStrike" kern="1200" spc="0" baseline="0">
                <a:solidFill>
                  <a:schemeClr val="bg1"/>
                </a:solidFill>
                <a:latin typeface="+mn-lt"/>
                <a:ea typeface="+mn-ea"/>
                <a:cs typeface="+mn-cs"/>
              </a:defRPr>
            </a:pPr>
            <a:r>
              <a:rPr lang="en-US" sz="1430" baseline="0">
                <a:solidFill>
                  <a:schemeClr val="bg1"/>
                </a:solidFill>
              </a:rPr>
              <a:t>110207181356778   MOTOSIERRA CS-680-70 CON BARRA Y CADENA</a:t>
            </a:r>
          </a:p>
        </c:rich>
      </c:tx>
      <c:layout>
        <c:manualLayout>
          <c:xMode val="edge"/>
          <c:yMode val="edge"/>
          <c:x val="5.5226392152783105E-2"/>
          <c:y val="1.9203443940847588E-2"/>
        </c:manualLayout>
      </c:layout>
      <c:overlay val="0"/>
      <c:spPr>
        <a:noFill/>
        <a:ln>
          <a:noFill/>
        </a:ln>
        <a:effectLst/>
      </c:spPr>
      <c:txPr>
        <a:bodyPr rot="0" spcFirstLastPara="1" vertOverflow="ellipsis" vert="horz" wrap="square" anchor="ctr" anchorCtr="1"/>
        <a:lstStyle/>
        <a:p>
          <a:pPr>
            <a:defRPr sz="1430" b="0" i="0" u="none" strike="noStrike" kern="1200" spc="0" baseline="0">
              <a:solidFill>
                <a:schemeClr val="bg1"/>
              </a:solidFill>
              <a:latin typeface="+mn-lt"/>
              <a:ea typeface="+mn-ea"/>
              <a:cs typeface="+mn-cs"/>
            </a:defRPr>
          </a:pPr>
          <a:endParaRPr lang="es-EC"/>
        </a:p>
      </c:txPr>
    </c:title>
    <c:autoTitleDeleted val="0"/>
    <c:pivotFmts>
      <c:pivotFmt>
        <c:idx val="0"/>
        <c:spPr>
          <a:solidFill>
            <a:schemeClr val="accent1"/>
          </a:solidFill>
          <a:ln w="28575" cap="rnd">
            <a:solidFill>
              <a:sysClr val="windowText" lastClr="000000"/>
            </a:solidFill>
            <a:round/>
          </a:ln>
          <a:effectLst/>
        </c:spPr>
        <c:marker>
          <c:symbol val="none"/>
        </c:marker>
      </c:pivotFmt>
      <c:pivotFmt>
        <c:idx val="1"/>
        <c:spPr>
          <a:solidFill>
            <a:schemeClr val="accent1"/>
          </a:solidFill>
          <a:ln w="28575" cap="rnd">
            <a:solidFill>
              <a:sysClr val="windowText" lastClr="000000"/>
            </a:solidFill>
            <a:round/>
          </a:ln>
          <a:effectLst/>
        </c:spPr>
        <c:marker>
          <c:symbol val="none"/>
        </c:marker>
      </c:pivotFmt>
      <c:pivotFmt>
        <c:idx val="2"/>
        <c:spPr>
          <a:solidFill>
            <a:srgbClr val="006600"/>
          </a:solidFill>
          <a:ln>
            <a:noFill/>
          </a:ln>
          <a:effectLst/>
        </c:spPr>
        <c:marker>
          <c:symbol val="none"/>
        </c:marker>
      </c:pivotFmt>
      <c:pivotFmt>
        <c:idx val="3"/>
        <c:spPr>
          <a:solidFill>
            <a:srgbClr val="FFFF00"/>
          </a:solidFill>
          <a:ln>
            <a:noFill/>
          </a:ln>
          <a:effectLst/>
        </c:spPr>
        <c:marker>
          <c:symbol val="none"/>
        </c:marker>
      </c:pivotFmt>
      <c:pivotFmt>
        <c:idx val="4"/>
        <c:spPr>
          <a:solidFill>
            <a:srgbClr val="FF0000"/>
          </a:solidFill>
          <a:ln>
            <a:noFill/>
          </a:ln>
          <a:effectLst/>
        </c:spPr>
        <c:marker>
          <c:symbol val="none"/>
        </c:marker>
      </c:pivotFmt>
      <c:pivotFmt>
        <c:idx val="5"/>
        <c:spPr>
          <a:solidFill>
            <a:schemeClr val="accent1"/>
          </a:solidFill>
          <a:ln w="28575" cap="rnd">
            <a:solidFill>
              <a:schemeClr val="accent4">
                <a:lumMod val="75000"/>
              </a:schemeClr>
            </a:solidFill>
            <a:round/>
          </a:ln>
          <a:effectLst/>
        </c:spPr>
        <c:marker>
          <c:symbol val="none"/>
        </c:marker>
      </c:pivotFmt>
      <c:pivotFmt>
        <c:idx val="6"/>
        <c:spPr>
          <a:solidFill>
            <a:srgbClr val="006600"/>
          </a:solidFill>
          <a:ln>
            <a:noFill/>
          </a:ln>
          <a:effectLst/>
          <a:scene3d>
            <a:camera prst="orthographicFront"/>
            <a:lightRig rig="threePt" dir="t"/>
          </a:scene3d>
          <a:sp3d>
            <a:bevelT/>
          </a:sp3d>
        </c:spPr>
        <c:marker>
          <c:symbol val="none"/>
        </c:marker>
      </c:pivotFmt>
      <c:pivotFmt>
        <c:idx val="7"/>
        <c:spPr>
          <a:solidFill>
            <a:srgbClr val="FFFF00"/>
          </a:solidFill>
          <a:ln>
            <a:noFill/>
          </a:ln>
          <a:effectLst/>
          <a:scene3d>
            <a:camera prst="orthographicFront"/>
            <a:lightRig rig="threePt" dir="t"/>
          </a:scene3d>
          <a:sp3d>
            <a:bevelT/>
          </a:sp3d>
        </c:spPr>
        <c:marker>
          <c:symbol val="none"/>
        </c:marker>
      </c:pivotFmt>
      <c:pivotFmt>
        <c:idx val="8"/>
        <c:spPr>
          <a:solidFill>
            <a:srgbClr val="FF0000"/>
          </a:solidFill>
          <a:ln>
            <a:noFill/>
          </a:ln>
          <a:effectLst/>
          <a:scene3d>
            <a:camera prst="orthographicFront"/>
            <a:lightRig rig="threePt" dir="t"/>
          </a:scene3d>
          <a:sp3d>
            <a:bevelT/>
          </a:sp3d>
        </c:spPr>
        <c:marker>
          <c:symbol val="none"/>
        </c:marker>
      </c:pivotFmt>
      <c:pivotFmt>
        <c:idx val="9"/>
        <c:spPr>
          <a:solidFill>
            <a:schemeClr val="accent1"/>
          </a:solidFill>
          <a:ln w="38100" cap="rnd">
            <a:solidFill>
              <a:sysClr val="windowText" lastClr="000000"/>
            </a:solidFill>
            <a:round/>
          </a:ln>
          <a:effectLst/>
        </c:spPr>
        <c:marker>
          <c:symbol val="none"/>
        </c:marker>
      </c:pivotFmt>
      <c:pivotFmt>
        <c:idx val="10"/>
        <c:spPr>
          <a:solidFill>
            <a:schemeClr val="accent1"/>
          </a:solidFill>
          <a:ln w="25400" cap="rnd">
            <a:solidFill>
              <a:srgbClr val="6600CC"/>
            </a:solidFill>
            <a:round/>
          </a:ln>
          <a:effectLst/>
        </c:spPr>
        <c:marker>
          <c:symbol val="none"/>
        </c:marker>
      </c:pivotFmt>
      <c:pivotFmt>
        <c:idx val="11"/>
        <c:spPr>
          <a:solidFill>
            <a:schemeClr val="accent1"/>
          </a:solidFill>
          <a:ln w="34925" cap="rnd">
            <a:solidFill>
              <a:schemeClr val="accent4">
                <a:lumMod val="75000"/>
              </a:schemeClr>
            </a:solidFill>
            <a:round/>
          </a:ln>
          <a:effectLst/>
        </c:spPr>
        <c:marker>
          <c:symbol val="none"/>
        </c:marker>
      </c:pivotFmt>
      <c:pivotFmt>
        <c:idx val="12"/>
      </c:pivotFmt>
      <c:pivotFmt>
        <c:idx val="13"/>
        <c:spPr>
          <a:solidFill>
            <a:schemeClr val="accent1"/>
          </a:solidFill>
          <a:ln w="25400" cap="rnd">
            <a:solidFill>
              <a:srgbClr val="6600CC"/>
            </a:solidFill>
            <a:round/>
          </a:ln>
          <a:effectLst/>
        </c:spPr>
        <c:marker>
          <c:symbol val="none"/>
        </c:marker>
      </c:pivotFmt>
      <c:pivotFmt>
        <c:idx val="14"/>
      </c:pivotFmt>
      <c:pivotFmt>
        <c:idx val="15"/>
        <c:spPr>
          <a:solidFill>
            <a:schemeClr val="accent1"/>
          </a:solidFill>
          <a:ln w="25400" cap="rnd">
            <a:solidFill>
              <a:srgbClr val="6600CC"/>
            </a:solidFill>
            <a:round/>
          </a:ln>
          <a:effectLst/>
        </c:spPr>
        <c:marker>
          <c:symbol val="none"/>
        </c:marker>
      </c:pivotFmt>
      <c:pivotFmt>
        <c:idx val="16"/>
        <c:spPr>
          <a:solidFill>
            <a:schemeClr val="accent1"/>
          </a:solidFill>
          <a:ln w="38100" cap="rnd">
            <a:solidFill>
              <a:sysClr val="windowText" lastClr="000000"/>
            </a:solidFill>
            <a:round/>
          </a:ln>
          <a:effectLst/>
        </c:spPr>
        <c:marker>
          <c:symbol val="none"/>
        </c:marker>
      </c:pivotFmt>
      <c:pivotFmt>
        <c:idx val="17"/>
        <c:marker>
          <c:symbol val="none"/>
        </c:marker>
      </c:pivotFmt>
      <c:pivotFmt>
        <c:idx val="18"/>
      </c:pivotFmt>
      <c:pivotFmt>
        <c:idx val="19"/>
        <c:spPr>
          <a:solidFill>
            <a:schemeClr val="accent1"/>
          </a:solidFill>
          <a:ln w="25400" cap="rnd">
            <a:solidFill>
              <a:srgbClr val="6600CC"/>
            </a:solidFill>
            <a:round/>
          </a:ln>
          <a:effectLst/>
        </c:spPr>
        <c:marker>
          <c:symbol val="none"/>
        </c:marker>
      </c:pivotFmt>
      <c:pivotFmt>
        <c:idx val="20"/>
        <c:spPr>
          <a:solidFill>
            <a:schemeClr val="accent1"/>
          </a:solidFill>
          <a:ln w="38100" cap="rnd">
            <a:solidFill>
              <a:sysClr val="windowText" lastClr="000000"/>
            </a:solidFill>
            <a:round/>
          </a:ln>
          <a:effectLst/>
        </c:spPr>
        <c:marker>
          <c:symbol val="none"/>
        </c:marker>
      </c:pivotFmt>
      <c:pivotFmt>
        <c:idx val="21"/>
        <c:spPr>
          <a:solidFill>
            <a:schemeClr val="accent1"/>
          </a:solidFill>
          <a:ln w="38100" cap="rnd">
            <a:solidFill>
              <a:sysClr val="windowText" lastClr="000000"/>
            </a:solidFill>
            <a:round/>
          </a:ln>
          <a:effectLst/>
        </c:spPr>
        <c:marker>
          <c:symbol val="none"/>
        </c:marker>
      </c:pivotFmt>
      <c:pivotFmt>
        <c:idx val="22"/>
        <c:spPr>
          <a:solidFill>
            <a:schemeClr val="accent1"/>
          </a:solidFill>
          <a:ln w="25400" cap="rnd">
            <a:solidFill>
              <a:srgbClr val="6600CC"/>
            </a:solidFill>
            <a:round/>
          </a:ln>
          <a:effectLst/>
        </c:spPr>
        <c:marker>
          <c:symbol val="none"/>
        </c:marker>
      </c:pivotFmt>
      <c:pivotFmt>
        <c:idx val="23"/>
        <c:spPr>
          <a:solidFill>
            <a:schemeClr val="accent1"/>
          </a:solidFill>
          <a:ln w="38100" cap="rnd">
            <a:solidFill>
              <a:sysClr val="windowText" lastClr="000000"/>
            </a:solidFill>
            <a:round/>
          </a:ln>
          <a:effectLst/>
        </c:spPr>
        <c:marker>
          <c:symbol val="none"/>
        </c:marker>
      </c:pivotFmt>
      <c:pivotFmt>
        <c:idx val="24"/>
        <c:spPr>
          <a:solidFill>
            <a:schemeClr val="accent1"/>
          </a:solidFill>
          <a:ln w="38100" cap="rnd">
            <a:solidFill>
              <a:sysClr val="windowText" lastClr="000000"/>
            </a:solidFill>
            <a:round/>
          </a:ln>
          <a:effectLst/>
        </c:spPr>
        <c:marker>
          <c:symbol val="none"/>
        </c:marker>
      </c:pivotFmt>
      <c:pivotFmt>
        <c:idx val="25"/>
        <c:spPr>
          <a:solidFill>
            <a:schemeClr val="accent1"/>
          </a:solidFill>
          <a:ln w="25400" cap="rnd">
            <a:solidFill>
              <a:srgbClr val="6600CC"/>
            </a:solidFill>
            <a:round/>
          </a:ln>
          <a:effectLst/>
        </c:spPr>
        <c:marker>
          <c:symbol val="none"/>
        </c:marker>
      </c:pivotFmt>
      <c:pivotFmt>
        <c:idx val="26"/>
        <c:spPr>
          <a:solidFill>
            <a:schemeClr val="accent1"/>
          </a:solidFill>
          <a:ln w="38100" cap="rnd">
            <a:solidFill>
              <a:sysClr val="windowText" lastClr="000000"/>
            </a:solidFill>
            <a:round/>
          </a:ln>
          <a:effectLst/>
        </c:spPr>
        <c:marker>
          <c:symbol val="none"/>
        </c:marker>
      </c:pivotFmt>
      <c:pivotFmt>
        <c:idx val="27"/>
        <c:spPr>
          <a:solidFill>
            <a:schemeClr val="accent1"/>
          </a:solidFill>
          <a:ln w="38100" cap="rnd">
            <a:solidFill>
              <a:sysClr val="windowText" lastClr="000000"/>
            </a:solidFill>
            <a:round/>
          </a:ln>
          <a:effectLst/>
        </c:spPr>
        <c:marker>
          <c:symbol val="none"/>
        </c:marker>
      </c:pivotFmt>
      <c:pivotFmt>
        <c:idx val="28"/>
        <c:spPr>
          <a:solidFill>
            <a:schemeClr val="accent1"/>
          </a:solidFill>
          <a:ln w="25400" cap="rnd">
            <a:solidFill>
              <a:srgbClr val="6600CC"/>
            </a:solidFill>
            <a:round/>
          </a:ln>
          <a:effectLst/>
        </c:spPr>
        <c:marker>
          <c:symbol val="none"/>
        </c:marker>
      </c:pivotFmt>
      <c:pivotFmt>
        <c:idx val="29"/>
        <c:spPr>
          <a:solidFill>
            <a:schemeClr val="accent1"/>
          </a:solidFill>
          <a:ln w="38100" cap="rnd">
            <a:solidFill>
              <a:sysClr val="windowText" lastClr="000000"/>
            </a:solidFill>
            <a:round/>
          </a:ln>
          <a:effectLst/>
        </c:spPr>
        <c:marker>
          <c:symbol val="none"/>
        </c:marker>
      </c:pivotFmt>
      <c:pivotFmt>
        <c:idx val="30"/>
        <c:spPr>
          <a:solidFill>
            <a:schemeClr val="accent1"/>
          </a:solidFill>
          <a:ln w="38100" cap="rnd">
            <a:solidFill>
              <a:sysClr val="windowText" lastClr="000000"/>
            </a:solidFill>
            <a:round/>
          </a:ln>
          <a:effectLst/>
        </c:spPr>
        <c:marker>
          <c:symbol val="none"/>
        </c:marker>
      </c:pivotFmt>
      <c:pivotFmt>
        <c:idx val="31"/>
        <c:spPr>
          <a:solidFill>
            <a:schemeClr val="accent1"/>
          </a:solidFill>
          <a:ln w="25400" cap="rnd">
            <a:solidFill>
              <a:srgbClr val="6600CC"/>
            </a:solidFill>
            <a:round/>
          </a:ln>
          <a:effectLst/>
        </c:spPr>
        <c:marker>
          <c:symbol val="none"/>
        </c:marker>
      </c:pivotFmt>
      <c:pivotFmt>
        <c:idx val="32"/>
        <c:spPr>
          <a:solidFill>
            <a:schemeClr val="accent1"/>
          </a:solidFill>
          <a:ln w="38100" cap="rnd">
            <a:solidFill>
              <a:sysClr val="windowText" lastClr="000000"/>
            </a:solidFill>
            <a:round/>
          </a:ln>
          <a:effectLst/>
        </c:spPr>
        <c:marker>
          <c:symbol val="none"/>
        </c:marker>
      </c:pivotFmt>
      <c:pivotFmt>
        <c:idx val="33"/>
        <c:spPr>
          <a:solidFill>
            <a:schemeClr val="accent1"/>
          </a:solidFill>
          <a:ln w="38100" cap="rnd">
            <a:solidFill>
              <a:sysClr val="windowText" lastClr="000000"/>
            </a:solidFill>
            <a:round/>
          </a:ln>
          <a:effectLst/>
        </c:spPr>
        <c:marker>
          <c:symbol val="none"/>
        </c:marker>
      </c:pivotFmt>
    </c:pivotFmts>
    <c:plotArea>
      <c:layout>
        <c:manualLayout>
          <c:layoutTarget val="inner"/>
          <c:xMode val="edge"/>
          <c:yMode val="edge"/>
          <c:x val="5.0711316257881556E-2"/>
          <c:y val="7.9153234258250604E-2"/>
          <c:w val="0.91288894412437438"/>
          <c:h val="0.66578950087532063"/>
        </c:manualLayout>
      </c:layout>
      <c:areaChart>
        <c:grouping val="standard"/>
        <c:varyColors val="0"/>
        <c:dLbls>
          <c:showLegendKey val="0"/>
          <c:showVal val="0"/>
          <c:showCatName val="0"/>
          <c:showSerName val="0"/>
          <c:showPercent val="0"/>
          <c:showBubbleSize val="0"/>
        </c:dLbls>
        <c:axId val="259198736"/>
        <c:axId val="259199296"/>
      </c:areaChart>
      <c:lineChart>
        <c:grouping val="standard"/>
        <c:varyColors val="0"/>
        <c:dLbls>
          <c:showLegendKey val="0"/>
          <c:showVal val="0"/>
          <c:showCatName val="0"/>
          <c:showSerName val="0"/>
          <c:showPercent val="0"/>
          <c:showBubbleSize val="0"/>
        </c:dLbls>
        <c:marker val="1"/>
        <c:smooth val="0"/>
        <c:axId val="259198736"/>
        <c:axId val="259199296"/>
      </c:lineChart>
      <c:catAx>
        <c:axId val="25919873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C"/>
          </a:p>
        </c:txPr>
        <c:crossAx val="259199296"/>
        <c:crosses val="autoZero"/>
        <c:auto val="1"/>
        <c:lblAlgn val="ctr"/>
        <c:lblOffset val="80"/>
        <c:noMultiLvlLbl val="0"/>
      </c:catAx>
      <c:valAx>
        <c:axId val="2591992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C"/>
          </a:p>
        </c:txPr>
        <c:crossAx val="259198736"/>
        <c:crosses val="autoZero"/>
        <c:crossBetween val="between"/>
      </c:valAx>
      <c:spPr>
        <a:solidFill>
          <a:schemeClr val="accent4">
            <a:lumMod val="60000"/>
            <a:lumOff val="40000"/>
          </a:schemeClr>
        </a:solidFill>
        <a:ln>
          <a:noFill/>
        </a:ln>
        <a:effectLst/>
      </c:spPr>
    </c:plotArea>
    <c:plotVisOnly val="1"/>
    <c:dispBlanksAs val="gap"/>
    <c:showDLblsOverMax val="0"/>
  </c:chart>
  <c:spPr>
    <a:solidFill>
      <a:schemeClr val="tx1"/>
    </a:solidFill>
    <a:ln w="9525" cap="flat" cmpd="sng" algn="ctr">
      <a:solidFill>
        <a:schemeClr val="tx1">
          <a:lumMod val="15000"/>
          <a:lumOff val="85000"/>
        </a:schemeClr>
      </a:solidFill>
      <a:round/>
    </a:ln>
    <a:effectLst/>
  </c:spPr>
  <c:txPr>
    <a:bodyPr/>
    <a:lstStyle/>
    <a:p>
      <a:pPr>
        <a:defRPr/>
      </a:pPr>
      <a:endParaRPr lang="es-EC"/>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47"/>
    </mc:Choice>
    <mc:Fallback>
      <c:style val="47"/>
    </mc:Fallback>
  </mc:AlternateContent>
  <c:clrMapOvr bg1="lt1" tx1="dk1" bg2="lt2" tx2="dk2" accent1="accent1" accent2="accent2" accent3="accent3" accent4="accent4" accent5="accent5" accent6="accent6" hlink="hlink" folHlink="folHlink"/>
  <c:pivotSource>
    <c:name>[Control Buffers.xlsm]GráficoDin!TD_Grafico_Dinamico</c:name>
    <c:fmtId val="0"/>
  </c:pivotSource>
  <c:chart>
    <c:title>
      <c:tx>
        <c:rich>
          <a:bodyPr/>
          <a:lstStyle/>
          <a:p>
            <a:pPr algn="ctr">
              <a:defRPr lang="en-US" sz="1600"/>
            </a:pPr>
            <a:r>
              <a:rPr lang="en-US" sz="1600"/>
              <a:t>10000000974   DESMALEZADORA B450 AUS</a:t>
            </a:r>
          </a:p>
        </c:rich>
      </c:tx>
      <c:layout>
        <c:manualLayout>
          <c:xMode val="edge"/>
          <c:yMode val="edge"/>
          <c:x val="2.1731534075163858E-3"/>
          <c:y val="1.4603716089960425E-2"/>
        </c:manualLayout>
      </c:layout>
      <c:overlay val="0"/>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marker>
          <c:symbol val="none"/>
        </c:marker>
      </c:pivotFmt>
      <c:pivotFmt>
        <c:idx val="54"/>
        <c:marker>
          <c:symbol val="none"/>
        </c:marker>
      </c:pivotFmt>
      <c:pivotFmt>
        <c:idx val="55"/>
        <c:marker>
          <c:symbol val="none"/>
        </c:marker>
      </c:pivotFmt>
      <c:pivotFmt>
        <c:idx val="56"/>
        <c:marker>
          <c:symbol val="none"/>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marker>
          <c:symbol val="none"/>
        </c:marker>
      </c:pivotFmt>
      <c:pivotFmt>
        <c:idx val="63"/>
        <c:marker>
          <c:symbol val="none"/>
        </c:marker>
      </c:pivotFmt>
      <c:pivotFmt>
        <c:idx val="64"/>
        <c:marker>
          <c:symbol val="none"/>
        </c:marker>
      </c:pivotFmt>
      <c:pivotFmt>
        <c:idx val="65"/>
        <c:marker>
          <c:symbol val="none"/>
        </c:marker>
      </c:pivotFmt>
      <c:pivotFmt>
        <c:idx val="66"/>
        <c:marker>
          <c:symbol val="none"/>
        </c:marker>
      </c:pivotFmt>
      <c:pivotFmt>
        <c:idx val="67"/>
        <c:marker>
          <c:symbol val="none"/>
        </c:marker>
      </c:pivotFmt>
      <c:pivotFmt>
        <c:idx val="68"/>
        <c:marker>
          <c:symbol val="none"/>
        </c:marker>
      </c:pivotFmt>
      <c:pivotFmt>
        <c:idx val="69"/>
        <c:marker>
          <c:symbol val="none"/>
        </c:marker>
      </c:pivotFmt>
      <c:pivotFmt>
        <c:idx val="70"/>
        <c:marker>
          <c:symbol val="none"/>
        </c:marker>
      </c:pivotFmt>
      <c:pivotFmt>
        <c:idx val="71"/>
        <c:marker>
          <c:symbol val="none"/>
        </c:marker>
      </c:pivotFmt>
      <c:pivotFmt>
        <c:idx val="72"/>
        <c:marker>
          <c:symbol val="none"/>
        </c:marker>
      </c:pivotFmt>
      <c:pivotFmt>
        <c:idx val="73"/>
        <c:marker>
          <c:symbol val="none"/>
        </c:marker>
      </c:pivotFmt>
      <c:pivotFmt>
        <c:idx val="74"/>
        <c:marker>
          <c:symbol val="none"/>
        </c:marker>
      </c:pivotFmt>
      <c:pivotFmt>
        <c:idx val="75"/>
        <c:marker>
          <c:symbol val="none"/>
        </c:marker>
      </c:pivotFmt>
      <c:pivotFmt>
        <c:idx val="76"/>
        <c:marker>
          <c:symbol val="none"/>
        </c:marker>
      </c:pivotFmt>
      <c:pivotFmt>
        <c:idx val="77"/>
        <c:marker>
          <c:symbol val="none"/>
        </c:marker>
      </c:pivotFmt>
      <c:pivotFmt>
        <c:idx val="78"/>
        <c:marker>
          <c:symbol val="none"/>
        </c:marker>
      </c:pivotFmt>
      <c:pivotFmt>
        <c:idx val="79"/>
        <c:marker>
          <c:symbol val="none"/>
        </c:marker>
      </c:pivotFmt>
      <c:pivotFmt>
        <c:idx val="80"/>
        <c:marker>
          <c:symbol val="none"/>
        </c:marker>
      </c:pivotFmt>
      <c:pivotFmt>
        <c:idx val="81"/>
        <c:marker>
          <c:symbol val="none"/>
        </c:marker>
      </c:pivotFmt>
      <c:pivotFmt>
        <c:idx val="82"/>
        <c:marker>
          <c:symbol val="none"/>
        </c:marker>
      </c:pivotFmt>
      <c:pivotFmt>
        <c:idx val="83"/>
        <c:marker>
          <c:symbol val="none"/>
        </c:marker>
      </c:pivotFmt>
      <c:pivotFmt>
        <c:idx val="84"/>
        <c:marker>
          <c:symbol val="none"/>
        </c:marker>
      </c:pivotFmt>
      <c:pivotFmt>
        <c:idx val="85"/>
        <c:marker>
          <c:symbol val="none"/>
        </c:marker>
      </c:pivotFmt>
      <c:pivotFmt>
        <c:idx val="86"/>
        <c:marker>
          <c:symbol val="none"/>
        </c:marker>
      </c:pivotFmt>
      <c:pivotFmt>
        <c:idx val="87"/>
        <c:marker>
          <c:symbol val="none"/>
        </c:marker>
      </c:pivotFmt>
      <c:pivotFmt>
        <c:idx val="88"/>
        <c:marker>
          <c:symbol val="none"/>
        </c:marker>
      </c:pivotFmt>
      <c:pivotFmt>
        <c:idx val="89"/>
        <c:marker>
          <c:symbol val="none"/>
        </c:marker>
      </c:pivotFmt>
      <c:pivotFmt>
        <c:idx val="90"/>
        <c:marker>
          <c:symbol val="none"/>
        </c:marker>
      </c:pivotFmt>
      <c:pivotFmt>
        <c:idx val="91"/>
        <c:marker>
          <c:symbol val="none"/>
        </c:marker>
      </c:pivotFmt>
      <c:pivotFmt>
        <c:idx val="92"/>
        <c:marker>
          <c:symbol val="none"/>
        </c:marker>
      </c:pivotFmt>
      <c:pivotFmt>
        <c:idx val="93"/>
        <c:marker>
          <c:symbol val="none"/>
        </c:marker>
      </c:pivotFmt>
      <c:pivotFmt>
        <c:idx val="94"/>
        <c:marker>
          <c:symbol val="none"/>
        </c:marker>
      </c:pivotFmt>
      <c:pivotFmt>
        <c:idx val="95"/>
        <c:marker>
          <c:symbol val="none"/>
        </c:marker>
      </c:pivotFmt>
      <c:pivotFmt>
        <c:idx val="96"/>
        <c:marker>
          <c:symbol val="none"/>
        </c:marker>
      </c:pivotFmt>
      <c:pivotFmt>
        <c:idx val="97"/>
        <c:marker>
          <c:symbol val="none"/>
        </c:marker>
      </c:pivotFmt>
      <c:pivotFmt>
        <c:idx val="98"/>
        <c:marker>
          <c:symbol val="none"/>
        </c:marker>
      </c:pivotFmt>
      <c:pivotFmt>
        <c:idx val="99"/>
        <c:marker>
          <c:symbol val="none"/>
        </c:marker>
      </c:pivotFmt>
      <c:pivotFmt>
        <c:idx val="100"/>
        <c:marker>
          <c:symbol val="none"/>
        </c:marker>
      </c:pivotFmt>
      <c:pivotFmt>
        <c:idx val="101"/>
        <c:marker>
          <c:symbol val="none"/>
        </c:marker>
      </c:pivotFmt>
      <c:pivotFmt>
        <c:idx val="102"/>
        <c:marker>
          <c:symbol val="none"/>
        </c:marker>
      </c:pivotFmt>
      <c:pivotFmt>
        <c:idx val="103"/>
        <c:marker>
          <c:symbol val="none"/>
        </c:marker>
      </c:pivotFmt>
      <c:pivotFmt>
        <c:idx val="104"/>
        <c:marker>
          <c:symbol val="none"/>
        </c:marker>
      </c:pivotFmt>
      <c:pivotFmt>
        <c:idx val="105"/>
        <c:marker>
          <c:symbol val="none"/>
        </c:marker>
      </c:pivotFmt>
      <c:pivotFmt>
        <c:idx val="106"/>
        <c:marker>
          <c:symbol val="none"/>
        </c:marker>
      </c:pivotFmt>
      <c:pivotFmt>
        <c:idx val="107"/>
        <c:marker>
          <c:symbol val="none"/>
        </c:marker>
      </c:pivotFmt>
      <c:pivotFmt>
        <c:idx val="108"/>
        <c:marker>
          <c:symbol val="none"/>
        </c:marker>
      </c:pivotFmt>
      <c:pivotFmt>
        <c:idx val="109"/>
        <c:marker>
          <c:symbol val="none"/>
        </c:marker>
      </c:pivotFmt>
      <c:pivotFmt>
        <c:idx val="110"/>
        <c:marker>
          <c:symbol val="none"/>
        </c:marker>
      </c:pivotFmt>
      <c:pivotFmt>
        <c:idx val="111"/>
        <c:marker>
          <c:symbol val="none"/>
        </c:marker>
      </c:pivotFmt>
      <c:pivotFmt>
        <c:idx val="112"/>
        <c:marker>
          <c:symbol val="none"/>
        </c:marker>
      </c:pivotFmt>
      <c:pivotFmt>
        <c:idx val="113"/>
        <c:marker>
          <c:symbol val="none"/>
        </c:marker>
      </c:pivotFmt>
      <c:pivotFmt>
        <c:idx val="114"/>
        <c:marker>
          <c:symbol val="none"/>
        </c:marker>
      </c:pivotFmt>
      <c:pivotFmt>
        <c:idx val="115"/>
        <c:marker>
          <c:symbol val="none"/>
        </c:marker>
      </c:pivotFmt>
      <c:pivotFmt>
        <c:idx val="116"/>
        <c:marker>
          <c:symbol val="none"/>
        </c:marker>
      </c:pivotFmt>
      <c:pivotFmt>
        <c:idx val="117"/>
        <c:marker>
          <c:symbol val="none"/>
        </c:marker>
      </c:pivotFmt>
      <c:pivotFmt>
        <c:idx val="118"/>
        <c:marker>
          <c:symbol val="none"/>
        </c:marker>
      </c:pivotFmt>
      <c:pivotFmt>
        <c:idx val="119"/>
        <c:marker>
          <c:symbol val="none"/>
        </c:marker>
      </c:pivotFmt>
      <c:pivotFmt>
        <c:idx val="120"/>
        <c:marker>
          <c:symbol val="none"/>
        </c:marker>
      </c:pivotFmt>
      <c:pivotFmt>
        <c:idx val="121"/>
        <c:marker>
          <c:symbol val="none"/>
        </c:marker>
      </c:pivotFmt>
      <c:pivotFmt>
        <c:idx val="122"/>
        <c:marker>
          <c:symbol val="none"/>
        </c:marker>
      </c:pivotFmt>
      <c:pivotFmt>
        <c:idx val="123"/>
        <c:marker>
          <c:symbol val="none"/>
        </c:marker>
      </c:pivotFmt>
      <c:pivotFmt>
        <c:idx val="124"/>
        <c:marker>
          <c:symbol val="none"/>
        </c:marker>
      </c:pivotFmt>
      <c:pivotFmt>
        <c:idx val="125"/>
        <c:marker>
          <c:symbol val="none"/>
        </c:marker>
      </c:pivotFmt>
      <c:pivotFmt>
        <c:idx val="126"/>
        <c:marker>
          <c:symbol val="none"/>
        </c:marker>
      </c:pivotFmt>
      <c:pivotFmt>
        <c:idx val="127"/>
        <c:marker>
          <c:symbol val="none"/>
        </c:marker>
      </c:pivotFmt>
      <c:pivotFmt>
        <c:idx val="128"/>
        <c:marker>
          <c:symbol val="none"/>
        </c:marker>
      </c:pivotFmt>
      <c:pivotFmt>
        <c:idx val="129"/>
        <c:marker>
          <c:symbol val="none"/>
        </c:marker>
      </c:pivotFmt>
      <c:pivotFmt>
        <c:idx val="130"/>
        <c:marker>
          <c:symbol val="none"/>
        </c:marker>
      </c:pivotFmt>
      <c:pivotFmt>
        <c:idx val="131"/>
        <c:marker>
          <c:symbol val="none"/>
        </c:marker>
      </c:pivotFmt>
      <c:pivotFmt>
        <c:idx val="132"/>
        <c:marker>
          <c:symbol val="none"/>
        </c:marker>
      </c:pivotFmt>
      <c:pivotFmt>
        <c:idx val="133"/>
        <c:marker>
          <c:symbol val="none"/>
        </c:marker>
      </c:pivotFmt>
      <c:pivotFmt>
        <c:idx val="134"/>
        <c:marker>
          <c:symbol val="none"/>
        </c:marker>
      </c:pivotFmt>
      <c:pivotFmt>
        <c:idx val="135"/>
        <c:marker>
          <c:symbol val="none"/>
        </c:marker>
      </c:pivotFmt>
      <c:pivotFmt>
        <c:idx val="136"/>
        <c:marker>
          <c:symbol val="none"/>
        </c:marker>
      </c:pivotFmt>
      <c:pivotFmt>
        <c:idx val="137"/>
        <c:marker>
          <c:symbol val="none"/>
        </c:marker>
      </c:pivotFmt>
      <c:pivotFmt>
        <c:idx val="138"/>
        <c:marker>
          <c:symbol val="none"/>
        </c:marker>
      </c:pivotFmt>
      <c:pivotFmt>
        <c:idx val="139"/>
        <c:marker>
          <c:symbol val="none"/>
        </c:marker>
      </c:pivotFmt>
      <c:pivotFmt>
        <c:idx val="140"/>
        <c:marker>
          <c:symbol val="none"/>
        </c:marker>
      </c:pivotFmt>
      <c:pivotFmt>
        <c:idx val="141"/>
        <c:marker>
          <c:symbol val="none"/>
        </c:marker>
      </c:pivotFmt>
      <c:pivotFmt>
        <c:idx val="142"/>
        <c:marker>
          <c:symbol val="none"/>
        </c:marker>
      </c:pivotFmt>
      <c:pivotFmt>
        <c:idx val="143"/>
        <c:marker>
          <c:symbol val="none"/>
        </c:marker>
      </c:pivotFmt>
      <c:pivotFmt>
        <c:idx val="144"/>
        <c:marker>
          <c:symbol val="none"/>
        </c:marker>
      </c:pivotFmt>
      <c:pivotFmt>
        <c:idx val="145"/>
        <c:marker>
          <c:symbol val="none"/>
        </c:marker>
      </c:pivotFmt>
      <c:pivotFmt>
        <c:idx val="146"/>
        <c:marker>
          <c:symbol val="none"/>
        </c:marker>
      </c:pivotFmt>
      <c:pivotFmt>
        <c:idx val="147"/>
        <c:marker>
          <c:symbol val="none"/>
        </c:marker>
      </c:pivotFmt>
      <c:pivotFmt>
        <c:idx val="148"/>
        <c:marker>
          <c:symbol val="none"/>
        </c:marker>
      </c:pivotFmt>
      <c:pivotFmt>
        <c:idx val="149"/>
        <c:marker>
          <c:symbol val="none"/>
        </c:marker>
      </c:pivotFmt>
      <c:pivotFmt>
        <c:idx val="150"/>
        <c:marker>
          <c:symbol val="none"/>
        </c:marker>
      </c:pivotFmt>
      <c:pivotFmt>
        <c:idx val="151"/>
        <c:marker>
          <c:symbol val="none"/>
        </c:marker>
      </c:pivotFmt>
      <c:pivotFmt>
        <c:idx val="152"/>
        <c:marker>
          <c:symbol val="none"/>
        </c:marker>
      </c:pivotFmt>
      <c:pivotFmt>
        <c:idx val="153"/>
        <c:marker>
          <c:symbol val="none"/>
        </c:marker>
      </c:pivotFmt>
      <c:pivotFmt>
        <c:idx val="154"/>
        <c:marker>
          <c:symbol val="none"/>
        </c:marker>
      </c:pivotFmt>
      <c:pivotFmt>
        <c:idx val="155"/>
        <c:marker>
          <c:symbol val="none"/>
        </c:marker>
      </c:pivotFmt>
      <c:pivotFmt>
        <c:idx val="156"/>
        <c:marker>
          <c:symbol val="none"/>
        </c:marker>
      </c:pivotFmt>
      <c:pivotFmt>
        <c:idx val="157"/>
        <c:marker>
          <c:symbol val="none"/>
        </c:marker>
      </c:pivotFmt>
      <c:pivotFmt>
        <c:idx val="158"/>
        <c:marker>
          <c:symbol val="none"/>
        </c:marker>
      </c:pivotFmt>
      <c:pivotFmt>
        <c:idx val="159"/>
        <c:marker>
          <c:symbol val="none"/>
        </c:marker>
      </c:pivotFmt>
      <c:pivotFmt>
        <c:idx val="160"/>
        <c:marker>
          <c:symbol val="none"/>
        </c:marker>
      </c:pivotFmt>
      <c:pivotFmt>
        <c:idx val="161"/>
        <c:marker>
          <c:symbol val="none"/>
        </c:marker>
      </c:pivotFmt>
      <c:pivotFmt>
        <c:idx val="162"/>
        <c:marker>
          <c:symbol val="none"/>
        </c:marker>
      </c:pivotFmt>
      <c:pivotFmt>
        <c:idx val="163"/>
        <c:marker>
          <c:symbol val="none"/>
        </c:marker>
      </c:pivotFmt>
      <c:pivotFmt>
        <c:idx val="164"/>
        <c:marker>
          <c:symbol val="none"/>
        </c:marker>
      </c:pivotFmt>
      <c:pivotFmt>
        <c:idx val="165"/>
        <c:marker>
          <c:symbol val="none"/>
        </c:marker>
      </c:pivotFmt>
      <c:pivotFmt>
        <c:idx val="166"/>
        <c:marker>
          <c:symbol val="none"/>
        </c:marker>
      </c:pivotFmt>
      <c:pivotFmt>
        <c:idx val="167"/>
        <c:marker>
          <c:symbol val="none"/>
        </c:marker>
      </c:pivotFmt>
      <c:pivotFmt>
        <c:idx val="168"/>
        <c:spPr>
          <a:solidFill>
            <a:srgbClr val="3C8505"/>
          </a:solidFill>
        </c:spPr>
        <c:marker>
          <c:symbol val="none"/>
        </c:marker>
        <c:dLbl>
          <c:idx val="0"/>
          <c:spPr>
            <a:noFill/>
            <a:ln>
              <a:noFill/>
            </a:ln>
            <a:effectLst/>
          </c:spPr>
          <c:txPr>
            <a:bodyPr wrap="square" lIns="38100" tIns="19050" rIns="38100" bIns="19050" anchor="ctr">
              <a:spAutoFit/>
            </a:bodyPr>
            <a:lstStyle/>
            <a:p>
              <a:pPr>
                <a:defRPr>
                  <a:solidFill>
                    <a:schemeClr val="tx1"/>
                  </a:solidFill>
                </a:defRPr>
              </a:pPr>
              <a:endParaRPr lang="es-EC"/>
            </a:p>
          </c:txPr>
          <c:showLegendKey val="0"/>
          <c:showVal val="1"/>
          <c:showCatName val="0"/>
          <c:showSerName val="0"/>
          <c:showPercent val="0"/>
          <c:showBubbleSize val="0"/>
          <c:extLst>
            <c:ext xmlns:c15="http://schemas.microsoft.com/office/drawing/2012/chart" uri="{CE6537A1-D6FC-4f65-9D91-7224C49458BB}"/>
          </c:extLst>
        </c:dLbl>
      </c:pivotFmt>
      <c:pivotFmt>
        <c:idx val="169"/>
        <c:marker>
          <c:symbol val="none"/>
        </c:marker>
      </c:pivotFmt>
      <c:pivotFmt>
        <c:idx val="170"/>
        <c:marker>
          <c:symbol val="none"/>
        </c:marker>
      </c:pivotFmt>
      <c:pivotFmt>
        <c:idx val="171"/>
        <c:spPr>
          <a:ln w="38100">
            <a:solidFill>
              <a:sysClr val="windowText" lastClr="000000"/>
            </a:solidFill>
          </a:ln>
          <a:effectLst/>
        </c:spPr>
        <c:marker>
          <c:symbol val="none"/>
        </c:marker>
      </c:pivotFmt>
      <c:pivotFmt>
        <c:idx val="172"/>
        <c:spPr>
          <a:solidFill>
            <a:srgbClr val="FFFF00"/>
          </a:solidFill>
        </c:spPr>
        <c:marker>
          <c:symbol val="none"/>
        </c:marker>
      </c:pivotFmt>
      <c:pivotFmt>
        <c:idx val="173"/>
        <c:spPr>
          <a:solidFill>
            <a:srgbClr val="FF0000"/>
          </a:solidFill>
        </c:spPr>
        <c:marker>
          <c:symbol val="none"/>
        </c:marker>
      </c:pivotFmt>
      <c:pivotFmt>
        <c:idx val="174"/>
        <c:spPr>
          <a:ln w="28575" cmpd="sng">
            <a:solidFill>
              <a:srgbClr val="6600CC"/>
            </a:solidFill>
            <a:prstDash val="solid"/>
          </a:ln>
        </c:spPr>
        <c:marker>
          <c:symbol val="none"/>
        </c:marker>
      </c:pivotFmt>
      <c:pivotFmt>
        <c:idx val="175"/>
        <c:spPr>
          <a:ln w="38100">
            <a:solidFill>
              <a:srgbClr val="CC0066"/>
            </a:solidFill>
            <a:prstDash val="solid"/>
          </a:ln>
        </c:spPr>
        <c:marker>
          <c:symbol val="diamond"/>
          <c:size val="2"/>
          <c:spPr>
            <a:noFill/>
          </c:spPr>
        </c:marker>
      </c:pivotFmt>
      <c:pivotFmt>
        <c:idx val="176"/>
        <c:spPr>
          <a:ln w="31750" cmpd="sng">
            <a:solidFill>
              <a:srgbClr val="00FF99">
                <a:alpha val="76000"/>
              </a:srgbClr>
            </a:solidFill>
            <a:prstDash val="solid"/>
          </a:ln>
        </c:spPr>
        <c:marker>
          <c:symbol val="diamond"/>
          <c:size val="2"/>
        </c:marker>
      </c:pivotFmt>
      <c:pivotFmt>
        <c:idx val="17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7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7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2"/>
        <c:dLbl>
          <c:idx val="0"/>
          <c:tx>
            <c:rich>
              <a:bodyPr anchor="t" anchorCtr="0"/>
              <a:lstStyle/>
              <a:p>
                <a:pPr>
                  <a:defRPr>
                    <a:solidFill>
                      <a:schemeClr val="tx1"/>
                    </a:solidFill>
                  </a:defRPr>
                </a:pPr>
                <a:r>
                  <a:rPr lang="en-US"/>
                  <a:t>Aumento por Estacionalidad</a:t>
                </a:r>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7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7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9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7"/>
        <c:dLbl>
          <c:idx val="0"/>
          <c:tx>
            <c:rich>
              <a:bodyPr wrap="square" lIns="38100" tIns="19050" rIns="38100" bIns="19050" anchor="ctr" anchorCtr="0">
                <a:spAutoFit/>
              </a:bodyPr>
              <a:lstStyle/>
              <a:p>
                <a:pPr>
                  <a:defRPr>
                    <a:solidFill>
                      <a:schemeClr val="tx1"/>
                    </a:solidFill>
                  </a:defRPr>
                </a:pPr>
                <a:r>
                  <a:rPr lang="en-US"/>
                  <a:t>Error de estimacion inicial de buffer</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9"/>
        <c:dLbl>
          <c:idx val="0"/>
          <c:tx>
            <c:rich>
              <a:bodyPr wrap="square" lIns="38100" tIns="19050" rIns="38100" bIns="19050" anchor="ctr" anchorCtr="0">
                <a:spAutoFit/>
              </a:bodyPr>
              <a:lstStyle/>
              <a:p>
                <a:pPr>
                  <a:defRPr>
                    <a:solidFill>
                      <a:schemeClr val="tx1"/>
                    </a:solidFill>
                  </a:defRPr>
                </a:pPr>
                <a:r>
                  <a:rPr lang="en-US"/>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5"/>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6"/>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7"/>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8"/>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9"/>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0"/>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1"/>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2"/>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3"/>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4"/>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5"/>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6"/>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7"/>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8"/>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9"/>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0"/>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1"/>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2"/>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3"/>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4"/>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8"/>
        <c:dLbl>
          <c:idx val="0"/>
          <c:tx>
            <c:rich>
              <a:bodyPr wrap="square" lIns="38100" tIns="19050" rIns="38100" bIns="19050" anchor="ctr" anchorCtr="0">
                <a:spAutoFit/>
              </a:bodyPr>
              <a:lstStyle/>
              <a:p>
                <a:pPr>
                  <a:defRPr>
                    <a:solidFill>
                      <a:schemeClr val="tx1"/>
                    </a:solidFill>
                  </a:defRPr>
                </a:pPr>
                <a:r>
                  <a:rPr lang="en-US"/>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3"/>
        <c:dLbl>
          <c:idx val="0"/>
          <c:tx>
            <c:rich>
              <a:bodyPr wrap="square" lIns="38100" tIns="19050" rIns="38100" bIns="19050" anchor="ctr" anchorCtr="0">
                <a:spAutoFit/>
              </a:bodyPr>
              <a:lstStyle/>
              <a:p>
                <a:pPr>
                  <a:defRPr>
                    <a:solidFill>
                      <a:schemeClr val="tx1"/>
                    </a:solidFill>
                  </a:defRPr>
                </a:pPr>
                <a:r>
                  <a:rPr lang="en-US"/>
                  <a:t>Bodega</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4"/>
        <c:dLbl>
          <c:idx val="0"/>
          <c:tx>
            <c:rich>
              <a:bodyPr wrap="square" lIns="38100" tIns="19050" rIns="38100" bIns="19050" anchor="ctr" anchorCtr="0">
                <a:spAutoFit/>
              </a:bodyPr>
              <a:lstStyle/>
              <a:p>
                <a:pPr>
                  <a:defRPr>
                    <a:solidFill>
                      <a:schemeClr val="tx1"/>
                    </a:solidFill>
                  </a:defRPr>
                </a:pPr>
                <a:r>
                  <a:rPr lang="en-US"/>
                  <a:t>Codigo</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5"/>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6"/>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7"/>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8"/>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9"/>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0"/>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1"/>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2"/>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3"/>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4"/>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5"/>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6"/>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7"/>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8"/>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9"/>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0"/>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1"/>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2"/>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3"/>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4"/>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5"/>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6"/>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7"/>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5"/>
        <c:dLbl>
          <c:idx val="0"/>
          <c:tx>
            <c:rich>
              <a:bodyPr wrap="square" lIns="38100" tIns="19050" rIns="38100" bIns="19050" anchor="ctr">
                <a:spAutoFit/>
              </a:bodyPr>
              <a:lstStyle/>
              <a:p>
                <a:pPr>
                  <a:defRPr>
                    <a:solidFill>
                      <a:schemeClr val="tx1"/>
                    </a:solidFill>
                  </a:defRPr>
                </a:pPr>
                <a:r>
                  <a:rPr lang="es-EC"/>
                  <a:t>Sugerencia aumento de buffer (GDB)</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6"/>
        <c:dLbl>
          <c:idx val="0"/>
          <c:tx>
            <c:rich>
              <a:bodyPr wrap="square" lIns="38100" tIns="19050" rIns="38100" bIns="19050" anchor="ctr">
                <a:spAutoFit/>
              </a:bodyPr>
              <a:lstStyle/>
              <a:p>
                <a:pPr>
                  <a:defRPr>
                    <a:solidFill>
                      <a:schemeClr val="tx1"/>
                    </a:solidFill>
                  </a:defRPr>
                </a:pPr>
                <a:r>
                  <a:rPr lang="en-US"/>
                  <a:t>Frecuencia Mayor</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8"/>
        <c:dLbl>
          <c:idx val="0"/>
          <c:tx>
            <c:rich>
              <a:bodyPr wrap="square" lIns="38100" tIns="19050" rIns="38100" bIns="19050" anchor="ctr">
                <a:spAutoFit/>
              </a:bodyPr>
              <a:lstStyle/>
              <a:p>
                <a:pPr>
                  <a:defRPr>
                    <a:solidFill>
                      <a:schemeClr val="tx1"/>
                    </a:solidFill>
                  </a:defRPr>
                </a:pPr>
                <a:r>
                  <a:rPr lang="es-EC"/>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6"/>
        <c:dLbl>
          <c:idx val="0"/>
          <c:tx>
            <c:rich>
              <a:bodyPr wrap="square" lIns="38100" tIns="19050" rIns="38100" bIns="19050" anchor="ctr">
                <a:spAutoFit/>
              </a:bodyPr>
              <a:lstStyle/>
              <a:p>
                <a:pPr>
                  <a:defRPr>
                    <a:solidFill>
                      <a:schemeClr val="tx1"/>
                    </a:solidFill>
                  </a:defRPr>
                </a:pPr>
                <a:r>
                  <a:rPr lang="en-US"/>
                  <a:t>Sugerencia aumento de buffer (GDB)</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4458228346448545E-2"/>
          <c:y val="0.10138735302854585"/>
          <c:w val="0.93889975469657927"/>
          <c:h val="0.74299459397664802"/>
        </c:manualLayout>
      </c:layout>
      <c:areaChart>
        <c:grouping val="standard"/>
        <c:varyColors val="0"/>
        <c:ser>
          <c:idx val="3"/>
          <c:order val="0"/>
          <c:tx>
            <c:strRef>
              <c:f>GráficoDin!$AG$4:$AG$5</c:f>
              <c:strCache>
                <c:ptCount val="1"/>
                <c:pt idx="0">
                  <c:v>Buffer </c:v>
                </c:pt>
              </c:strCache>
            </c:strRef>
          </c:tx>
          <c:spPr>
            <a:solidFill>
              <a:srgbClr val="3C8505"/>
            </a:solidFill>
          </c:spPr>
          <c:dLbls>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wrap="square" lIns="38100" tIns="19050" rIns="38100" bIns="19050" anchor="ctr">
                <a:spAutoFit/>
              </a:bodyPr>
              <a:lstStyle/>
              <a:p>
                <a:pPr>
                  <a:defRPr>
                    <a:solidFill>
                      <a:schemeClr val="tx1"/>
                    </a:solidFill>
                  </a:defRPr>
                </a:pPr>
                <a:endParaRPr lang="es-EC"/>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GráficoDin!$AG$6:$AG$55</c:f>
              <c:numCache>
                <c:formatCode>General</c:formatCode>
                <c:ptCount val="45"/>
                <c:pt idx="0">
                  <c:v>140</c:v>
                </c:pt>
                <c:pt idx="1">
                  <c:v>140</c:v>
                </c:pt>
                <c:pt idx="2">
                  <c:v>140</c:v>
                </c:pt>
                <c:pt idx="3">
                  <c:v>140</c:v>
                </c:pt>
                <c:pt idx="4">
                  <c:v>140</c:v>
                </c:pt>
                <c:pt idx="5">
                  <c:v>140</c:v>
                </c:pt>
                <c:pt idx="6">
                  <c:v>140</c:v>
                </c:pt>
                <c:pt idx="7">
                  <c:v>140</c:v>
                </c:pt>
                <c:pt idx="8">
                  <c:v>140</c:v>
                </c:pt>
                <c:pt idx="9">
                  <c:v>140</c:v>
                </c:pt>
                <c:pt idx="10">
                  <c:v>140</c:v>
                </c:pt>
                <c:pt idx="11">
                  <c:v>140</c:v>
                </c:pt>
                <c:pt idx="12">
                  <c:v>140</c:v>
                </c:pt>
                <c:pt idx="13">
                  <c:v>140</c:v>
                </c:pt>
                <c:pt idx="14">
                  <c:v>140</c:v>
                </c:pt>
                <c:pt idx="15">
                  <c:v>140</c:v>
                </c:pt>
                <c:pt idx="16">
                  <c:v>140</c:v>
                </c:pt>
                <c:pt idx="17">
                  <c:v>140</c:v>
                </c:pt>
                <c:pt idx="18">
                  <c:v>140</c:v>
                </c:pt>
                <c:pt idx="19">
                  <c:v>140</c:v>
                </c:pt>
                <c:pt idx="20">
                  <c:v>140</c:v>
                </c:pt>
                <c:pt idx="21">
                  <c:v>140</c:v>
                </c:pt>
                <c:pt idx="22">
                  <c:v>140</c:v>
                </c:pt>
                <c:pt idx="23">
                  <c:v>140</c:v>
                </c:pt>
                <c:pt idx="24">
                  <c:v>140</c:v>
                </c:pt>
                <c:pt idx="25">
                  <c:v>140</c:v>
                </c:pt>
                <c:pt idx="26">
                  <c:v>140</c:v>
                </c:pt>
                <c:pt idx="27">
                  <c:v>140</c:v>
                </c:pt>
                <c:pt idx="28">
                  <c:v>140</c:v>
                </c:pt>
                <c:pt idx="29">
                  <c:v>140</c:v>
                </c:pt>
                <c:pt idx="30">
                  <c:v>140</c:v>
                </c:pt>
                <c:pt idx="31">
                  <c:v>140</c:v>
                </c:pt>
                <c:pt idx="32">
                  <c:v>140</c:v>
                </c:pt>
                <c:pt idx="33">
                  <c:v>140</c:v>
                </c:pt>
                <c:pt idx="34">
                  <c:v>140</c:v>
                </c:pt>
                <c:pt idx="35">
                  <c:v>140</c:v>
                </c:pt>
                <c:pt idx="36">
                  <c:v>140</c:v>
                </c:pt>
                <c:pt idx="37">
                  <c:v>140</c:v>
                </c:pt>
                <c:pt idx="38">
                  <c:v>140</c:v>
                </c:pt>
                <c:pt idx="39">
                  <c:v>140</c:v>
                </c:pt>
                <c:pt idx="40">
                  <c:v>140</c:v>
                </c:pt>
                <c:pt idx="41">
                  <c:v>140</c:v>
                </c:pt>
                <c:pt idx="42">
                  <c:v>140</c:v>
                </c:pt>
                <c:pt idx="43">
                  <c:v>140</c:v>
                </c:pt>
                <c:pt idx="44">
                  <c:v>140</c:v>
                </c:pt>
              </c:numCache>
            </c:numRef>
          </c:val>
        </c:ser>
        <c:ser>
          <c:idx val="0"/>
          <c:order val="1"/>
          <c:tx>
            <c:strRef>
              <c:f>GráficoDin!$AH$4:$AH$5</c:f>
              <c:strCache>
                <c:ptCount val="1"/>
                <c:pt idx="0">
                  <c:v>Amarillo</c:v>
                </c:pt>
              </c:strCache>
            </c:strRef>
          </c:tx>
          <c:spPr>
            <a:solidFill>
              <a:srgbClr val="FFFF00"/>
            </a:solidFill>
          </c:spP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GráficoDin!$AH$6:$AH$55</c:f>
              <c:numCache>
                <c:formatCode>General</c:formatCode>
                <c:ptCount val="45"/>
                <c:pt idx="0">
                  <c:v>93</c:v>
                </c:pt>
                <c:pt idx="1">
                  <c:v>93</c:v>
                </c:pt>
                <c:pt idx="2">
                  <c:v>93</c:v>
                </c:pt>
                <c:pt idx="3">
                  <c:v>93</c:v>
                </c:pt>
                <c:pt idx="4">
                  <c:v>93</c:v>
                </c:pt>
                <c:pt idx="5">
                  <c:v>93</c:v>
                </c:pt>
                <c:pt idx="6">
                  <c:v>93</c:v>
                </c:pt>
                <c:pt idx="7">
                  <c:v>93</c:v>
                </c:pt>
                <c:pt idx="8">
                  <c:v>93</c:v>
                </c:pt>
                <c:pt idx="9">
                  <c:v>93</c:v>
                </c:pt>
                <c:pt idx="10">
                  <c:v>93</c:v>
                </c:pt>
                <c:pt idx="11">
                  <c:v>93</c:v>
                </c:pt>
                <c:pt idx="12">
                  <c:v>93</c:v>
                </c:pt>
                <c:pt idx="13">
                  <c:v>93</c:v>
                </c:pt>
                <c:pt idx="14">
                  <c:v>93</c:v>
                </c:pt>
                <c:pt idx="15">
                  <c:v>93</c:v>
                </c:pt>
                <c:pt idx="16">
                  <c:v>93</c:v>
                </c:pt>
                <c:pt idx="17">
                  <c:v>93</c:v>
                </c:pt>
                <c:pt idx="18">
                  <c:v>93</c:v>
                </c:pt>
                <c:pt idx="19">
                  <c:v>93</c:v>
                </c:pt>
                <c:pt idx="20">
                  <c:v>93</c:v>
                </c:pt>
                <c:pt idx="21">
                  <c:v>93</c:v>
                </c:pt>
                <c:pt idx="22">
                  <c:v>93</c:v>
                </c:pt>
                <c:pt idx="23">
                  <c:v>93</c:v>
                </c:pt>
                <c:pt idx="24">
                  <c:v>93</c:v>
                </c:pt>
                <c:pt idx="25">
                  <c:v>93</c:v>
                </c:pt>
                <c:pt idx="26">
                  <c:v>93</c:v>
                </c:pt>
                <c:pt idx="27">
                  <c:v>93</c:v>
                </c:pt>
                <c:pt idx="28">
                  <c:v>93</c:v>
                </c:pt>
                <c:pt idx="29">
                  <c:v>93</c:v>
                </c:pt>
                <c:pt idx="30">
                  <c:v>93</c:v>
                </c:pt>
                <c:pt idx="31">
                  <c:v>93</c:v>
                </c:pt>
                <c:pt idx="32">
                  <c:v>93</c:v>
                </c:pt>
                <c:pt idx="33">
                  <c:v>93</c:v>
                </c:pt>
                <c:pt idx="34">
                  <c:v>93</c:v>
                </c:pt>
                <c:pt idx="35">
                  <c:v>93</c:v>
                </c:pt>
                <c:pt idx="36">
                  <c:v>93</c:v>
                </c:pt>
                <c:pt idx="37">
                  <c:v>93</c:v>
                </c:pt>
                <c:pt idx="38">
                  <c:v>93</c:v>
                </c:pt>
                <c:pt idx="39">
                  <c:v>93</c:v>
                </c:pt>
                <c:pt idx="40">
                  <c:v>93</c:v>
                </c:pt>
                <c:pt idx="41">
                  <c:v>93</c:v>
                </c:pt>
                <c:pt idx="42">
                  <c:v>93</c:v>
                </c:pt>
                <c:pt idx="43">
                  <c:v>93</c:v>
                </c:pt>
                <c:pt idx="44">
                  <c:v>93</c:v>
                </c:pt>
              </c:numCache>
            </c:numRef>
          </c:val>
        </c:ser>
        <c:ser>
          <c:idx val="1"/>
          <c:order val="2"/>
          <c:tx>
            <c:strRef>
              <c:f>GráficoDin!$AI$4:$AI$5</c:f>
              <c:strCache>
                <c:ptCount val="1"/>
                <c:pt idx="0">
                  <c:v>Rojo</c:v>
                </c:pt>
              </c:strCache>
            </c:strRef>
          </c:tx>
          <c:spPr>
            <a:solidFill>
              <a:srgbClr val="FF0000"/>
            </a:solidFill>
          </c:spP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GráficoDin!$AI$6:$AI$55</c:f>
              <c:numCache>
                <c:formatCode>General</c:formatCode>
                <c:ptCount val="45"/>
                <c:pt idx="0">
                  <c:v>46</c:v>
                </c:pt>
                <c:pt idx="1">
                  <c:v>46</c:v>
                </c:pt>
                <c:pt idx="2">
                  <c:v>46</c:v>
                </c:pt>
                <c:pt idx="3">
                  <c:v>46</c:v>
                </c:pt>
                <c:pt idx="4">
                  <c:v>46</c:v>
                </c:pt>
                <c:pt idx="5">
                  <c:v>46</c:v>
                </c:pt>
                <c:pt idx="6">
                  <c:v>46</c:v>
                </c:pt>
                <c:pt idx="7">
                  <c:v>46</c:v>
                </c:pt>
                <c:pt idx="8">
                  <c:v>46</c:v>
                </c:pt>
                <c:pt idx="9">
                  <c:v>46</c:v>
                </c:pt>
                <c:pt idx="10">
                  <c:v>46</c:v>
                </c:pt>
                <c:pt idx="11">
                  <c:v>46</c:v>
                </c:pt>
                <c:pt idx="12">
                  <c:v>46</c:v>
                </c:pt>
                <c:pt idx="13">
                  <c:v>46</c:v>
                </c:pt>
                <c:pt idx="14">
                  <c:v>46</c:v>
                </c:pt>
                <c:pt idx="15">
                  <c:v>46</c:v>
                </c:pt>
                <c:pt idx="16">
                  <c:v>46</c:v>
                </c:pt>
                <c:pt idx="17">
                  <c:v>46</c:v>
                </c:pt>
                <c:pt idx="18">
                  <c:v>46</c:v>
                </c:pt>
                <c:pt idx="19">
                  <c:v>46</c:v>
                </c:pt>
                <c:pt idx="20">
                  <c:v>46</c:v>
                </c:pt>
                <c:pt idx="21">
                  <c:v>46</c:v>
                </c:pt>
                <c:pt idx="22">
                  <c:v>46</c:v>
                </c:pt>
                <c:pt idx="23">
                  <c:v>46</c:v>
                </c:pt>
                <c:pt idx="24">
                  <c:v>46</c:v>
                </c:pt>
                <c:pt idx="25">
                  <c:v>46</c:v>
                </c:pt>
                <c:pt idx="26">
                  <c:v>46</c:v>
                </c:pt>
                <c:pt idx="27">
                  <c:v>46</c:v>
                </c:pt>
                <c:pt idx="28">
                  <c:v>46</c:v>
                </c:pt>
                <c:pt idx="29">
                  <c:v>46</c:v>
                </c:pt>
                <c:pt idx="30">
                  <c:v>46</c:v>
                </c:pt>
                <c:pt idx="31">
                  <c:v>46</c:v>
                </c:pt>
                <c:pt idx="32">
                  <c:v>46</c:v>
                </c:pt>
                <c:pt idx="33">
                  <c:v>46</c:v>
                </c:pt>
                <c:pt idx="34">
                  <c:v>46</c:v>
                </c:pt>
                <c:pt idx="35">
                  <c:v>46</c:v>
                </c:pt>
                <c:pt idx="36">
                  <c:v>46</c:v>
                </c:pt>
                <c:pt idx="37">
                  <c:v>46</c:v>
                </c:pt>
                <c:pt idx="38">
                  <c:v>46</c:v>
                </c:pt>
                <c:pt idx="39">
                  <c:v>46</c:v>
                </c:pt>
                <c:pt idx="40">
                  <c:v>46</c:v>
                </c:pt>
                <c:pt idx="41">
                  <c:v>46</c:v>
                </c:pt>
                <c:pt idx="42">
                  <c:v>46</c:v>
                </c:pt>
                <c:pt idx="43">
                  <c:v>46</c:v>
                </c:pt>
                <c:pt idx="44">
                  <c:v>46</c:v>
                </c:pt>
              </c:numCache>
            </c:numRef>
          </c:val>
        </c:ser>
        <c:dLbls>
          <c:showLegendKey val="0"/>
          <c:showVal val="0"/>
          <c:showCatName val="0"/>
          <c:showSerName val="0"/>
          <c:showPercent val="0"/>
          <c:showBubbleSize val="0"/>
        </c:dLbls>
        <c:axId val="1562535632"/>
        <c:axId val="1562536192"/>
      </c:areaChart>
      <c:lineChart>
        <c:grouping val="standard"/>
        <c:varyColors val="0"/>
        <c:ser>
          <c:idx val="2"/>
          <c:order val="3"/>
          <c:tx>
            <c:strRef>
              <c:f>GráficoDin!$AJ$4:$AJ$5</c:f>
              <c:strCache>
                <c:ptCount val="1"/>
                <c:pt idx="0">
                  <c:v>Salidas </c:v>
                </c:pt>
              </c:strCache>
            </c:strRef>
          </c:tx>
          <c:spPr>
            <a:ln w="31750" cmpd="sng">
              <a:solidFill>
                <a:srgbClr val="00FF99">
                  <a:alpha val="76000"/>
                </a:srgbClr>
              </a:solidFill>
              <a:prstDash val="solid"/>
            </a:ln>
          </c:spPr>
          <c:marker>
            <c:symbol val="diamond"/>
            <c:size val="2"/>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GráficoDin!$AJ$6:$AJ$55</c:f>
              <c:numCache>
                <c:formatCode>General</c:formatCode>
                <c:ptCount val="45"/>
              </c:numCache>
            </c:numRef>
          </c:val>
          <c:smooth val="0"/>
        </c:ser>
        <c:ser>
          <c:idx val="4"/>
          <c:order val="4"/>
          <c:tx>
            <c:strRef>
              <c:f>GráficoDin!$AK$4:$AK$5</c:f>
              <c:strCache>
                <c:ptCount val="1"/>
                <c:pt idx="0">
                  <c:v>Entradas </c:v>
                </c:pt>
              </c:strCache>
            </c:strRef>
          </c:tx>
          <c:spPr>
            <a:ln w="38100">
              <a:solidFill>
                <a:srgbClr val="CC0066"/>
              </a:solidFill>
              <a:prstDash val="solid"/>
            </a:ln>
          </c:spPr>
          <c:marker>
            <c:symbol val="diamond"/>
            <c:size val="2"/>
            <c:spPr>
              <a:noFill/>
            </c:spPr>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GráficoDin!$AK$6:$AK$55</c:f>
              <c:numCache>
                <c:formatCode>General</c:formatCode>
                <c:ptCount val="45"/>
              </c:numCache>
            </c:numRef>
          </c:val>
          <c:smooth val="0"/>
        </c:ser>
        <c:ser>
          <c:idx val="5"/>
          <c:order val="5"/>
          <c:tx>
            <c:strRef>
              <c:f>GráficoDin!$AL$4:$AL$5</c:f>
              <c:strCache>
                <c:ptCount val="1"/>
                <c:pt idx="0">
                  <c:v>Proyectado</c:v>
                </c:pt>
              </c:strCache>
            </c:strRef>
          </c:tx>
          <c:spPr>
            <a:ln w="28575" cmpd="sng">
              <a:solidFill>
                <a:srgbClr val="6600CC"/>
              </a:solidFill>
              <a:prstDash val="solid"/>
            </a:ln>
          </c:spPr>
          <c:marker>
            <c:symbol val="none"/>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GráficoDin!$AL$6:$AL$55</c:f>
              <c:numCache>
                <c:formatCode>General</c:formatCode>
                <c:ptCount val="45"/>
                <c:pt idx="0">
                  <c:v>141</c:v>
                </c:pt>
                <c:pt idx="1">
                  <c:v>141</c:v>
                </c:pt>
                <c:pt idx="2">
                  <c:v>141</c:v>
                </c:pt>
                <c:pt idx="3">
                  <c:v>141</c:v>
                </c:pt>
                <c:pt idx="4">
                  <c:v>141</c:v>
                </c:pt>
                <c:pt idx="5">
                  <c:v>141</c:v>
                </c:pt>
                <c:pt idx="6">
                  <c:v>158</c:v>
                </c:pt>
                <c:pt idx="7">
                  <c:v>155</c:v>
                </c:pt>
                <c:pt idx="8">
                  <c:v>155</c:v>
                </c:pt>
                <c:pt idx="9">
                  <c:v>155</c:v>
                </c:pt>
                <c:pt idx="10">
                  <c:v>152</c:v>
                </c:pt>
                <c:pt idx="11">
                  <c:v>104</c:v>
                </c:pt>
                <c:pt idx="12">
                  <c:v>117</c:v>
                </c:pt>
                <c:pt idx="13">
                  <c:v>117</c:v>
                </c:pt>
                <c:pt idx="14">
                  <c:v>117</c:v>
                </c:pt>
                <c:pt idx="15">
                  <c:v>117</c:v>
                </c:pt>
                <c:pt idx="16">
                  <c:v>112</c:v>
                </c:pt>
                <c:pt idx="17">
                  <c:v>101</c:v>
                </c:pt>
                <c:pt idx="18">
                  <c:v>95</c:v>
                </c:pt>
                <c:pt idx="19">
                  <c:v>94</c:v>
                </c:pt>
                <c:pt idx="20">
                  <c:v>94</c:v>
                </c:pt>
                <c:pt idx="21">
                  <c:v>93</c:v>
                </c:pt>
                <c:pt idx="22">
                  <c:v>74</c:v>
                </c:pt>
                <c:pt idx="23">
                  <c:v>91</c:v>
                </c:pt>
                <c:pt idx="24">
                  <c:v>91</c:v>
                </c:pt>
                <c:pt idx="25">
                  <c:v>89</c:v>
                </c:pt>
                <c:pt idx="26">
                  <c:v>86</c:v>
                </c:pt>
                <c:pt idx="27">
                  <c:v>86</c:v>
                </c:pt>
                <c:pt idx="28">
                  <c:v>86</c:v>
                </c:pt>
                <c:pt idx="29">
                  <c:v>85</c:v>
                </c:pt>
                <c:pt idx="30">
                  <c:v>85</c:v>
                </c:pt>
                <c:pt idx="31">
                  <c:v>85</c:v>
                </c:pt>
                <c:pt idx="32">
                  <c:v>85</c:v>
                </c:pt>
                <c:pt idx="33">
                  <c:v>85</c:v>
                </c:pt>
                <c:pt idx="34">
                  <c:v>85</c:v>
                </c:pt>
                <c:pt idx="35">
                  <c:v>85</c:v>
                </c:pt>
                <c:pt idx="36">
                  <c:v>85</c:v>
                </c:pt>
                <c:pt idx="37">
                  <c:v>85</c:v>
                </c:pt>
                <c:pt idx="38">
                  <c:v>85</c:v>
                </c:pt>
                <c:pt idx="39">
                  <c:v>85</c:v>
                </c:pt>
                <c:pt idx="40">
                  <c:v>85</c:v>
                </c:pt>
                <c:pt idx="41">
                  <c:v>26</c:v>
                </c:pt>
                <c:pt idx="42">
                  <c:v>26</c:v>
                </c:pt>
                <c:pt idx="43">
                  <c:v>25</c:v>
                </c:pt>
                <c:pt idx="44">
                  <c:v>25</c:v>
                </c:pt>
              </c:numCache>
            </c:numRef>
          </c:val>
          <c:smooth val="0"/>
        </c:ser>
        <c:ser>
          <c:idx val="6"/>
          <c:order val="6"/>
          <c:tx>
            <c:strRef>
              <c:f>GráficoDin!$AM$4:$AM$5</c:f>
              <c:strCache>
                <c:ptCount val="1"/>
                <c:pt idx="0">
                  <c:v>Físico</c:v>
                </c:pt>
              </c:strCache>
            </c:strRef>
          </c:tx>
          <c:spPr>
            <a:ln w="38100">
              <a:solidFill>
                <a:sysClr val="windowText" lastClr="000000"/>
              </a:solidFill>
            </a:ln>
            <a:effectLst/>
          </c:spPr>
          <c:marker>
            <c:symbol val="none"/>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GráficoDin!$AM$6:$AM$55</c:f>
              <c:numCache>
                <c:formatCode>General</c:formatCode>
                <c:ptCount val="45"/>
                <c:pt idx="0">
                  <c:v>93</c:v>
                </c:pt>
                <c:pt idx="1">
                  <c:v>93</c:v>
                </c:pt>
                <c:pt idx="2">
                  <c:v>93</c:v>
                </c:pt>
                <c:pt idx="3">
                  <c:v>93</c:v>
                </c:pt>
                <c:pt idx="4">
                  <c:v>93</c:v>
                </c:pt>
                <c:pt idx="5">
                  <c:v>93</c:v>
                </c:pt>
                <c:pt idx="6">
                  <c:v>93</c:v>
                </c:pt>
                <c:pt idx="7">
                  <c:v>90</c:v>
                </c:pt>
                <c:pt idx="8">
                  <c:v>90</c:v>
                </c:pt>
                <c:pt idx="9">
                  <c:v>90</c:v>
                </c:pt>
                <c:pt idx="10">
                  <c:v>87</c:v>
                </c:pt>
                <c:pt idx="11">
                  <c:v>87</c:v>
                </c:pt>
                <c:pt idx="12">
                  <c:v>117</c:v>
                </c:pt>
                <c:pt idx="13">
                  <c:v>117</c:v>
                </c:pt>
                <c:pt idx="14">
                  <c:v>117</c:v>
                </c:pt>
                <c:pt idx="15">
                  <c:v>117</c:v>
                </c:pt>
                <c:pt idx="16">
                  <c:v>112</c:v>
                </c:pt>
                <c:pt idx="17">
                  <c:v>101</c:v>
                </c:pt>
                <c:pt idx="18">
                  <c:v>95</c:v>
                </c:pt>
                <c:pt idx="19">
                  <c:v>94</c:v>
                </c:pt>
                <c:pt idx="20">
                  <c:v>94</c:v>
                </c:pt>
                <c:pt idx="21">
                  <c:v>93</c:v>
                </c:pt>
                <c:pt idx="22">
                  <c:v>74</c:v>
                </c:pt>
                <c:pt idx="23">
                  <c:v>74</c:v>
                </c:pt>
                <c:pt idx="24">
                  <c:v>74</c:v>
                </c:pt>
                <c:pt idx="25">
                  <c:v>72</c:v>
                </c:pt>
                <c:pt idx="26">
                  <c:v>69</c:v>
                </c:pt>
                <c:pt idx="27">
                  <c:v>69</c:v>
                </c:pt>
                <c:pt idx="28">
                  <c:v>69</c:v>
                </c:pt>
                <c:pt idx="29">
                  <c:v>68</c:v>
                </c:pt>
                <c:pt idx="30">
                  <c:v>68</c:v>
                </c:pt>
                <c:pt idx="31">
                  <c:v>68</c:v>
                </c:pt>
                <c:pt idx="32">
                  <c:v>68</c:v>
                </c:pt>
                <c:pt idx="33">
                  <c:v>68</c:v>
                </c:pt>
                <c:pt idx="34">
                  <c:v>68</c:v>
                </c:pt>
                <c:pt idx="35">
                  <c:v>68</c:v>
                </c:pt>
                <c:pt idx="36">
                  <c:v>68</c:v>
                </c:pt>
                <c:pt idx="37">
                  <c:v>68</c:v>
                </c:pt>
                <c:pt idx="38">
                  <c:v>68</c:v>
                </c:pt>
                <c:pt idx="39">
                  <c:v>68</c:v>
                </c:pt>
                <c:pt idx="40">
                  <c:v>68</c:v>
                </c:pt>
                <c:pt idx="41">
                  <c:v>9</c:v>
                </c:pt>
                <c:pt idx="42">
                  <c:v>9</c:v>
                </c:pt>
                <c:pt idx="43">
                  <c:v>8</c:v>
                </c:pt>
                <c:pt idx="44">
                  <c:v>8</c:v>
                </c:pt>
              </c:numCache>
            </c:numRef>
          </c:val>
          <c:smooth val="0"/>
        </c:ser>
        <c:dLbls>
          <c:showLegendKey val="0"/>
          <c:showVal val="0"/>
          <c:showCatName val="0"/>
          <c:showSerName val="0"/>
          <c:showPercent val="0"/>
          <c:showBubbleSize val="0"/>
        </c:dLbls>
        <c:marker val="1"/>
        <c:smooth val="0"/>
        <c:axId val="1562535632"/>
        <c:axId val="1562536192"/>
      </c:lineChart>
      <c:catAx>
        <c:axId val="1562535632"/>
        <c:scaling>
          <c:orientation val="minMax"/>
        </c:scaling>
        <c:delete val="0"/>
        <c:axPos val="b"/>
        <c:numFmt formatCode="General" sourceLinked="0"/>
        <c:majorTickMark val="none"/>
        <c:minorTickMark val="none"/>
        <c:tickLblPos val="nextTo"/>
        <c:txPr>
          <a:bodyPr/>
          <a:lstStyle/>
          <a:p>
            <a:pPr>
              <a:defRPr lang="en-US"/>
            </a:pPr>
            <a:endParaRPr lang="es-EC"/>
          </a:p>
        </c:txPr>
        <c:crossAx val="1562536192"/>
        <c:crosses val="autoZero"/>
        <c:auto val="1"/>
        <c:lblAlgn val="ctr"/>
        <c:lblOffset val="100"/>
        <c:noMultiLvlLbl val="0"/>
      </c:catAx>
      <c:valAx>
        <c:axId val="1562536192"/>
        <c:scaling>
          <c:orientation val="minMax"/>
        </c:scaling>
        <c:delete val="0"/>
        <c:axPos val="l"/>
        <c:majorGridlines/>
        <c:numFmt formatCode="General" sourceLinked="1"/>
        <c:majorTickMark val="none"/>
        <c:minorTickMark val="none"/>
        <c:tickLblPos val="nextTo"/>
        <c:txPr>
          <a:bodyPr/>
          <a:lstStyle/>
          <a:p>
            <a:pPr>
              <a:defRPr lang="en-US"/>
            </a:pPr>
            <a:endParaRPr lang="es-EC"/>
          </a:p>
        </c:txPr>
        <c:crossAx val="1562535632"/>
        <c:crosses val="autoZero"/>
        <c:crossBetween val="between"/>
      </c:valAx>
      <c:spPr>
        <a:solidFill>
          <a:schemeClr val="accent4">
            <a:lumMod val="60000"/>
            <a:lumOff val="40000"/>
          </a:schemeClr>
        </a:solidFill>
      </c:spPr>
    </c:plotArea>
    <c:legend>
      <c:legendPos val="t"/>
      <c:layout>
        <c:manualLayout>
          <c:xMode val="edge"/>
          <c:yMode val="edge"/>
          <c:x val="0.68789520297390394"/>
          <c:y val="1.1025805647920354E-2"/>
          <c:w val="0.29857182268386206"/>
          <c:h val="8.2956198434221043E-2"/>
        </c:manualLayout>
      </c:layout>
      <c:overlay val="1"/>
    </c:legend>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8.emf"/><Relationship Id="rId2" Type="http://schemas.openxmlformats.org/officeDocument/2006/relationships/image" Target="../media/image37.emf"/><Relationship Id="rId1" Type="http://schemas.openxmlformats.org/officeDocument/2006/relationships/image" Target="../media/image36.emf"/></Relationships>
</file>

<file path=xl/drawings/_rels/drawing6.xml.rels><?xml version="1.0" encoding="UTF-8" standalone="yes"?>
<Relationships xmlns="http://schemas.openxmlformats.org/package/2006/relationships"><Relationship Id="rId8" Type="http://schemas.openxmlformats.org/officeDocument/2006/relationships/image" Target="../media/image53.png"/><Relationship Id="rId13" Type="http://schemas.openxmlformats.org/officeDocument/2006/relationships/image" Target="../media/image58.png"/><Relationship Id="rId18" Type="http://schemas.openxmlformats.org/officeDocument/2006/relationships/image" Target="../media/image63.png"/><Relationship Id="rId3" Type="http://schemas.openxmlformats.org/officeDocument/2006/relationships/image" Target="../media/image48.png"/><Relationship Id="rId21" Type="http://schemas.openxmlformats.org/officeDocument/2006/relationships/image" Target="../media/image66.png"/><Relationship Id="rId7" Type="http://schemas.openxmlformats.org/officeDocument/2006/relationships/image" Target="../media/image52.png"/><Relationship Id="rId12" Type="http://schemas.openxmlformats.org/officeDocument/2006/relationships/image" Target="../media/image57.png"/><Relationship Id="rId17" Type="http://schemas.openxmlformats.org/officeDocument/2006/relationships/image" Target="../media/image62.png"/><Relationship Id="rId2" Type="http://schemas.openxmlformats.org/officeDocument/2006/relationships/image" Target="../media/image47.png"/><Relationship Id="rId16" Type="http://schemas.openxmlformats.org/officeDocument/2006/relationships/image" Target="../media/image61.png"/><Relationship Id="rId20" Type="http://schemas.openxmlformats.org/officeDocument/2006/relationships/image" Target="../media/image65.png"/><Relationship Id="rId1" Type="http://schemas.openxmlformats.org/officeDocument/2006/relationships/image" Target="../media/image46.emf"/><Relationship Id="rId6" Type="http://schemas.openxmlformats.org/officeDocument/2006/relationships/image" Target="../media/image51.png"/><Relationship Id="rId11" Type="http://schemas.openxmlformats.org/officeDocument/2006/relationships/image" Target="../media/image56.png"/><Relationship Id="rId5" Type="http://schemas.openxmlformats.org/officeDocument/2006/relationships/image" Target="../media/image50.png"/><Relationship Id="rId15" Type="http://schemas.openxmlformats.org/officeDocument/2006/relationships/image" Target="../media/image60.png"/><Relationship Id="rId10" Type="http://schemas.openxmlformats.org/officeDocument/2006/relationships/image" Target="../media/image55.png"/><Relationship Id="rId19" Type="http://schemas.openxmlformats.org/officeDocument/2006/relationships/image" Target="../media/image64.png"/><Relationship Id="rId4" Type="http://schemas.openxmlformats.org/officeDocument/2006/relationships/image" Target="../media/image49.png"/><Relationship Id="rId9" Type="http://schemas.openxmlformats.org/officeDocument/2006/relationships/image" Target="../media/image54.png"/><Relationship Id="rId14" Type="http://schemas.openxmlformats.org/officeDocument/2006/relationships/image" Target="../media/image59.png"/></Relationships>
</file>

<file path=xl/drawings/_rels/drawing9.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3" Type="http://schemas.openxmlformats.org/officeDocument/2006/relationships/image" Target="../media/image26.emf"/><Relationship Id="rId18" Type="http://schemas.openxmlformats.org/officeDocument/2006/relationships/image" Target="../media/image28.emf"/><Relationship Id="rId26" Type="http://schemas.openxmlformats.org/officeDocument/2006/relationships/image" Target="../media/image6.emf"/><Relationship Id="rId21" Type="http://schemas.openxmlformats.org/officeDocument/2006/relationships/image" Target="../media/image9.emf"/><Relationship Id="rId34" Type="http://schemas.openxmlformats.org/officeDocument/2006/relationships/image" Target="../media/image1.emf"/><Relationship Id="rId7" Type="http://schemas.openxmlformats.org/officeDocument/2006/relationships/image" Target="../media/image17.emf"/><Relationship Id="rId12" Type="http://schemas.openxmlformats.org/officeDocument/2006/relationships/image" Target="../media/image25.emf"/><Relationship Id="rId17" Type="http://schemas.openxmlformats.org/officeDocument/2006/relationships/image" Target="../media/image11.emf"/><Relationship Id="rId25" Type="http://schemas.openxmlformats.org/officeDocument/2006/relationships/image" Target="../media/image7.emf"/><Relationship Id="rId33" Type="http://schemas.openxmlformats.org/officeDocument/2006/relationships/image" Target="../media/image34.emf"/><Relationship Id="rId38" Type="http://schemas.openxmlformats.org/officeDocument/2006/relationships/image" Target="../media/image41.emf"/><Relationship Id="rId2" Type="http://schemas.openxmlformats.org/officeDocument/2006/relationships/image" Target="../media/image19.emf"/><Relationship Id="rId16" Type="http://schemas.openxmlformats.org/officeDocument/2006/relationships/image" Target="../media/image12.emf"/><Relationship Id="rId20" Type="http://schemas.openxmlformats.org/officeDocument/2006/relationships/image" Target="../media/image10.emf"/><Relationship Id="rId29" Type="http://schemas.openxmlformats.org/officeDocument/2006/relationships/image" Target="../media/image3.emf"/><Relationship Id="rId1" Type="http://schemas.openxmlformats.org/officeDocument/2006/relationships/image" Target="../media/image18.emf"/><Relationship Id="rId6" Type="http://schemas.openxmlformats.org/officeDocument/2006/relationships/image" Target="../media/image23.emf"/><Relationship Id="rId11" Type="http://schemas.openxmlformats.org/officeDocument/2006/relationships/image" Target="../media/image14.emf"/><Relationship Id="rId24" Type="http://schemas.openxmlformats.org/officeDocument/2006/relationships/image" Target="../media/image8.emf"/><Relationship Id="rId32" Type="http://schemas.openxmlformats.org/officeDocument/2006/relationships/image" Target="../media/image33.emf"/><Relationship Id="rId37" Type="http://schemas.openxmlformats.org/officeDocument/2006/relationships/image" Target="../media/image40.emf"/><Relationship Id="rId5" Type="http://schemas.openxmlformats.org/officeDocument/2006/relationships/image" Target="../media/image22.emf"/><Relationship Id="rId15" Type="http://schemas.openxmlformats.org/officeDocument/2006/relationships/image" Target="../media/image13.emf"/><Relationship Id="rId23" Type="http://schemas.openxmlformats.org/officeDocument/2006/relationships/image" Target="../media/image31.emf"/><Relationship Id="rId28" Type="http://schemas.openxmlformats.org/officeDocument/2006/relationships/image" Target="../media/image4.emf"/><Relationship Id="rId36" Type="http://schemas.openxmlformats.org/officeDocument/2006/relationships/image" Target="../media/image39.emf"/><Relationship Id="rId10" Type="http://schemas.openxmlformats.org/officeDocument/2006/relationships/image" Target="../media/image24.emf"/><Relationship Id="rId19" Type="http://schemas.openxmlformats.org/officeDocument/2006/relationships/image" Target="../media/image29.emf"/><Relationship Id="rId31" Type="http://schemas.openxmlformats.org/officeDocument/2006/relationships/image" Target="../media/image32.emf"/><Relationship Id="rId4" Type="http://schemas.openxmlformats.org/officeDocument/2006/relationships/image" Target="../media/image21.emf"/><Relationship Id="rId9" Type="http://schemas.openxmlformats.org/officeDocument/2006/relationships/image" Target="../media/image15.emf"/><Relationship Id="rId14" Type="http://schemas.openxmlformats.org/officeDocument/2006/relationships/image" Target="../media/image27.emf"/><Relationship Id="rId22" Type="http://schemas.openxmlformats.org/officeDocument/2006/relationships/image" Target="../media/image30.emf"/><Relationship Id="rId27" Type="http://schemas.openxmlformats.org/officeDocument/2006/relationships/image" Target="../media/image5.emf"/><Relationship Id="rId30" Type="http://schemas.openxmlformats.org/officeDocument/2006/relationships/image" Target="../media/image2.emf"/><Relationship Id="rId35" Type="http://schemas.openxmlformats.org/officeDocument/2006/relationships/image" Target="../media/image35.emf"/><Relationship Id="rId8" Type="http://schemas.openxmlformats.org/officeDocument/2006/relationships/image" Target="../media/image16.emf"/><Relationship Id="rId3" Type="http://schemas.openxmlformats.org/officeDocument/2006/relationships/image" Target="../media/image20.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42.emf"/><Relationship Id="rId1" Type="http://schemas.openxmlformats.org/officeDocument/2006/relationships/image" Target="../media/image43.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44.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67.emf"/><Relationship Id="rId1" Type="http://schemas.openxmlformats.org/officeDocument/2006/relationships/image" Target="../media/image45.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68.emf"/><Relationship Id="rId1" Type="http://schemas.openxmlformats.org/officeDocument/2006/relationships/image" Target="../media/image6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864394</xdr:colOff>
          <xdr:row>0</xdr:row>
          <xdr:rowOff>0</xdr:rowOff>
        </xdr:from>
        <xdr:to>
          <xdr:col>5</xdr:col>
          <xdr:colOff>2155031</xdr:colOff>
          <xdr:row>0</xdr:row>
          <xdr:rowOff>1345406</xdr:rowOff>
        </xdr:to>
        <xdr:pic>
          <xdr:nvPicPr>
            <xdr:cNvPr id="1341" name="fotAlertas"/>
            <xdr:cNvPicPr>
              <a:picLocks noChangeAspect="1" noChangeArrowheads="1"/>
              <a:extLst>
                <a:ext uri="{84589F7E-364E-4C9E-8A38-B11213B215E9}">
                  <a14:cameraTool cellRange="NoBorrar!$V$1:$V$10" spid="_x0000_s1025996"/>
                </a:ext>
              </a:extLst>
            </xdr:cNvPicPr>
          </xdr:nvPicPr>
          <xdr:blipFill>
            <a:blip xmlns:r="http://schemas.openxmlformats.org/officeDocument/2006/relationships" r:embed="rId1"/>
            <a:srcRect/>
            <a:stretch>
              <a:fillRect/>
            </a:stretch>
          </xdr:blipFill>
          <xdr:spPr bwMode="auto">
            <a:xfrm>
              <a:off x="4626769" y="0"/>
              <a:ext cx="1290637" cy="1345406"/>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28575</xdr:rowOff>
        </xdr:from>
        <xdr:to>
          <xdr:col>5</xdr:col>
          <xdr:colOff>869156</xdr:colOff>
          <xdr:row>0</xdr:row>
          <xdr:rowOff>628650</xdr:rowOff>
        </xdr:to>
        <xdr:pic macro="[0]!Devuelve_Controles_Varias_Hojas">
          <xdr:nvPicPr>
            <xdr:cNvPr id="1085" name="fotInfoBodega"/>
            <xdr:cNvPicPr>
              <a:picLocks noChangeAspect="1" noChangeArrowheads="1"/>
              <a:extLst>
                <a:ext uri="{84589F7E-364E-4C9E-8A38-B11213B215E9}">
                  <a14:cameraTool cellRange="NoBorrar!N1:S4" spid="_x0000_s1025997"/>
                </a:ext>
              </a:extLst>
            </xdr:cNvPicPr>
          </xdr:nvPicPr>
          <xdr:blipFill>
            <a:blip xmlns:r="http://schemas.openxmlformats.org/officeDocument/2006/relationships" r:embed="rId2"/>
            <a:srcRect/>
            <a:stretch>
              <a:fillRect/>
            </a:stretch>
          </xdr:blipFill>
          <xdr:spPr bwMode="auto">
            <a:xfrm>
              <a:off x="0" y="28575"/>
              <a:ext cx="4638675" cy="6000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428625</xdr:colOff>
          <xdr:row>0</xdr:row>
          <xdr:rowOff>647700</xdr:rowOff>
        </xdr:from>
        <xdr:to>
          <xdr:col>1</xdr:col>
          <xdr:colOff>723900</xdr:colOff>
          <xdr:row>0</xdr:row>
          <xdr:rowOff>885825</xdr:rowOff>
        </xdr:to>
        <xdr:sp macro="" textlink="">
          <xdr:nvSpPr>
            <xdr:cNvPr id="1082" name="cmdControl" hidden="1">
              <a:extLst>
                <a:ext uri="{63B3BB69-23CF-44E3-9099-C40C66FF867C}">
                  <a14:compatExt spid="_x0000_s1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38100</xdr:colOff>
          <xdr:row>0</xdr:row>
          <xdr:rowOff>647700</xdr:rowOff>
        </xdr:from>
        <xdr:to>
          <xdr:col>3</xdr:col>
          <xdr:colOff>295275</xdr:colOff>
          <xdr:row>0</xdr:row>
          <xdr:rowOff>885825</xdr:rowOff>
        </xdr:to>
        <xdr:sp macro="" textlink="">
          <xdr:nvSpPr>
            <xdr:cNvPr id="1106" name="cmdTransitoDetallado" hidden="1">
              <a:extLst>
                <a:ext uri="{63B3BB69-23CF-44E3-9099-C40C66FF867C}">
                  <a14:compatExt spid="_x0000_s11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523875</xdr:colOff>
          <xdr:row>0</xdr:row>
          <xdr:rowOff>885825</xdr:rowOff>
        </xdr:from>
        <xdr:to>
          <xdr:col>0</xdr:col>
          <xdr:colOff>781050</xdr:colOff>
          <xdr:row>0</xdr:row>
          <xdr:rowOff>1123950</xdr:rowOff>
        </xdr:to>
        <xdr:sp macro="" textlink="">
          <xdr:nvSpPr>
            <xdr:cNvPr id="1111" name="cmdOcultaColumna" hidden="1">
              <a:extLst>
                <a:ext uri="{63B3BB69-23CF-44E3-9099-C40C66FF867C}">
                  <a14:compatExt spid="_x0000_s11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228600</xdr:colOff>
          <xdr:row>0</xdr:row>
          <xdr:rowOff>885825</xdr:rowOff>
        </xdr:from>
        <xdr:to>
          <xdr:col>0</xdr:col>
          <xdr:colOff>523875</xdr:colOff>
          <xdr:row>0</xdr:row>
          <xdr:rowOff>1123950</xdr:rowOff>
        </xdr:to>
        <xdr:sp macro="" textlink="">
          <xdr:nvSpPr>
            <xdr:cNvPr id="1118" name="cmdVistas" hidden="1">
              <a:extLst>
                <a:ext uri="{63B3BB69-23CF-44E3-9099-C40C66FF867C}">
                  <a14:compatExt spid="_x0000_s11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628650</xdr:colOff>
          <xdr:row>0</xdr:row>
          <xdr:rowOff>885825</xdr:rowOff>
        </xdr:from>
        <xdr:to>
          <xdr:col>1</xdr:col>
          <xdr:colOff>914400</xdr:colOff>
          <xdr:row>0</xdr:row>
          <xdr:rowOff>1123950</xdr:rowOff>
        </xdr:to>
        <xdr:sp macro="" textlink="">
          <xdr:nvSpPr>
            <xdr:cNvPr id="1166" name="cmdHOY" hidden="1">
              <a:extLst>
                <a:ext uri="{63B3BB69-23CF-44E3-9099-C40C66FF867C}">
                  <a14:compatExt spid="_x0000_s11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76200</xdr:colOff>
          <xdr:row>0</xdr:row>
          <xdr:rowOff>885825</xdr:rowOff>
        </xdr:from>
        <xdr:to>
          <xdr:col>1</xdr:col>
          <xdr:colOff>361950</xdr:colOff>
          <xdr:row>0</xdr:row>
          <xdr:rowOff>1123950</xdr:rowOff>
        </xdr:to>
        <xdr:sp macro="" textlink="">
          <xdr:nvSpPr>
            <xdr:cNvPr id="1167" name="cmdBufferHoy" hidden="1">
              <a:extLst>
                <a:ext uri="{63B3BB69-23CF-44E3-9099-C40C66FF867C}">
                  <a14:compatExt spid="_x0000_s11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895350</xdr:colOff>
          <xdr:row>0</xdr:row>
          <xdr:rowOff>885825</xdr:rowOff>
        </xdr:from>
        <xdr:to>
          <xdr:col>1</xdr:col>
          <xdr:colOff>1181100</xdr:colOff>
          <xdr:row>0</xdr:row>
          <xdr:rowOff>1123950</xdr:rowOff>
        </xdr:to>
        <xdr:sp macro="" textlink="">
          <xdr:nvSpPr>
            <xdr:cNvPr id="1168" name="cmdIrInicioHorizonte" hidden="1">
              <a:extLst>
                <a:ext uri="{63B3BB69-23CF-44E3-9099-C40C66FF867C}">
                  <a14:compatExt spid="_x0000_s11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514350</xdr:colOff>
          <xdr:row>0</xdr:row>
          <xdr:rowOff>647700</xdr:rowOff>
        </xdr:from>
        <xdr:to>
          <xdr:col>3</xdr:col>
          <xdr:colOff>733425</xdr:colOff>
          <xdr:row>0</xdr:row>
          <xdr:rowOff>885825</xdr:rowOff>
        </xdr:to>
        <xdr:sp macro="" textlink="">
          <xdr:nvSpPr>
            <xdr:cNvPr id="1175" name="cmdCambiaBuffer" hidden="1">
              <a:extLst>
                <a:ext uri="{63B3BB69-23CF-44E3-9099-C40C66FF867C}">
                  <a14:compatExt spid="_x0000_s11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276225</xdr:colOff>
          <xdr:row>0</xdr:row>
          <xdr:rowOff>647700</xdr:rowOff>
        </xdr:from>
        <xdr:to>
          <xdr:col>3</xdr:col>
          <xdr:colOff>523875</xdr:colOff>
          <xdr:row>0</xdr:row>
          <xdr:rowOff>885825</xdr:rowOff>
        </xdr:to>
        <xdr:sp macro="" textlink="">
          <xdr:nvSpPr>
            <xdr:cNvPr id="1186" name="cmdAccionesEstacionalidad" hidden="1">
              <a:extLst>
                <a:ext uri="{63B3BB69-23CF-44E3-9099-C40C66FF867C}">
                  <a14:compatExt spid="_x0000_s11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942975</xdr:colOff>
          <xdr:row>0</xdr:row>
          <xdr:rowOff>647700</xdr:rowOff>
        </xdr:from>
        <xdr:to>
          <xdr:col>3</xdr:col>
          <xdr:colOff>1171575</xdr:colOff>
          <xdr:row>0</xdr:row>
          <xdr:rowOff>885825</xdr:rowOff>
        </xdr:to>
        <xdr:sp macro="" textlink="">
          <xdr:nvSpPr>
            <xdr:cNvPr id="1193" name="cmdGraficoDinamico" hidden="1">
              <a:extLst>
                <a:ext uri="{63B3BB69-23CF-44E3-9099-C40C66FF867C}">
                  <a14:compatExt spid="_x0000_s1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990600</xdr:colOff>
          <xdr:row>0</xdr:row>
          <xdr:rowOff>647700</xdr:rowOff>
        </xdr:from>
        <xdr:to>
          <xdr:col>3</xdr:col>
          <xdr:colOff>57150</xdr:colOff>
          <xdr:row>0</xdr:row>
          <xdr:rowOff>885825</xdr:rowOff>
        </xdr:to>
        <xdr:sp macro="" textlink="">
          <xdr:nvSpPr>
            <xdr:cNvPr id="1194" name="cmdRefrescaFormulas" hidden="1">
              <a:extLst>
                <a:ext uri="{63B3BB69-23CF-44E3-9099-C40C66FF867C}">
                  <a14:compatExt spid="_x0000_s1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723900</xdr:colOff>
          <xdr:row>0</xdr:row>
          <xdr:rowOff>647700</xdr:rowOff>
        </xdr:from>
        <xdr:to>
          <xdr:col>1</xdr:col>
          <xdr:colOff>981075</xdr:colOff>
          <xdr:row>0</xdr:row>
          <xdr:rowOff>885825</xdr:rowOff>
        </xdr:to>
        <xdr:sp macro="" textlink="">
          <xdr:nvSpPr>
            <xdr:cNvPr id="1196" name="cmdRefrescaTodo" hidden="1">
              <a:extLst>
                <a:ext uri="{63B3BB69-23CF-44E3-9099-C40C66FF867C}">
                  <a14:compatExt spid="_x0000_s1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504825</xdr:colOff>
          <xdr:row>0</xdr:row>
          <xdr:rowOff>885825</xdr:rowOff>
        </xdr:from>
        <xdr:to>
          <xdr:col>5</xdr:col>
          <xdr:colOff>752475</xdr:colOff>
          <xdr:row>0</xdr:row>
          <xdr:rowOff>1114425</xdr:rowOff>
        </xdr:to>
        <xdr:sp macro="" textlink="">
          <xdr:nvSpPr>
            <xdr:cNvPr id="1199" name="txtBusqueda" hidden="1">
              <a:extLst>
                <a:ext uri="{63B3BB69-23CF-44E3-9099-C40C66FF867C}">
                  <a14:compatExt spid="_x0000_s11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228600</xdr:colOff>
          <xdr:row>0</xdr:row>
          <xdr:rowOff>1104900</xdr:rowOff>
        </xdr:from>
        <xdr:to>
          <xdr:col>0</xdr:col>
          <xdr:colOff>466725</xdr:colOff>
          <xdr:row>0</xdr:row>
          <xdr:rowOff>1343025</xdr:rowOff>
        </xdr:to>
        <xdr:sp macro="" textlink="">
          <xdr:nvSpPr>
            <xdr:cNvPr id="1204" name="cmdQuitaFiltros" hidden="1">
              <a:extLst>
                <a:ext uri="{63B3BB69-23CF-44E3-9099-C40C66FF867C}">
                  <a14:compatExt spid="_x0000_s1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276225</xdr:colOff>
          <xdr:row>0</xdr:row>
          <xdr:rowOff>885825</xdr:rowOff>
        </xdr:from>
        <xdr:to>
          <xdr:col>3</xdr:col>
          <xdr:colOff>504825</xdr:colOff>
          <xdr:row>0</xdr:row>
          <xdr:rowOff>1123950</xdr:rowOff>
        </xdr:to>
        <xdr:sp macro="" textlink="">
          <xdr:nvSpPr>
            <xdr:cNvPr id="1244" name="cmdFiltraErrores" hidden="1">
              <a:extLst>
                <a:ext uri="{63B3BB69-23CF-44E3-9099-C40C66FF867C}">
                  <a14:compatExt spid="_x0000_s12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1152525</xdr:colOff>
          <xdr:row>0</xdr:row>
          <xdr:rowOff>885825</xdr:rowOff>
        </xdr:from>
        <xdr:to>
          <xdr:col>3</xdr:col>
          <xdr:colOff>257175</xdr:colOff>
          <xdr:row>0</xdr:row>
          <xdr:rowOff>1123950</xdr:rowOff>
        </xdr:to>
        <xdr:sp macro="" textlink="">
          <xdr:nvSpPr>
            <xdr:cNvPr id="1249" name="cmdIrFinHorizonte" hidden="1">
              <a:extLst>
                <a:ext uri="{63B3BB69-23CF-44E3-9099-C40C66FF867C}">
                  <a14:compatExt spid="_x0000_s12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361950</xdr:colOff>
          <xdr:row>0</xdr:row>
          <xdr:rowOff>885825</xdr:rowOff>
        </xdr:from>
        <xdr:to>
          <xdr:col>1</xdr:col>
          <xdr:colOff>647700</xdr:colOff>
          <xdr:row>0</xdr:row>
          <xdr:rowOff>1123950</xdr:rowOff>
        </xdr:to>
        <xdr:sp macro="" textlink="">
          <xdr:nvSpPr>
            <xdr:cNvPr id="1259" name="cmdIrPrimerCampo" hidden="1">
              <a:extLst>
                <a:ext uri="{63B3BB69-23CF-44E3-9099-C40C66FF867C}">
                  <a14:compatExt spid="_x0000_s12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790575</xdr:colOff>
          <xdr:row>0</xdr:row>
          <xdr:rowOff>885825</xdr:rowOff>
        </xdr:from>
        <xdr:to>
          <xdr:col>0</xdr:col>
          <xdr:colOff>981075</xdr:colOff>
          <xdr:row>0</xdr:row>
          <xdr:rowOff>1123950</xdr:rowOff>
        </xdr:to>
        <xdr:sp macro="" textlink="">
          <xdr:nvSpPr>
            <xdr:cNvPr id="1284" name="cmdAnadeRegistro" hidden="1">
              <a:extLst>
                <a:ext uri="{63B3BB69-23CF-44E3-9099-C40C66FF867C}">
                  <a14:compatExt spid="_x0000_s12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962025</xdr:colOff>
          <xdr:row>0</xdr:row>
          <xdr:rowOff>885825</xdr:rowOff>
        </xdr:from>
        <xdr:to>
          <xdr:col>0</xdr:col>
          <xdr:colOff>1152525</xdr:colOff>
          <xdr:row>0</xdr:row>
          <xdr:rowOff>1123950</xdr:rowOff>
        </xdr:to>
        <xdr:sp macro="" textlink="">
          <xdr:nvSpPr>
            <xdr:cNvPr id="1285" name="cmdBorraRegistro" hidden="1">
              <a:extLst>
                <a:ext uri="{63B3BB69-23CF-44E3-9099-C40C66FF867C}">
                  <a14:compatExt spid="_x0000_s12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466725</xdr:colOff>
          <xdr:row>0</xdr:row>
          <xdr:rowOff>1104900</xdr:rowOff>
        </xdr:from>
        <xdr:to>
          <xdr:col>0</xdr:col>
          <xdr:colOff>638175</xdr:colOff>
          <xdr:row>0</xdr:row>
          <xdr:rowOff>1343025</xdr:rowOff>
        </xdr:to>
        <xdr:sp macro="" textlink="">
          <xdr:nvSpPr>
            <xdr:cNvPr id="1287" name="cmdAscendente" hidden="1">
              <a:extLst>
                <a:ext uri="{63B3BB69-23CF-44E3-9099-C40C66FF867C}">
                  <a14:compatExt spid="_x0000_s12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628650</xdr:colOff>
          <xdr:row>0</xdr:row>
          <xdr:rowOff>1104900</xdr:rowOff>
        </xdr:from>
        <xdr:to>
          <xdr:col>0</xdr:col>
          <xdr:colOff>800100</xdr:colOff>
          <xdr:row>0</xdr:row>
          <xdr:rowOff>1343025</xdr:rowOff>
        </xdr:to>
        <xdr:sp macro="" textlink="">
          <xdr:nvSpPr>
            <xdr:cNvPr id="1289" name="cmdDescendente" hidden="1">
              <a:extLst>
                <a:ext uri="{63B3BB69-23CF-44E3-9099-C40C66FF867C}">
                  <a14:compatExt spid="_x0000_s1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1152525</xdr:colOff>
          <xdr:row>0</xdr:row>
          <xdr:rowOff>885825</xdr:rowOff>
        </xdr:from>
        <xdr:to>
          <xdr:col>1</xdr:col>
          <xdr:colOff>76200</xdr:colOff>
          <xdr:row>0</xdr:row>
          <xdr:rowOff>1123950</xdr:rowOff>
        </xdr:to>
        <xdr:sp macro="" textlink="">
          <xdr:nvSpPr>
            <xdr:cNvPr id="1292" name="cmdEliminaColumnaHorizonte" hidden="1">
              <a:extLst>
                <a:ext uri="{63B3BB69-23CF-44E3-9099-C40C66FF867C}">
                  <a14:compatExt spid="_x0000_s12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704850</xdr:colOff>
          <xdr:row>0</xdr:row>
          <xdr:rowOff>647700</xdr:rowOff>
        </xdr:from>
        <xdr:to>
          <xdr:col>3</xdr:col>
          <xdr:colOff>933450</xdr:colOff>
          <xdr:row>0</xdr:row>
          <xdr:rowOff>885825</xdr:rowOff>
        </xdr:to>
        <xdr:sp macro="" textlink="">
          <xdr:nvSpPr>
            <xdr:cNvPr id="1352" name="cmdPosponer" hidden="1">
              <a:extLst>
                <a:ext uri="{63B3BB69-23CF-44E3-9099-C40C66FF867C}">
                  <a14:compatExt spid="_x0000_s1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0</xdr:row>
          <xdr:rowOff>647700</xdr:rowOff>
        </xdr:from>
        <xdr:to>
          <xdr:col>1</xdr:col>
          <xdr:colOff>400050</xdr:colOff>
          <xdr:row>0</xdr:row>
          <xdr:rowOff>809625</xdr:rowOff>
        </xdr:to>
        <xdr:pic macro="[0]!Guarda_Controles_Varias_Hojas">
          <xdr:nvPicPr>
            <xdr:cNvPr id="1358" name="fotUsuario"/>
            <xdr:cNvPicPr>
              <a:picLocks noChangeAspect="1" noChangeArrowheads="1"/>
              <a:extLst>
                <a:ext uri="{84589F7E-364E-4C9E-8A38-B11213B215E9}">
                  <a14:cameraTool cellRange="USUARIO" spid="_x0000_s1025998"/>
                </a:ext>
              </a:extLst>
            </xdr:cNvPicPr>
          </xdr:nvPicPr>
          <xdr:blipFill>
            <a:blip xmlns:r="http://schemas.openxmlformats.org/officeDocument/2006/relationships" r:embed="rId3"/>
            <a:srcRect/>
            <a:stretch>
              <a:fillRect/>
            </a:stretch>
          </xdr:blipFill>
          <xdr:spPr bwMode="auto">
            <a:xfrm>
              <a:off x="28575" y="647700"/>
              <a:ext cx="1638300" cy="161925"/>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504825</xdr:colOff>
          <xdr:row>0</xdr:row>
          <xdr:rowOff>1095375</xdr:rowOff>
        </xdr:from>
        <xdr:to>
          <xdr:col>5</xdr:col>
          <xdr:colOff>752475</xdr:colOff>
          <xdr:row>0</xdr:row>
          <xdr:rowOff>1323975</xdr:rowOff>
        </xdr:to>
        <xdr:sp macro="" textlink="">
          <xdr:nvSpPr>
            <xdr:cNvPr id="1366" name="cboCampos" hidden="1">
              <a:extLst>
                <a:ext uri="{63B3BB69-23CF-44E3-9099-C40C66FF867C}">
                  <a14:compatExt spid="_x0000_s13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504825</xdr:colOff>
          <xdr:row>0</xdr:row>
          <xdr:rowOff>647700</xdr:rowOff>
        </xdr:from>
        <xdr:to>
          <xdr:col>5</xdr:col>
          <xdr:colOff>752475</xdr:colOff>
          <xdr:row>0</xdr:row>
          <xdr:rowOff>885825</xdr:rowOff>
        </xdr:to>
        <xdr:sp macro="" textlink="">
          <xdr:nvSpPr>
            <xdr:cNvPr id="46011" name="cmdAyuda" hidden="1">
              <a:extLst>
                <a:ext uri="{63B3BB69-23CF-44E3-9099-C40C66FF867C}">
                  <a14:compatExt spid="_x0000_s460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1200150</xdr:colOff>
          <xdr:row>0</xdr:row>
          <xdr:rowOff>647700</xdr:rowOff>
        </xdr:from>
        <xdr:to>
          <xdr:col>5</xdr:col>
          <xdr:colOff>333375</xdr:colOff>
          <xdr:row>0</xdr:row>
          <xdr:rowOff>885825</xdr:rowOff>
        </xdr:to>
        <xdr:sp macro="" textlink="">
          <xdr:nvSpPr>
            <xdr:cNvPr id="352980" name="txtDiasGrafico" hidden="1">
              <a:extLst>
                <a:ext uri="{63B3BB69-23CF-44E3-9099-C40C66FF867C}">
                  <a14:compatExt spid="_x0000_s3529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571500</xdr:colOff>
          <xdr:row>0</xdr:row>
          <xdr:rowOff>904875</xdr:rowOff>
        </xdr:from>
        <xdr:to>
          <xdr:col>5</xdr:col>
          <xdr:colOff>762000</xdr:colOff>
          <xdr:row>0</xdr:row>
          <xdr:rowOff>1095375</xdr:rowOff>
        </xdr:to>
        <xdr:sp macro="" textlink="">
          <xdr:nvSpPr>
            <xdr:cNvPr id="399810" name="cmdBuscarTexto" hidden="1">
              <a:extLst>
                <a:ext uri="{63B3BB69-23CF-44E3-9099-C40C66FF867C}">
                  <a14:compatExt spid="_x0000_s3998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0</xdr:row>
          <xdr:rowOff>1104900</xdr:rowOff>
        </xdr:from>
        <xdr:to>
          <xdr:col>1</xdr:col>
          <xdr:colOff>266700</xdr:colOff>
          <xdr:row>0</xdr:row>
          <xdr:rowOff>1343025</xdr:rowOff>
        </xdr:to>
        <xdr:sp macro="" textlink="">
          <xdr:nvSpPr>
            <xdr:cNvPr id="400005" name="cmdDuplicados" hidden="1">
              <a:extLst>
                <a:ext uri="{63B3BB69-23CF-44E3-9099-C40C66FF867C}">
                  <a14:compatExt spid="_x0000_s4000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342900</xdr:colOff>
          <xdr:row>0</xdr:row>
          <xdr:rowOff>1104900</xdr:rowOff>
        </xdr:from>
        <xdr:to>
          <xdr:col>1</xdr:col>
          <xdr:colOff>581025</xdr:colOff>
          <xdr:row>0</xdr:row>
          <xdr:rowOff>1343025</xdr:rowOff>
        </xdr:to>
        <xdr:sp macro="" textlink="">
          <xdr:nvSpPr>
            <xdr:cNvPr id="400139" name="cmdCeldasVisibles" hidden="1">
              <a:extLst>
                <a:ext uri="{63B3BB69-23CF-44E3-9099-C40C66FF867C}">
                  <a14:compatExt spid="_x0000_s4001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581025</xdr:colOff>
          <xdr:row>0</xdr:row>
          <xdr:rowOff>1104900</xdr:rowOff>
        </xdr:from>
        <xdr:to>
          <xdr:col>1</xdr:col>
          <xdr:colOff>819150</xdr:colOff>
          <xdr:row>0</xdr:row>
          <xdr:rowOff>1343025</xdr:rowOff>
        </xdr:to>
        <xdr:sp macro="" textlink="">
          <xdr:nvSpPr>
            <xdr:cNvPr id="400160" name="cmdCeldasBlanco" hidden="1">
              <a:extLst>
                <a:ext uri="{63B3BB69-23CF-44E3-9099-C40C66FF867C}">
                  <a14:compatExt spid="_x0000_s4001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962025</xdr:colOff>
          <xdr:row>0</xdr:row>
          <xdr:rowOff>885825</xdr:rowOff>
        </xdr:from>
        <xdr:to>
          <xdr:col>0</xdr:col>
          <xdr:colOff>1152525</xdr:colOff>
          <xdr:row>0</xdr:row>
          <xdr:rowOff>1123950</xdr:rowOff>
        </xdr:to>
        <xdr:sp macro="" textlink="">
          <xdr:nvSpPr>
            <xdr:cNvPr id="400204" name="cmdDesprotege" hidden="1">
              <a:extLst>
                <a:ext uri="{63B3BB69-23CF-44E3-9099-C40C66FF867C}">
                  <a14:compatExt spid="_x0000_s400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1038225</xdr:colOff>
          <xdr:row>0</xdr:row>
          <xdr:rowOff>1104900</xdr:rowOff>
        </xdr:from>
        <xdr:to>
          <xdr:col>1</xdr:col>
          <xdr:colOff>28575</xdr:colOff>
          <xdr:row>0</xdr:row>
          <xdr:rowOff>1343025</xdr:rowOff>
        </xdr:to>
        <xdr:sp macro="" textlink="">
          <xdr:nvSpPr>
            <xdr:cNvPr id="1298" name="cmdOrdenaColores" hidden="1">
              <a:extLst>
                <a:ext uri="{63B3BB69-23CF-44E3-9099-C40C66FF867C}">
                  <a14:compatExt spid="_x0000_s12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800100</xdr:colOff>
          <xdr:row>0</xdr:row>
          <xdr:rowOff>1104900</xdr:rowOff>
        </xdr:from>
        <xdr:to>
          <xdr:col>0</xdr:col>
          <xdr:colOff>1057275</xdr:colOff>
          <xdr:row>0</xdr:row>
          <xdr:rowOff>1343025</xdr:rowOff>
        </xdr:to>
        <xdr:sp macro="" textlink="">
          <xdr:nvSpPr>
            <xdr:cNvPr id="1324" name="cmdOrdenamientoMultiple" hidden="1">
              <a:extLst>
                <a:ext uri="{63B3BB69-23CF-44E3-9099-C40C66FF867C}">
                  <a14:compatExt spid="_x0000_s13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5</xdr:col>
      <xdr:colOff>2940843</xdr:colOff>
      <xdr:row>0</xdr:row>
      <xdr:rowOff>23811</xdr:rowOff>
    </xdr:from>
    <xdr:to>
      <xdr:col>13</xdr:col>
      <xdr:colOff>1156405</xdr:colOff>
      <xdr:row>0</xdr:row>
      <xdr:rowOff>1319811</xdr:rowOff>
    </xdr:to>
    <mc:AlternateContent xmlns:mc="http://schemas.openxmlformats.org/markup-compatibility/2006" xmlns:sle15="http://schemas.microsoft.com/office/drawing/2012/slicer">
      <mc:Choice Requires="sle15">
        <xdr:graphicFrame macro="">
          <xdr:nvGraphicFramePr>
            <xdr:cNvPr id="2" name="BODEGA"/>
            <xdr:cNvGraphicFramePr/>
          </xdr:nvGraphicFramePr>
          <xdr:xfrm>
            <a:off x="0" y="0"/>
            <a:ext cx="0" cy="0"/>
          </xdr:xfrm>
          <a:graphic>
            <a:graphicData uri="http://schemas.microsoft.com/office/drawing/2010/slicer">
              <sle:slicer xmlns:sle="http://schemas.microsoft.com/office/drawing/2010/slicer" name="BODEGA"/>
            </a:graphicData>
          </a:graphic>
        </xdr:graphicFrame>
      </mc:Choice>
      <mc:Fallback xmlns="">
        <xdr:sp macro="" textlink="">
          <xdr:nvSpPr>
            <xdr:cNvPr id="0" name=""/>
            <xdr:cNvSpPr>
              <a:spLocks noTextEdit="1"/>
            </xdr:cNvSpPr>
          </xdr:nvSpPr>
          <xdr:spPr>
            <a:xfrm>
              <a:off x="6703218" y="23811"/>
              <a:ext cx="1525500"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60</xdr:col>
      <xdr:colOff>449190</xdr:colOff>
      <xdr:row>0</xdr:row>
      <xdr:rowOff>23811</xdr:rowOff>
    </xdr:from>
    <xdr:to>
      <xdr:col>62</xdr:col>
      <xdr:colOff>35714</xdr:colOff>
      <xdr:row>0</xdr:row>
      <xdr:rowOff>1319811</xdr:rowOff>
    </xdr:to>
    <mc:AlternateContent xmlns:mc="http://schemas.openxmlformats.org/markup-compatibility/2006" xmlns:sle15="http://schemas.microsoft.com/office/drawing/2012/slicer">
      <mc:Choice Requires="sle15">
        <xdr:graphicFrame macro="">
          <xdr:nvGraphicFramePr>
            <xdr:cNvPr id="3" name="Estatus"/>
            <xdr:cNvGraphicFramePr/>
          </xdr:nvGraphicFramePr>
          <xdr:xfrm>
            <a:off x="0" y="0"/>
            <a:ext cx="0" cy="0"/>
          </xdr:xfrm>
          <a:graphic>
            <a:graphicData uri="http://schemas.microsoft.com/office/drawing/2010/slicer">
              <sle:slicer xmlns:sle="http://schemas.microsoft.com/office/drawing/2010/slicer" name="Estatus"/>
            </a:graphicData>
          </a:graphic>
        </xdr:graphicFrame>
      </mc:Choice>
      <mc:Fallback xmlns="">
        <xdr:sp macro="" textlink="">
          <xdr:nvSpPr>
            <xdr:cNvPr id="0" name=""/>
            <xdr:cNvSpPr>
              <a:spLocks noTextEdit="1"/>
            </xdr:cNvSpPr>
          </xdr:nvSpPr>
          <xdr:spPr>
            <a:xfrm>
              <a:off x="10390909" y="23811"/>
              <a:ext cx="101527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62</xdr:col>
      <xdr:colOff>35719</xdr:colOff>
      <xdr:row>0</xdr:row>
      <xdr:rowOff>23811</xdr:rowOff>
    </xdr:from>
    <xdr:to>
      <xdr:col>71</xdr:col>
      <xdr:colOff>488154</xdr:colOff>
      <xdr:row>0</xdr:row>
      <xdr:rowOff>1319811</xdr:rowOff>
    </xdr:to>
    <mc:AlternateContent xmlns:mc="http://schemas.openxmlformats.org/markup-compatibility/2006" xmlns:sle15="http://schemas.microsoft.com/office/drawing/2012/slicer">
      <mc:Choice Requires="sle15">
        <xdr:graphicFrame macro="">
          <xdr:nvGraphicFramePr>
            <xdr:cNvPr id="4" name="Clasificación"/>
            <xdr:cNvGraphicFramePr/>
          </xdr:nvGraphicFramePr>
          <xdr:xfrm>
            <a:off x="0" y="0"/>
            <a:ext cx="0" cy="0"/>
          </xdr:xfrm>
          <a:graphic>
            <a:graphicData uri="http://schemas.microsoft.com/office/drawing/2010/slicer">
              <sle:slicer xmlns:sle="http://schemas.microsoft.com/office/drawing/2010/slicer" name="Clasificación"/>
            </a:graphicData>
          </a:graphic>
        </xdr:graphicFrame>
      </mc:Choice>
      <mc:Fallback xmlns="">
        <xdr:sp macro="" textlink="">
          <xdr:nvSpPr>
            <xdr:cNvPr id="0" name=""/>
            <xdr:cNvSpPr>
              <a:spLocks noTextEdit="1"/>
            </xdr:cNvSpPr>
          </xdr:nvSpPr>
          <xdr:spPr>
            <a:xfrm>
              <a:off x="11418089" y="23811"/>
              <a:ext cx="1154909"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13</xdr:col>
      <xdr:colOff>1166929</xdr:colOff>
      <xdr:row>0</xdr:row>
      <xdr:rowOff>23811</xdr:rowOff>
    </xdr:from>
    <xdr:to>
      <xdr:col>37</xdr:col>
      <xdr:colOff>226219</xdr:colOff>
      <xdr:row>0</xdr:row>
      <xdr:rowOff>1319811</xdr:rowOff>
    </xdr:to>
    <mc:AlternateContent xmlns:mc="http://schemas.openxmlformats.org/markup-compatibility/2006" xmlns:sle15="http://schemas.microsoft.com/office/drawing/2012/slicer">
      <mc:Choice Requires="sle15">
        <xdr:graphicFrame macro="">
          <xdr:nvGraphicFramePr>
            <xdr:cNvPr id="5" name="Responsable"/>
            <xdr:cNvGraphicFramePr/>
          </xdr:nvGraphicFramePr>
          <xdr:xfrm>
            <a:off x="0" y="0"/>
            <a:ext cx="0" cy="0"/>
          </xdr:xfrm>
          <a:graphic>
            <a:graphicData uri="http://schemas.microsoft.com/office/drawing/2010/slicer">
              <sle:slicer xmlns:sle="http://schemas.microsoft.com/office/drawing/2010/slicer" name="Responsable"/>
            </a:graphicData>
          </a:graphic>
        </xdr:graphicFrame>
      </mc:Choice>
      <mc:Fallback xmlns="">
        <xdr:sp macro="" textlink="">
          <xdr:nvSpPr>
            <xdr:cNvPr id="0" name=""/>
            <xdr:cNvSpPr>
              <a:spLocks noTextEdit="1"/>
            </xdr:cNvSpPr>
          </xdr:nvSpPr>
          <xdr:spPr>
            <a:xfrm>
              <a:off x="8239242" y="23811"/>
              <a:ext cx="122513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71</xdr:col>
      <xdr:colOff>488156</xdr:colOff>
      <xdr:row>0</xdr:row>
      <xdr:rowOff>23811</xdr:rowOff>
    </xdr:from>
    <xdr:to>
      <xdr:col>77</xdr:col>
      <xdr:colOff>273843</xdr:colOff>
      <xdr:row>0</xdr:row>
      <xdr:rowOff>1319811</xdr:rowOff>
    </xdr:to>
    <mc:AlternateContent xmlns:mc="http://schemas.openxmlformats.org/markup-compatibility/2006" xmlns:sle15="http://schemas.microsoft.com/office/drawing/2012/slicer">
      <mc:Choice Requires="sle15">
        <xdr:graphicFrame macro="">
          <xdr:nvGraphicFramePr>
            <xdr:cNvPr id="6" name="Proveedor"/>
            <xdr:cNvGraphicFramePr/>
          </xdr:nvGraphicFramePr>
          <xdr:xfrm>
            <a:off x="0" y="0"/>
            <a:ext cx="0" cy="0"/>
          </xdr:xfrm>
          <a:graphic>
            <a:graphicData uri="http://schemas.microsoft.com/office/drawing/2010/slicer">
              <sle:slicer xmlns:sle="http://schemas.microsoft.com/office/drawing/2010/slicer" name="Proveedor"/>
            </a:graphicData>
          </a:graphic>
        </xdr:graphicFrame>
      </mc:Choice>
      <mc:Fallback xmlns="">
        <xdr:sp macro="" textlink="">
          <xdr:nvSpPr>
            <xdr:cNvPr id="0" name=""/>
            <xdr:cNvSpPr>
              <a:spLocks noTextEdit="1"/>
            </xdr:cNvSpPr>
          </xdr:nvSpPr>
          <xdr:spPr>
            <a:xfrm>
              <a:off x="12584904" y="23811"/>
              <a:ext cx="1525226"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77</xdr:col>
      <xdr:colOff>273843</xdr:colOff>
      <xdr:row>0</xdr:row>
      <xdr:rowOff>23811</xdr:rowOff>
    </xdr:from>
    <xdr:to>
      <xdr:col>81</xdr:col>
      <xdr:colOff>35719</xdr:colOff>
      <xdr:row>0</xdr:row>
      <xdr:rowOff>1319811</xdr:rowOff>
    </xdr:to>
    <mc:AlternateContent xmlns:mc="http://schemas.openxmlformats.org/markup-compatibility/2006" xmlns:sle15="http://schemas.microsoft.com/office/drawing/2012/slicer">
      <mc:Choice Requires="sle15">
        <xdr:graphicFrame macro="">
          <xdr:nvGraphicFramePr>
            <xdr:cNvPr id="7" name="Perfil"/>
            <xdr:cNvGraphicFramePr/>
          </xdr:nvGraphicFramePr>
          <xdr:xfrm>
            <a:off x="0" y="0"/>
            <a:ext cx="0" cy="0"/>
          </xdr:xfrm>
          <a:graphic>
            <a:graphicData uri="http://schemas.microsoft.com/office/drawing/2010/slicer">
              <sle:slicer xmlns:sle="http://schemas.microsoft.com/office/drawing/2010/slicer" name="Perfil"/>
            </a:graphicData>
          </a:graphic>
        </xdr:graphicFrame>
      </mc:Choice>
      <mc:Fallback xmlns="">
        <xdr:sp macro="" textlink="">
          <xdr:nvSpPr>
            <xdr:cNvPr id="0" name=""/>
            <xdr:cNvSpPr>
              <a:spLocks noTextEdit="1"/>
            </xdr:cNvSpPr>
          </xdr:nvSpPr>
          <xdr:spPr>
            <a:xfrm>
              <a:off x="14108906" y="23811"/>
              <a:ext cx="152399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37</xdr:col>
      <xdr:colOff>247556</xdr:colOff>
      <xdr:row>0</xdr:row>
      <xdr:rowOff>23811</xdr:rowOff>
    </xdr:from>
    <xdr:to>
      <xdr:col>60</xdr:col>
      <xdr:colOff>428625</xdr:colOff>
      <xdr:row>0</xdr:row>
      <xdr:rowOff>1319811</xdr:rowOff>
    </xdr:to>
    <mc:AlternateContent xmlns:mc="http://schemas.openxmlformats.org/markup-compatibility/2006" xmlns:sle15="http://schemas.microsoft.com/office/drawing/2012/slicer">
      <mc:Choice Requires="sle15">
        <xdr:graphicFrame macro="">
          <xdr:nvGraphicFramePr>
            <xdr:cNvPr id="8" name="Color"/>
            <xdr:cNvGraphicFramePr/>
          </xdr:nvGraphicFramePr>
          <xdr:xfrm>
            <a:off x="0" y="0"/>
            <a:ext cx="0" cy="0"/>
          </xdr:xfrm>
          <a:graphic>
            <a:graphicData uri="http://schemas.microsoft.com/office/drawing/2010/slicer">
              <sle:slicer xmlns:sle="http://schemas.microsoft.com/office/drawing/2010/slicer" name="Color"/>
            </a:graphicData>
          </a:graphic>
        </xdr:graphicFrame>
      </mc:Choice>
      <mc:Fallback xmlns="">
        <xdr:sp macro="" textlink="">
          <xdr:nvSpPr>
            <xdr:cNvPr id="0" name=""/>
            <xdr:cNvSpPr>
              <a:spLocks noTextEdit="1"/>
            </xdr:cNvSpPr>
          </xdr:nvSpPr>
          <xdr:spPr>
            <a:xfrm>
              <a:off x="9474900" y="23811"/>
              <a:ext cx="89544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81</xdr:col>
      <xdr:colOff>59532</xdr:colOff>
      <xdr:row>0</xdr:row>
      <xdr:rowOff>23812</xdr:rowOff>
    </xdr:from>
    <xdr:to>
      <xdr:col>85</xdr:col>
      <xdr:colOff>238125</xdr:colOff>
      <xdr:row>0</xdr:row>
      <xdr:rowOff>1319812</xdr:rowOff>
    </xdr:to>
    <mc:AlternateContent xmlns:mc="http://schemas.openxmlformats.org/markup-compatibility/2006" xmlns:sle15="http://schemas.microsoft.com/office/drawing/2012/slicer">
      <mc:Choice Requires="sle15">
        <xdr:graphicFrame macro="">
          <xdr:nvGraphicFramePr>
            <xdr:cNvPr id="9" name="Ult Cambio"/>
            <xdr:cNvGraphicFramePr/>
          </xdr:nvGraphicFramePr>
          <xdr:xfrm>
            <a:off x="0" y="0"/>
            <a:ext cx="0" cy="0"/>
          </xdr:xfrm>
          <a:graphic>
            <a:graphicData uri="http://schemas.microsoft.com/office/drawing/2010/slicer">
              <sle:slicer xmlns:sle="http://schemas.microsoft.com/office/drawing/2010/slicer" name="Ult Cambio"/>
            </a:graphicData>
          </a:graphic>
        </xdr:graphicFrame>
      </mc:Choice>
      <mc:Fallback xmlns="">
        <xdr:sp macro="" textlink="">
          <xdr:nvSpPr>
            <xdr:cNvPr id="0" name=""/>
            <xdr:cNvSpPr>
              <a:spLocks noTextEdit="1"/>
            </xdr:cNvSpPr>
          </xdr:nvSpPr>
          <xdr:spPr>
            <a:xfrm>
              <a:off x="15651957" y="23812"/>
              <a:ext cx="1338262"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mc:AlternateContent xmlns:mc="http://schemas.openxmlformats.org/markup-compatibility/2006">
    <mc:Choice xmlns:a14="http://schemas.microsoft.com/office/drawing/2010/main" Requires="a14">
      <xdr:twoCellAnchor editAs="absolute">
        <xdr:from>
          <xdr:col>1</xdr:col>
          <xdr:colOff>1038225</xdr:colOff>
          <xdr:row>0</xdr:row>
          <xdr:rowOff>1104900</xdr:rowOff>
        </xdr:from>
        <xdr:to>
          <xdr:col>3</xdr:col>
          <xdr:colOff>161925</xdr:colOff>
          <xdr:row>0</xdr:row>
          <xdr:rowOff>1343025</xdr:rowOff>
        </xdr:to>
        <xdr:sp macro="" textlink="">
          <xdr:nvSpPr>
            <xdr:cNvPr id="651144" name="cmdAlertas" hidden="1">
              <a:extLst>
                <a:ext uri="{63B3BB69-23CF-44E3-9099-C40C66FF867C}">
                  <a14:compatExt spid="_x0000_s6511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0</xdr:row>
          <xdr:rowOff>352425</xdr:rowOff>
        </xdr:to>
        <xdr:sp macro="" textlink="">
          <xdr:nvSpPr>
            <xdr:cNvPr id="1025880" name="TempCombo" hidden="1">
              <a:extLst>
                <a:ext uri="{63B3BB69-23CF-44E3-9099-C40C66FF867C}">
                  <a14:compatExt spid="_x0000_s10258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28575</xdr:colOff>
          <xdr:row>0</xdr:row>
          <xdr:rowOff>142875</xdr:rowOff>
        </xdr:from>
        <xdr:to>
          <xdr:col>2</xdr:col>
          <xdr:colOff>752475</xdr:colOff>
          <xdr:row>2</xdr:row>
          <xdr:rowOff>9525</xdr:rowOff>
        </xdr:to>
        <xdr:sp macro="" textlink="">
          <xdr:nvSpPr>
            <xdr:cNvPr id="763905" name="cmd_Volver" hidden="1">
              <a:extLst>
                <a:ext uri="{63B3BB69-23CF-44E3-9099-C40C66FF867C}">
                  <a14:compatExt spid="_x0000_s7639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28575</xdr:colOff>
          <xdr:row>2</xdr:row>
          <xdr:rowOff>19050</xdr:rowOff>
        </xdr:from>
        <xdr:to>
          <xdr:col>2</xdr:col>
          <xdr:colOff>742950</xdr:colOff>
          <xdr:row>3</xdr:row>
          <xdr:rowOff>123825</xdr:rowOff>
        </xdr:to>
        <xdr:sp macro="" textlink="">
          <xdr:nvSpPr>
            <xdr:cNvPr id="763906" name="cmdIr" hidden="1">
              <a:extLst>
                <a:ext uri="{63B3BB69-23CF-44E3-9099-C40C66FF867C}">
                  <a14:compatExt spid="_x0000_s7639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447675</xdr:colOff>
          <xdr:row>0</xdr:row>
          <xdr:rowOff>38100</xdr:rowOff>
        </xdr:from>
        <xdr:to>
          <xdr:col>7</xdr:col>
          <xdr:colOff>180975</xdr:colOff>
          <xdr:row>0</xdr:row>
          <xdr:rowOff>266700</xdr:rowOff>
        </xdr:to>
        <xdr:sp macro="" textlink="">
          <xdr:nvSpPr>
            <xdr:cNvPr id="698369" name="volver" hidden="1">
              <a:extLst>
                <a:ext uri="{63B3BB69-23CF-44E3-9099-C40C66FF867C}">
                  <a14:compatExt spid="_x0000_s6983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247650</xdr:colOff>
          <xdr:row>0</xdr:row>
          <xdr:rowOff>38100</xdr:rowOff>
        </xdr:from>
        <xdr:to>
          <xdr:col>7</xdr:col>
          <xdr:colOff>742950</xdr:colOff>
          <xdr:row>0</xdr:row>
          <xdr:rowOff>266700</xdr:rowOff>
        </xdr:to>
        <xdr:sp macro="" textlink="">
          <xdr:nvSpPr>
            <xdr:cNvPr id="698370" name="volver" hidden="1">
              <a:extLst>
                <a:ext uri="{63B3BB69-23CF-44E3-9099-C40C66FF867C}">
                  <a14:compatExt spid="_x0000_s69837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Volver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447675</xdr:colOff>
          <xdr:row>0</xdr:row>
          <xdr:rowOff>38100</xdr:rowOff>
        </xdr:from>
        <xdr:to>
          <xdr:col>7</xdr:col>
          <xdr:colOff>180975</xdr:colOff>
          <xdr:row>0</xdr:row>
          <xdr:rowOff>266700</xdr:rowOff>
        </xdr:to>
        <xdr:sp macro="" textlink="">
          <xdr:nvSpPr>
            <xdr:cNvPr id="755713" name="volver" hidden="1">
              <a:extLst>
                <a:ext uri="{63B3BB69-23CF-44E3-9099-C40C66FF867C}">
                  <a14:compatExt spid="_x0000_s7557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Volver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657225</xdr:colOff>
          <xdr:row>0</xdr:row>
          <xdr:rowOff>38100</xdr:rowOff>
        </xdr:from>
        <xdr:to>
          <xdr:col>6</xdr:col>
          <xdr:colOff>390525</xdr:colOff>
          <xdr:row>0</xdr:row>
          <xdr:rowOff>266700</xdr:rowOff>
        </xdr:to>
        <xdr:sp macro="" textlink="">
          <xdr:nvSpPr>
            <xdr:cNvPr id="755714" name="volver" hidden="1">
              <a:extLst>
                <a:ext uri="{63B3BB69-23CF-44E3-9099-C40C66FF867C}">
                  <a14:compatExt spid="_x0000_s7557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Ir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133350</xdr:colOff>
          <xdr:row>0</xdr:row>
          <xdr:rowOff>9525</xdr:rowOff>
        </xdr:from>
        <xdr:to>
          <xdr:col>6</xdr:col>
          <xdr:colOff>161925</xdr:colOff>
          <xdr:row>1</xdr:row>
          <xdr:rowOff>38100</xdr:rowOff>
        </xdr:to>
        <xdr:sp macro="" textlink="">
          <xdr:nvSpPr>
            <xdr:cNvPr id="404481" name="cmdVolver" hidden="1">
              <a:extLst>
                <a:ext uri="{63B3BB69-23CF-44E3-9099-C40C66FF867C}">
                  <a14:compatExt spid="_x0000_s404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19049</xdr:colOff>
          <xdr:row>2</xdr:row>
          <xdr:rowOff>38100</xdr:rowOff>
        </xdr:from>
        <xdr:to>
          <xdr:col>9</xdr:col>
          <xdr:colOff>302810</xdr:colOff>
          <xdr:row>11</xdr:row>
          <xdr:rowOff>66675</xdr:rowOff>
        </xdr:to>
        <xdr:pic>
          <xdr:nvPicPr>
            <xdr:cNvPr id="36" name="Imagen 35"/>
            <xdr:cNvPicPr>
              <a:picLocks noChangeAspect="1" noChangeArrowheads="1"/>
              <a:extLst>
                <a:ext uri="{84589F7E-364E-4C9E-8A38-B11213B215E9}">
                  <a14:cameraTool cellRange="Bodega!$A$1:$E$1" spid="_x0000_s1078486"/>
                </a:ext>
              </a:extLst>
            </xdr:cNvPicPr>
          </xdr:nvPicPr>
          <xdr:blipFill>
            <a:blip xmlns:r="http://schemas.openxmlformats.org/officeDocument/2006/relationships" r:embed="rId1"/>
            <a:srcRect/>
            <a:stretch>
              <a:fillRect/>
            </a:stretch>
          </xdr:blipFill>
          <xdr:spPr bwMode="auto">
            <a:xfrm>
              <a:off x="19049" y="361950"/>
              <a:ext cx="7313211" cy="148590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0</xdr:row>
          <xdr:rowOff>9525</xdr:rowOff>
        </xdr:from>
        <xdr:to>
          <xdr:col>0</xdr:col>
          <xdr:colOff>466725</xdr:colOff>
          <xdr:row>1</xdr:row>
          <xdr:rowOff>133350</xdr:rowOff>
        </xdr:to>
        <xdr:sp macro="" textlink="">
          <xdr:nvSpPr>
            <xdr:cNvPr id="87045" name="cmdVolver" hidden="1">
              <a:extLst>
                <a:ext uri="{63B3BB69-23CF-44E3-9099-C40C66FF867C}">
                  <a14:compatExt spid="_x0000_s870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1076325</xdr:colOff>
      <xdr:row>5</xdr:row>
      <xdr:rowOff>47625</xdr:rowOff>
    </xdr:from>
    <xdr:to>
      <xdr:col>1</xdr:col>
      <xdr:colOff>95250</xdr:colOff>
      <xdr:row>6</xdr:row>
      <xdr:rowOff>104775</xdr:rowOff>
    </xdr:to>
    <xdr:sp macro="" textlink="">
      <xdr:nvSpPr>
        <xdr:cNvPr id="15" name="Llamada con línea 1 (sin borde) 14"/>
        <xdr:cNvSpPr/>
      </xdr:nvSpPr>
      <xdr:spPr>
        <a:xfrm>
          <a:off x="1076325" y="857250"/>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4</a:t>
          </a:r>
        </a:p>
      </xdr:txBody>
    </xdr:sp>
    <xdr:clientData/>
  </xdr:twoCellAnchor>
  <xdr:twoCellAnchor>
    <xdr:from>
      <xdr:col>2</xdr:col>
      <xdr:colOff>0</xdr:colOff>
      <xdr:row>0</xdr:row>
      <xdr:rowOff>152400</xdr:rowOff>
    </xdr:from>
    <xdr:to>
      <xdr:col>2</xdr:col>
      <xdr:colOff>209550</xdr:colOff>
      <xdr:row>2</xdr:row>
      <xdr:rowOff>47625</xdr:rowOff>
    </xdr:to>
    <xdr:sp macro="" textlink="">
      <xdr:nvSpPr>
        <xdr:cNvPr id="29" name="Llamada con línea 1 (sin borde) 28"/>
        <xdr:cNvSpPr/>
      </xdr:nvSpPr>
      <xdr:spPr>
        <a:xfrm>
          <a:off x="1581150" y="152400"/>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a:t>
          </a:r>
        </a:p>
      </xdr:txBody>
    </xdr:sp>
    <xdr:clientData/>
  </xdr:twoCellAnchor>
  <xdr:twoCellAnchor>
    <xdr:from>
      <xdr:col>2</xdr:col>
      <xdr:colOff>447675</xdr:colOff>
      <xdr:row>2</xdr:row>
      <xdr:rowOff>9525</xdr:rowOff>
    </xdr:from>
    <xdr:to>
      <xdr:col>2</xdr:col>
      <xdr:colOff>657225</xdr:colOff>
      <xdr:row>3</xdr:row>
      <xdr:rowOff>66675</xdr:rowOff>
    </xdr:to>
    <xdr:sp macro="" textlink="">
      <xdr:nvSpPr>
        <xdr:cNvPr id="30" name="Llamada con línea 1 (sin borde) 29"/>
        <xdr:cNvSpPr/>
      </xdr:nvSpPr>
      <xdr:spPr>
        <a:xfrm>
          <a:off x="2143125" y="33337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a:t>
          </a:r>
        </a:p>
      </xdr:txBody>
    </xdr:sp>
    <xdr:clientData/>
  </xdr:twoCellAnchor>
  <xdr:twoCellAnchor>
    <xdr:from>
      <xdr:col>3</xdr:col>
      <xdr:colOff>333375</xdr:colOff>
      <xdr:row>1</xdr:row>
      <xdr:rowOff>114300</xdr:rowOff>
    </xdr:from>
    <xdr:to>
      <xdr:col>3</xdr:col>
      <xdr:colOff>542925</xdr:colOff>
      <xdr:row>3</xdr:row>
      <xdr:rowOff>9525</xdr:rowOff>
    </xdr:to>
    <xdr:sp macro="" textlink="">
      <xdr:nvSpPr>
        <xdr:cNvPr id="31" name="Llamada con línea 1 (sin borde) 30"/>
        <xdr:cNvSpPr/>
      </xdr:nvSpPr>
      <xdr:spPr>
        <a:xfrm>
          <a:off x="2676525" y="27622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3</a:t>
          </a:r>
        </a:p>
      </xdr:txBody>
    </xdr:sp>
    <xdr:clientData/>
  </xdr:twoCellAnchor>
  <xdr:twoCellAnchor>
    <xdr:from>
      <xdr:col>2</xdr:col>
      <xdr:colOff>180975</xdr:colOff>
      <xdr:row>4</xdr:row>
      <xdr:rowOff>142875</xdr:rowOff>
    </xdr:from>
    <xdr:to>
      <xdr:col>3</xdr:col>
      <xdr:colOff>95250</xdr:colOff>
      <xdr:row>6</xdr:row>
      <xdr:rowOff>38100</xdr:rowOff>
    </xdr:to>
    <xdr:sp macro="" textlink="">
      <xdr:nvSpPr>
        <xdr:cNvPr id="32" name="Llamada con línea 1 (sin borde) 31"/>
        <xdr:cNvSpPr/>
      </xdr:nvSpPr>
      <xdr:spPr>
        <a:xfrm>
          <a:off x="1876425" y="790575"/>
          <a:ext cx="676275" cy="219075"/>
        </a:xfrm>
        <a:prstGeom prst="callout1">
          <a:avLst>
            <a:gd name="adj1" fmla="val 49184"/>
            <a:gd name="adj2" fmla="val 14393"/>
            <a:gd name="adj3" fmla="val 16847"/>
            <a:gd name="adj4" fmla="val -101970"/>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5</a:t>
          </a:r>
        </a:p>
      </xdr:txBody>
    </xdr:sp>
    <xdr:clientData/>
  </xdr:twoCellAnchor>
  <xdr:twoCellAnchor>
    <xdr:from>
      <xdr:col>6</xdr:col>
      <xdr:colOff>66675</xdr:colOff>
      <xdr:row>9</xdr:row>
      <xdr:rowOff>133349</xdr:rowOff>
    </xdr:from>
    <xdr:to>
      <xdr:col>6</xdr:col>
      <xdr:colOff>409575</xdr:colOff>
      <xdr:row>11</xdr:row>
      <xdr:rowOff>104775</xdr:rowOff>
    </xdr:to>
    <xdr:sp macro="" textlink="">
      <xdr:nvSpPr>
        <xdr:cNvPr id="50" name="Llamada con línea 1 (sin borde) 49"/>
        <xdr:cNvSpPr/>
      </xdr:nvSpPr>
      <xdr:spPr>
        <a:xfrm>
          <a:off x="4810125" y="1590674"/>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6</a:t>
          </a:r>
        </a:p>
      </xdr:txBody>
    </xdr:sp>
    <xdr:clientData/>
  </xdr:twoCellAnchor>
  <xdr:twoCellAnchor>
    <xdr:from>
      <xdr:col>5</xdr:col>
      <xdr:colOff>142875</xdr:colOff>
      <xdr:row>10</xdr:row>
      <xdr:rowOff>152399</xdr:rowOff>
    </xdr:from>
    <xdr:to>
      <xdr:col>5</xdr:col>
      <xdr:colOff>485775</xdr:colOff>
      <xdr:row>12</xdr:row>
      <xdr:rowOff>19050</xdr:rowOff>
    </xdr:to>
    <xdr:sp macro="" textlink="">
      <xdr:nvSpPr>
        <xdr:cNvPr id="51" name="Llamada con línea 1 (sin borde) 50"/>
        <xdr:cNvSpPr/>
      </xdr:nvSpPr>
      <xdr:spPr>
        <a:xfrm>
          <a:off x="4010025" y="1771649"/>
          <a:ext cx="342900" cy="190501"/>
        </a:xfrm>
        <a:prstGeom prst="callout1">
          <a:avLst>
            <a:gd name="adj1" fmla="val 5499"/>
            <a:gd name="adj2" fmla="val 38549"/>
            <a:gd name="adj3" fmla="val -70110"/>
            <a:gd name="adj4" fmla="val 867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7</a:t>
          </a:r>
        </a:p>
      </xdr:txBody>
    </xdr:sp>
    <xdr:clientData/>
  </xdr:twoCellAnchor>
  <xdr:twoCellAnchor editAs="oneCell">
    <xdr:from>
      <xdr:col>0</xdr:col>
      <xdr:colOff>916945</xdr:colOff>
      <xdr:row>22</xdr:row>
      <xdr:rowOff>37233</xdr:rowOff>
    </xdr:from>
    <xdr:to>
      <xdr:col>0</xdr:col>
      <xdr:colOff>1133395</xdr:colOff>
      <xdr:row>23</xdr:row>
      <xdr:rowOff>843</xdr:rowOff>
    </xdr:to>
    <xdr:pic>
      <xdr:nvPicPr>
        <xdr:cNvPr id="4" name="Imagen 3"/>
        <xdr:cNvPicPr>
          <a:picLocks noChangeAspect="1"/>
        </xdr:cNvPicPr>
      </xdr:nvPicPr>
      <xdr:blipFill>
        <a:blip xmlns:r="http://schemas.openxmlformats.org/officeDocument/2006/relationships" r:embed="rId2"/>
        <a:stretch>
          <a:fillRect/>
        </a:stretch>
      </xdr:blipFill>
      <xdr:spPr>
        <a:xfrm>
          <a:off x="916945" y="3437658"/>
          <a:ext cx="216450" cy="173160"/>
        </a:xfrm>
        <a:prstGeom prst="rect">
          <a:avLst/>
        </a:prstGeom>
      </xdr:spPr>
    </xdr:pic>
    <xdr:clientData/>
  </xdr:twoCellAnchor>
  <xdr:twoCellAnchor editAs="oneCell">
    <xdr:from>
      <xdr:col>0</xdr:col>
      <xdr:colOff>925170</xdr:colOff>
      <xdr:row>24</xdr:row>
      <xdr:rowOff>35117</xdr:rowOff>
    </xdr:from>
    <xdr:to>
      <xdr:col>0</xdr:col>
      <xdr:colOff>1125170</xdr:colOff>
      <xdr:row>25</xdr:row>
      <xdr:rowOff>6519</xdr:rowOff>
    </xdr:to>
    <xdr:pic>
      <xdr:nvPicPr>
        <xdr:cNvPr id="6" name="Imagen 5"/>
        <xdr:cNvPicPr>
          <a:picLocks noChangeAspect="1"/>
        </xdr:cNvPicPr>
      </xdr:nvPicPr>
      <xdr:blipFill>
        <a:blip xmlns:r="http://schemas.openxmlformats.org/officeDocument/2006/relationships" r:embed="rId3"/>
        <a:stretch>
          <a:fillRect/>
        </a:stretch>
      </xdr:blipFill>
      <xdr:spPr>
        <a:xfrm>
          <a:off x="925170" y="3854642"/>
          <a:ext cx="200000" cy="180952"/>
        </a:xfrm>
        <a:prstGeom prst="rect">
          <a:avLst/>
        </a:prstGeom>
      </xdr:spPr>
    </xdr:pic>
    <xdr:clientData/>
  </xdr:twoCellAnchor>
  <xdr:twoCellAnchor editAs="oneCell">
    <xdr:from>
      <xdr:col>0</xdr:col>
      <xdr:colOff>914290</xdr:colOff>
      <xdr:row>25</xdr:row>
      <xdr:rowOff>33193</xdr:rowOff>
    </xdr:from>
    <xdr:to>
      <xdr:col>0</xdr:col>
      <xdr:colOff>1114290</xdr:colOff>
      <xdr:row>26</xdr:row>
      <xdr:rowOff>4595</xdr:rowOff>
    </xdr:to>
    <xdr:pic>
      <xdr:nvPicPr>
        <xdr:cNvPr id="7" name="Imagen 6"/>
        <xdr:cNvPicPr>
          <a:picLocks noChangeAspect="1"/>
        </xdr:cNvPicPr>
      </xdr:nvPicPr>
      <xdr:blipFill>
        <a:blip xmlns:r="http://schemas.openxmlformats.org/officeDocument/2006/relationships" r:embed="rId4"/>
        <a:stretch>
          <a:fillRect/>
        </a:stretch>
      </xdr:blipFill>
      <xdr:spPr>
        <a:xfrm>
          <a:off x="914290" y="4062268"/>
          <a:ext cx="200000" cy="180952"/>
        </a:xfrm>
        <a:prstGeom prst="rect">
          <a:avLst/>
        </a:prstGeom>
      </xdr:spPr>
    </xdr:pic>
    <xdr:clientData/>
  </xdr:twoCellAnchor>
  <xdr:twoCellAnchor editAs="oneCell">
    <xdr:from>
      <xdr:col>0</xdr:col>
      <xdr:colOff>933338</xdr:colOff>
      <xdr:row>26</xdr:row>
      <xdr:rowOff>31269</xdr:rowOff>
    </xdr:from>
    <xdr:to>
      <xdr:col>0</xdr:col>
      <xdr:colOff>1114290</xdr:colOff>
      <xdr:row>26</xdr:row>
      <xdr:rowOff>202698</xdr:rowOff>
    </xdr:to>
    <xdr:pic>
      <xdr:nvPicPr>
        <xdr:cNvPr id="8" name="Imagen 7"/>
        <xdr:cNvPicPr>
          <a:picLocks noChangeAspect="1"/>
        </xdr:cNvPicPr>
      </xdr:nvPicPr>
      <xdr:blipFill>
        <a:blip xmlns:r="http://schemas.openxmlformats.org/officeDocument/2006/relationships" r:embed="rId5"/>
        <a:stretch>
          <a:fillRect/>
        </a:stretch>
      </xdr:blipFill>
      <xdr:spPr>
        <a:xfrm>
          <a:off x="933338" y="4269894"/>
          <a:ext cx="180952" cy="171429"/>
        </a:xfrm>
        <a:prstGeom prst="rect">
          <a:avLst/>
        </a:prstGeom>
      </xdr:spPr>
    </xdr:pic>
    <xdr:clientData/>
  </xdr:twoCellAnchor>
  <xdr:twoCellAnchor editAs="oneCell">
    <xdr:from>
      <xdr:col>0</xdr:col>
      <xdr:colOff>933338</xdr:colOff>
      <xdr:row>27</xdr:row>
      <xdr:rowOff>19822</xdr:rowOff>
    </xdr:from>
    <xdr:to>
      <xdr:col>0</xdr:col>
      <xdr:colOff>1114290</xdr:colOff>
      <xdr:row>27</xdr:row>
      <xdr:rowOff>200774</xdr:rowOff>
    </xdr:to>
    <xdr:pic>
      <xdr:nvPicPr>
        <xdr:cNvPr id="9" name="Imagen 8"/>
        <xdr:cNvPicPr>
          <a:picLocks noChangeAspect="1"/>
        </xdr:cNvPicPr>
      </xdr:nvPicPr>
      <xdr:blipFill>
        <a:blip xmlns:r="http://schemas.openxmlformats.org/officeDocument/2006/relationships" r:embed="rId6"/>
        <a:stretch>
          <a:fillRect/>
        </a:stretch>
      </xdr:blipFill>
      <xdr:spPr>
        <a:xfrm>
          <a:off x="933338" y="4467997"/>
          <a:ext cx="180952" cy="180952"/>
        </a:xfrm>
        <a:prstGeom prst="rect">
          <a:avLst/>
        </a:prstGeom>
      </xdr:spPr>
    </xdr:pic>
    <xdr:clientData/>
  </xdr:twoCellAnchor>
  <xdr:twoCellAnchor editAs="oneCell">
    <xdr:from>
      <xdr:col>0</xdr:col>
      <xdr:colOff>961909</xdr:colOff>
      <xdr:row>28</xdr:row>
      <xdr:rowOff>17898</xdr:rowOff>
    </xdr:from>
    <xdr:to>
      <xdr:col>0</xdr:col>
      <xdr:colOff>1114290</xdr:colOff>
      <xdr:row>28</xdr:row>
      <xdr:rowOff>198850</xdr:rowOff>
    </xdr:to>
    <xdr:pic>
      <xdr:nvPicPr>
        <xdr:cNvPr id="10" name="Imagen 9"/>
        <xdr:cNvPicPr>
          <a:picLocks noChangeAspect="1"/>
        </xdr:cNvPicPr>
      </xdr:nvPicPr>
      <xdr:blipFill>
        <a:blip xmlns:r="http://schemas.openxmlformats.org/officeDocument/2006/relationships" r:embed="rId7"/>
        <a:stretch>
          <a:fillRect/>
        </a:stretch>
      </xdr:blipFill>
      <xdr:spPr>
        <a:xfrm>
          <a:off x="961909" y="4675623"/>
          <a:ext cx="152381" cy="180952"/>
        </a:xfrm>
        <a:prstGeom prst="rect">
          <a:avLst/>
        </a:prstGeom>
      </xdr:spPr>
    </xdr:pic>
    <xdr:clientData/>
  </xdr:twoCellAnchor>
  <xdr:twoCellAnchor editAs="oneCell">
    <xdr:from>
      <xdr:col>0</xdr:col>
      <xdr:colOff>923814</xdr:colOff>
      <xdr:row>29</xdr:row>
      <xdr:rowOff>15974</xdr:rowOff>
    </xdr:from>
    <xdr:to>
      <xdr:col>0</xdr:col>
      <xdr:colOff>1114290</xdr:colOff>
      <xdr:row>29</xdr:row>
      <xdr:rowOff>206450</xdr:rowOff>
    </xdr:to>
    <xdr:pic>
      <xdr:nvPicPr>
        <xdr:cNvPr id="11" name="Imagen 10"/>
        <xdr:cNvPicPr>
          <a:picLocks noChangeAspect="1"/>
        </xdr:cNvPicPr>
      </xdr:nvPicPr>
      <xdr:blipFill>
        <a:blip xmlns:r="http://schemas.openxmlformats.org/officeDocument/2006/relationships" r:embed="rId8"/>
        <a:stretch>
          <a:fillRect/>
        </a:stretch>
      </xdr:blipFill>
      <xdr:spPr>
        <a:xfrm>
          <a:off x="923814" y="4883249"/>
          <a:ext cx="190476" cy="190476"/>
        </a:xfrm>
        <a:prstGeom prst="rect">
          <a:avLst/>
        </a:prstGeom>
      </xdr:spPr>
    </xdr:pic>
    <xdr:clientData/>
  </xdr:twoCellAnchor>
  <xdr:twoCellAnchor editAs="oneCell">
    <xdr:from>
      <xdr:col>0</xdr:col>
      <xdr:colOff>923814</xdr:colOff>
      <xdr:row>30</xdr:row>
      <xdr:rowOff>23574</xdr:rowOff>
    </xdr:from>
    <xdr:to>
      <xdr:col>0</xdr:col>
      <xdr:colOff>1114290</xdr:colOff>
      <xdr:row>31</xdr:row>
      <xdr:rowOff>14024</xdr:rowOff>
    </xdr:to>
    <xdr:pic>
      <xdr:nvPicPr>
        <xdr:cNvPr id="12" name="Imagen 11"/>
        <xdr:cNvPicPr>
          <a:picLocks noChangeAspect="1"/>
        </xdr:cNvPicPr>
      </xdr:nvPicPr>
      <xdr:blipFill>
        <a:blip xmlns:r="http://schemas.openxmlformats.org/officeDocument/2006/relationships" r:embed="rId9"/>
        <a:stretch>
          <a:fillRect/>
        </a:stretch>
      </xdr:blipFill>
      <xdr:spPr>
        <a:xfrm>
          <a:off x="923814" y="5100399"/>
          <a:ext cx="190476" cy="200000"/>
        </a:xfrm>
        <a:prstGeom prst="rect">
          <a:avLst/>
        </a:prstGeom>
      </xdr:spPr>
    </xdr:pic>
    <xdr:clientData/>
  </xdr:twoCellAnchor>
  <xdr:twoCellAnchor editAs="oneCell">
    <xdr:from>
      <xdr:col>0</xdr:col>
      <xdr:colOff>876195</xdr:colOff>
      <xdr:row>31</xdr:row>
      <xdr:rowOff>40695</xdr:rowOff>
    </xdr:from>
    <xdr:to>
      <xdr:col>0</xdr:col>
      <xdr:colOff>1114290</xdr:colOff>
      <xdr:row>32</xdr:row>
      <xdr:rowOff>12097</xdr:rowOff>
    </xdr:to>
    <xdr:pic>
      <xdr:nvPicPr>
        <xdr:cNvPr id="16" name="Imagen 15"/>
        <xdr:cNvPicPr>
          <a:picLocks noChangeAspect="1"/>
        </xdr:cNvPicPr>
      </xdr:nvPicPr>
      <xdr:blipFill>
        <a:blip xmlns:r="http://schemas.openxmlformats.org/officeDocument/2006/relationships" r:embed="rId10"/>
        <a:stretch>
          <a:fillRect/>
        </a:stretch>
      </xdr:blipFill>
      <xdr:spPr>
        <a:xfrm>
          <a:off x="876195" y="5327070"/>
          <a:ext cx="238095" cy="180952"/>
        </a:xfrm>
        <a:prstGeom prst="rect">
          <a:avLst/>
        </a:prstGeom>
      </xdr:spPr>
    </xdr:pic>
    <xdr:clientData/>
  </xdr:twoCellAnchor>
  <xdr:twoCellAnchor editAs="oneCell">
    <xdr:from>
      <xdr:col>0</xdr:col>
      <xdr:colOff>933338</xdr:colOff>
      <xdr:row>32</xdr:row>
      <xdr:rowOff>58879</xdr:rowOff>
    </xdr:from>
    <xdr:to>
      <xdr:col>0</xdr:col>
      <xdr:colOff>1114290</xdr:colOff>
      <xdr:row>33</xdr:row>
      <xdr:rowOff>1710</xdr:rowOff>
    </xdr:to>
    <xdr:pic>
      <xdr:nvPicPr>
        <xdr:cNvPr id="17" name="Imagen 16"/>
        <xdr:cNvPicPr>
          <a:picLocks noChangeAspect="1"/>
        </xdr:cNvPicPr>
      </xdr:nvPicPr>
      <xdr:blipFill>
        <a:blip xmlns:r="http://schemas.openxmlformats.org/officeDocument/2006/relationships" r:embed="rId11"/>
        <a:stretch>
          <a:fillRect/>
        </a:stretch>
      </xdr:blipFill>
      <xdr:spPr>
        <a:xfrm>
          <a:off x="933338" y="5554804"/>
          <a:ext cx="180952" cy="152381"/>
        </a:xfrm>
        <a:prstGeom prst="rect">
          <a:avLst/>
        </a:prstGeom>
      </xdr:spPr>
    </xdr:pic>
    <xdr:clientData/>
  </xdr:twoCellAnchor>
  <xdr:twoCellAnchor editAs="oneCell">
    <xdr:from>
      <xdr:col>0</xdr:col>
      <xdr:colOff>819052</xdr:colOff>
      <xdr:row>33</xdr:row>
      <xdr:rowOff>38967</xdr:rowOff>
    </xdr:from>
    <xdr:to>
      <xdr:col>0</xdr:col>
      <xdr:colOff>1114290</xdr:colOff>
      <xdr:row>34</xdr:row>
      <xdr:rowOff>846</xdr:rowOff>
    </xdr:to>
    <xdr:pic>
      <xdr:nvPicPr>
        <xdr:cNvPr id="18" name="Imagen 17"/>
        <xdr:cNvPicPr>
          <a:picLocks noChangeAspect="1"/>
        </xdr:cNvPicPr>
      </xdr:nvPicPr>
      <xdr:blipFill>
        <a:blip xmlns:r="http://schemas.openxmlformats.org/officeDocument/2006/relationships" r:embed="rId12"/>
        <a:stretch>
          <a:fillRect/>
        </a:stretch>
      </xdr:blipFill>
      <xdr:spPr>
        <a:xfrm>
          <a:off x="819052" y="5744442"/>
          <a:ext cx="295238" cy="171429"/>
        </a:xfrm>
        <a:prstGeom prst="rect">
          <a:avLst/>
        </a:prstGeom>
      </xdr:spPr>
    </xdr:pic>
    <xdr:clientData/>
  </xdr:twoCellAnchor>
  <xdr:twoCellAnchor editAs="oneCell">
    <xdr:from>
      <xdr:col>0</xdr:col>
      <xdr:colOff>38100</xdr:colOff>
      <xdr:row>35</xdr:row>
      <xdr:rowOff>28575</xdr:rowOff>
    </xdr:from>
    <xdr:to>
      <xdr:col>0</xdr:col>
      <xdr:colOff>1114290</xdr:colOff>
      <xdr:row>36</xdr:row>
      <xdr:rowOff>19025</xdr:rowOff>
    </xdr:to>
    <xdr:pic>
      <xdr:nvPicPr>
        <xdr:cNvPr id="19" name="Imagen 18"/>
        <xdr:cNvPicPr>
          <a:picLocks noChangeAspect="1"/>
        </xdr:cNvPicPr>
      </xdr:nvPicPr>
      <xdr:blipFill>
        <a:blip xmlns:r="http://schemas.openxmlformats.org/officeDocument/2006/relationships" r:embed="rId13"/>
        <a:stretch>
          <a:fillRect/>
        </a:stretch>
      </xdr:blipFill>
      <xdr:spPr>
        <a:xfrm>
          <a:off x="38100" y="6153150"/>
          <a:ext cx="1076190" cy="200000"/>
        </a:xfrm>
        <a:prstGeom prst="rect">
          <a:avLst/>
        </a:prstGeom>
      </xdr:spPr>
    </xdr:pic>
    <xdr:clientData/>
  </xdr:twoCellAnchor>
  <xdr:twoCellAnchor editAs="oneCell">
    <xdr:from>
      <xdr:col>0</xdr:col>
      <xdr:colOff>933338</xdr:colOff>
      <xdr:row>41</xdr:row>
      <xdr:rowOff>57150</xdr:rowOff>
    </xdr:from>
    <xdr:to>
      <xdr:col>0</xdr:col>
      <xdr:colOff>1114290</xdr:colOff>
      <xdr:row>42</xdr:row>
      <xdr:rowOff>19029</xdr:rowOff>
    </xdr:to>
    <xdr:pic>
      <xdr:nvPicPr>
        <xdr:cNvPr id="20" name="Imagen 19"/>
        <xdr:cNvPicPr>
          <a:picLocks noChangeAspect="1"/>
        </xdr:cNvPicPr>
      </xdr:nvPicPr>
      <xdr:blipFill>
        <a:blip xmlns:r="http://schemas.openxmlformats.org/officeDocument/2006/relationships" r:embed="rId14"/>
        <a:stretch>
          <a:fillRect/>
        </a:stretch>
      </xdr:blipFill>
      <xdr:spPr>
        <a:xfrm>
          <a:off x="933338" y="7439025"/>
          <a:ext cx="180952" cy="171429"/>
        </a:xfrm>
        <a:prstGeom prst="rect">
          <a:avLst/>
        </a:prstGeom>
      </xdr:spPr>
    </xdr:pic>
    <xdr:clientData/>
  </xdr:twoCellAnchor>
  <xdr:twoCellAnchor editAs="oneCell">
    <xdr:from>
      <xdr:col>0</xdr:col>
      <xdr:colOff>923814</xdr:colOff>
      <xdr:row>42</xdr:row>
      <xdr:rowOff>19050</xdr:rowOff>
    </xdr:from>
    <xdr:to>
      <xdr:col>0</xdr:col>
      <xdr:colOff>1114290</xdr:colOff>
      <xdr:row>42</xdr:row>
      <xdr:rowOff>209526</xdr:rowOff>
    </xdr:to>
    <xdr:pic>
      <xdr:nvPicPr>
        <xdr:cNvPr id="21" name="Imagen 20"/>
        <xdr:cNvPicPr>
          <a:picLocks noChangeAspect="1"/>
        </xdr:cNvPicPr>
      </xdr:nvPicPr>
      <xdr:blipFill>
        <a:blip xmlns:r="http://schemas.openxmlformats.org/officeDocument/2006/relationships" r:embed="rId15"/>
        <a:stretch>
          <a:fillRect/>
        </a:stretch>
      </xdr:blipFill>
      <xdr:spPr>
        <a:xfrm>
          <a:off x="923814" y="8029575"/>
          <a:ext cx="190476" cy="190476"/>
        </a:xfrm>
        <a:prstGeom prst="rect">
          <a:avLst/>
        </a:prstGeom>
      </xdr:spPr>
    </xdr:pic>
    <xdr:clientData/>
  </xdr:twoCellAnchor>
  <xdr:twoCellAnchor editAs="oneCell">
    <xdr:from>
      <xdr:col>0</xdr:col>
      <xdr:colOff>857147</xdr:colOff>
      <xdr:row>43</xdr:row>
      <xdr:rowOff>47623</xdr:rowOff>
    </xdr:from>
    <xdr:to>
      <xdr:col>0</xdr:col>
      <xdr:colOff>1114290</xdr:colOff>
      <xdr:row>44</xdr:row>
      <xdr:rowOff>9502</xdr:rowOff>
    </xdr:to>
    <xdr:pic>
      <xdr:nvPicPr>
        <xdr:cNvPr id="22" name="Imagen 21"/>
        <xdr:cNvPicPr>
          <a:picLocks noChangeAspect="1"/>
        </xdr:cNvPicPr>
      </xdr:nvPicPr>
      <xdr:blipFill>
        <a:blip xmlns:r="http://schemas.openxmlformats.org/officeDocument/2006/relationships" r:embed="rId16"/>
        <a:stretch>
          <a:fillRect/>
        </a:stretch>
      </xdr:blipFill>
      <xdr:spPr>
        <a:xfrm>
          <a:off x="857147" y="8267698"/>
          <a:ext cx="257143" cy="171429"/>
        </a:xfrm>
        <a:prstGeom prst="rect">
          <a:avLst/>
        </a:prstGeom>
      </xdr:spPr>
    </xdr:pic>
    <xdr:clientData/>
  </xdr:twoCellAnchor>
  <xdr:twoCellAnchor editAs="oneCell">
    <xdr:from>
      <xdr:col>0</xdr:col>
      <xdr:colOff>914290</xdr:colOff>
      <xdr:row>44</xdr:row>
      <xdr:rowOff>57150</xdr:rowOff>
    </xdr:from>
    <xdr:to>
      <xdr:col>0</xdr:col>
      <xdr:colOff>1114290</xdr:colOff>
      <xdr:row>45</xdr:row>
      <xdr:rowOff>9505</xdr:rowOff>
    </xdr:to>
    <xdr:pic>
      <xdr:nvPicPr>
        <xdr:cNvPr id="24" name="Imagen 23"/>
        <xdr:cNvPicPr>
          <a:picLocks noChangeAspect="1"/>
        </xdr:cNvPicPr>
      </xdr:nvPicPr>
      <xdr:blipFill>
        <a:blip xmlns:r="http://schemas.openxmlformats.org/officeDocument/2006/relationships" r:embed="rId17"/>
        <a:stretch>
          <a:fillRect/>
        </a:stretch>
      </xdr:blipFill>
      <xdr:spPr>
        <a:xfrm>
          <a:off x="914290" y="8067675"/>
          <a:ext cx="200000" cy="161905"/>
        </a:xfrm>
        <a:prstGeom prst="rect">
          <a:avLst/>
        </a:prstGeom>
      </xdr:spPr>
    </xdr:pic>
    <xdr:clientData/>
  </xdr:twoCellAnchor>
  <xdr:twoCellAnchor>
    <xdr:from>
      <xdr:col>7</xdr:col>
      <xdr:colOff>295275</xdr:colOff>
      <xdr:row>6</xdr:row>
      <xdr:rowOff>57149</xdr:rowOff>
    </xdr:from>
    <xdr:to>
      <xdr:col>7</xdr:col>
      <xdr:colOff>638175</xdr:colOff>
      <xdr:row>8</xdr:row>
      <xdr:rowOff>28575</xdr:rowOff>
    </xdr:to>
    <xdr:sp macro="" textlink="">
      <xdr:nvSpPr>
        <xdr:cNvPr id="57" name="Llamada con línea 1 (sin borde) 56"/>
        <xdr:cNvSpPr/>
      </xdr:nvSpPr>
      <xdr:spPr>
        <a:xfrm>
          <a:off x="5686425" y="1028699"/>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8</a:t>
          </a:r>
        </a:p>
      </xdr:txBody>
    </xdr:sp>
    <xdr:clientData/>
  </xdr:twoCellAnchor>
  <xdr:twoCellAnchor editAs="oneCell">
    <xdr:from>
      <xdr:col>0</xdr:col>
      <xdr:colOff>971433</xdr:colOff>
      <xdr:row>34</xdr:row>
      <xdr:rowOff>28575</xdr:rowOff>
    </xdr:from>
    <xdr:to>
      <xdr:col>0</xdr:col>
      <xdr:colOff>1114290</xdr:colOff>
      <xdr:row>34</xdr:row>
      <xdr:rowOff>209527</xdr:rowOff>
    </xdr:to>
    <xdr:pic>
      <xdr:nvPicPr>
        <xdr:cNvPr id="13" name="Imagen 12"/>
        <xdr:cNvPicPr>
          <a:picLocks noChangeAspect="1"/>
        </xdr:cNvPicPr>
      </xdr:nvPicPr>
      <xdr:blipFill>
        <a:blip xmlns:r="http://schemas.openxmlformats.org/officeDocument/2006/relationships" r:embed="rId18"/>
        <a:stretch>
          <a:fillRect/>
        </a:stretch>
      </xdr:blipFill>
      <xdr:spPr>
        <a:xfrm>
          <a:off x="971433" y="5943600"/>
          <a:ext cx="142857" cy="180952"/>
        </a:xfrm>
        <a:prstGeom prst="rect">
          <a:avLst/>
        </a:prstGeom>
      </xdr:spPr>
    </xdr:pic>
    <xdr:clientData/>
  </xdr:twoCellAnchor>
  <xdr:twoCellAnchor editAs="oneCell">
    <xdr:from>
      <xdr:col>0</xdr:col>
      <xdr:colOff>923814</xdr:colOff>
      <xdr:row>45</xdr:row>
      <xdr:rowOff>28575</xdr:rowOff>
    </xdr:from>
    <xdr:to>
      <xdr:col>0</xdr:col>
      <xdr:colOff>1114290</xdr:colOff>
      <xdr:row>45</xdr:row>
      <xdr:rowOff>209527</xdr:rowOff>
    </xdr:to>
    <xdr:pic>
      <xdr:nvPicPr>
        <xdr:cNvPr id="14" name="Imagen 13"/>
        <xdr:cNvPicPr>
          <a:picLocks noChangeAspect="1"/>
        </xdr:cNvPicPr>
      </xdr:nvPicPr>
      <xdr:blipFill>
        <a:blip xmlns:r="http://schemas.openxmlformats.org/officeDocument/2006/relationships" r:embed="rId19"/>
        <a:stretch>
          <a:fillRect/>
        </a:stretch>
      </xdr:blipFill>
      <xdr:spPr>
        <a:xfrm>
          <a:off x="923814" y="8248650"/>
          <a:ext cx="190476" cy="180952"/>
        </a:xfrm>
        <a:prstGeom prst="rect">
          <a:avLst/>
        </a:prstGeom>
      </xdr:spPr>
    </xdr:pic>
    <xdr:clientData/>
  </xdr:twoCellAnchor>
  <xdr:twoCellAnchor editAs="oneCell">
    <xdr:from>
      <xdr:col>0</xdr:col>
      <xdr:colOff>914400</xdr:colOff>
      <xdr:row>46</xdr:row>
      <xdr:rowOff>9510</xdr:rowOff>
    </xdr:from>
    <xdr:to>
      <xdr:col>0</xdr:col>
      <xdr:colOff>1133475</xdr:colOff>
      <xdr:row>46</xdr:row>
      <xdr:rowOff>209535</xdr:rowOff>
    </xdr:to>
    <xdr:pic>
      <xdr:nvPicPr>
        <xdr:cNvPr id="3" name="Imagen 2"/>
        <xdr:cNvPicPr>
          <a:picLocks noChangeAspect="1"/>
        </xdr:cNvPicPr>
      </xdr:nvPicPr>
      <xdr:blipFill rotWithShape="1">
        <a:blip xmlns:r="http://schemas.openxmlformats.org/officeDocument/2006/relationships" r:embed="rId20"/>
        <a:srcRect r="66172" b="-5013"/>
        <a:stretch/>
      </xdr:blipFill>
      <xdr:spPr>
        <a:xfrm>
          <a:off x="914400" y="8439135"/>
          <a:ext cx="219075" cy="200025"/>
        </a:xfrm>
        <a:prstGeom prst="rect">
          <a:avLst/>
        </a:prstGeom>
      </xdr:spPr>
    </xdr:pic>
    <xdr:clientData/>
  </xdr:twoCellAnchor>
  <xdr:twoCellAnchor editAs="oneCell">
    <xdr:from>
      <xdr:col>0</xdr:col>
      <xdr:colOff>904875</xdr:colOff>
      <xdr:row>47</xdr:row>
      <xdr:rowOff>9518</xdr:rowOff>
    </xdr:from>
    <xdr:to>
      <xdr:col>0</xdr:col>
      <xdr:colOff>1104900</xdr:colOff>
      <xdr:row>47</xdr:row>
      <xdr:rowOff>161918</xdr:rowOff>
    </xdr:to>
    <xdr:pic>
      <xdr:nvPicPr>
        <xdr:cNvPr id="33" name="Imagen 32"/>
        <xdr:cNvPicPr>
          <a:picLocks noChangeAspect="1"/>
        </xdr:cNvPicPr>
      </xdr:nvPicPr>
      <xdr:blipFill rotWithShape="1">
        <a:blip xmlns:r="http://schemas.openxmlformats.org/officeDocument/2006/relationships" r:embed="rId20"/>
        <a:srcRect l="39711" t="10001" r="29403" b="9989"/>
        <a:stretch/>
      </xdr:blipFill>
      <xdr:spPr>
        <a:xfrm>
          <a:off x="904875" y="8648693"/>
          <a:ext cx="200025" cy="152400"/>
        </a:xfrm>
        <a:prstGeom prst="rect">
          <a:avLst/>
        </a:prstGeom>
      </xdr:spPr>
    </xdr:pic>
    <xdr:clientData/>
  </xdr:twoCellAnchor>
  <xdr:twoCellAnchor editAs="oneCell">
    <xdr:from>
      <xdr:col>0</xdr:col>
      <xdr:colOff>914400</xdr:colOff>
      <xdr:row>47</xdr:row>
      <xdr:rowOff>171450</xdr:rowOff>
    </xdr:from>
    <xdr:to>
      <xdr:col>0</xdr:col>
      <xdr:colOff>1104819</xdr:colOff>
      <xdr:row>48</xdr:row>
      <xdr:rowOff>152376</xdr:rowOff>
    </xdr:to>
    <xdr:pic>
      <xdr:nvPicPr>
        <xdr:cNvPr id="34" name="Imagen 33"/>
        <xdr:cNvPicPr>
          <a:picLocks noChangeAspect="1"/>
        </xdr:cNvPicPr>
      </xdr:nvPicPr>
      <xdr:blipFill rotWithShape="1">
        <a:blip xmlns:r="http://schemas.openxmlformats.org/officeDocument/2006/relationships" r:embed="rId20"/>
        <a:srcRect l="70597"/>
        <a:stretch/>
      </xdr:blipFill>
      <xdr:spPr>
        <a:xfrm>
          <a:off x="914400" y="8810625"/>
          <a:ext cx="190419" cy="190476"/>
        </a:xfrm>
        <a:prstGeom prst="rect">
          <a:avLst/>
        </a:prstGeom>
      </xdr:spPr>
    </xdr:pic>
    <xdr:clientData/>
  </xdr:twoCellAnchor>
  <xdr:twoCellAnchor>
    <xdr:from>
      <xdr:col>0</xdr:col>
      <xdr:colOff>371475</xdr:colOff>
      <xdr:row>7</xdr:row>
      <xdr:rowOff>9524</xdr:rowOff>
    </xdr:from>
    <xdr:to>
      <xdr:col>0</xdr:col>
      <xdr:colOff>714375</xdr:colOff>
      <xdr:row>8</xdr:row>
      <xdr:rowOff>142875</xdr:rowOff>
    </xdr:to>
    <xdr:sp macro="" textlink="">
      <xdr:nvSpPr>
        <xdr:cNvPr id="35" name="Llamada con línea 1 (sin borde) 34"/>
        <xdr:cNvSpPr/>
      </xdr:nvSpPr>
      <xdr:spPr>
        <a:xfrm>
          <a:off x="371475" y="1142999"/>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9</a:t>
          </a:r>
        </a:p>
      </xdr:txBody>
    </xdr:sp>
    <xdr:clientData/>
  </xdr:twoCellAnchor>
  <xdr:twoCellAnchor editAs="oneCell">
    <xdr:from>
      <xdr:col>0</xdr:col>
      <xdr:colOff>933450</xdr:colOff>
      <xdr:row>23</xdr:row>
      <xdr:rowOff>19050</xdr:rowOff>
    </xdr:from>
    <xdr:to>
      <xdr:col>0</xdr:col>
      <xdr:colOff>1123950</xdr:colOff>
      <xdr:row>24</xdr:row>
      <xdr:rowOff>9525</xdr:rowOff>
    </xdr:to>
    <xdr:pic>
      <xdr:nvPicPr>
        <xdr:cNvPr id="37" name="Imagen 36"/>
        <xdr:cNvPicPr>
          <a:picLocks noChangeAspect="1"/>
        </xdr:cNvPicPr>
      </xdr:nvPicPr>
      <xdr:blipFill rotWithShape="1">
        <a:blip xmlns:r="http://schemas.openxmlformats.org/officeDocument/2006/relationships" r:embed="rId21" cstate="email">
          <a:extLst>
            <a:ext uri="{28A0092B-C50C-407E-A947-70E740481C1C}">
              <a14:useLocalDpi xmlns:a14="http://schemas.microsoft.com/office/drawing/2010/main"/>
            </a:ext>
          </a:extLst>
        </a:blip>
        <a:srcRect/>
        <a:stretch/>
      </xdr:blipFill>
      <xdr:spPr>
        <a:xfrm>
          <a:off x="933450" y="3790950"/>
          <a:ext cx="190500" cy="20002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28</xdr:col>
          <xdr:colOff>104775</xdr:colOff>
          <xdr:row>5</xdr:row>
          <xdr:rowOff>66675</xdr:rowOff>
        </xdr:from>
        <xdr:to>
          <xdr:col>29</xdr:col>
          <xdr:colOff>561975</xdr:colOff>
          <xdr:row>7</xdr:row>
          <xdr:rowOff>104775</xdr:rowOff>
        </xdr:to>
        <xdr:sp macro="" textlink="">
          <xdr:nvSpPr>
            <xdr:cNvPr id="605186" name="Button 2" hidden="1">
              <a:extLst>
                <a:ext uri="{63B3BB69-23CF-44E3-9099-C40C66FF867C}">
                  <a14:compatExt spid="_x0000_s6051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Range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10</xdr:row>
          <xdr:rowOff>85725</xdr:rowOff>
        </xdr:from>
        <xdr:to>
          <xdr:col>29</xdr:col>
          <xdr:colOff>561975</xdr:colOff>
          <xdr:row>12</xdr:row>
          <xdr:rowOff>123825</xdr:rowOff>
        </xdr:to>
        <xdr:sp macro="" textlink="">
          <xdr:nvSpPr>
            <xdr:cNvPr id="605187" name="Button 3" hidden="1">
              <a:extLst>
                <a:ext uri="{63B3BB69-23CF-44E3-9099-C40C66FF867C}">
                  <a14:compatExt spid="_x0000_s6051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Sheet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7</xdr:row>
          <xdr:rowOff>152400</xdr:rowOff>
        </xdr:from>
        <xdr:to>
          <xdr:col>29</xdr:col>
          <xdr:colOff>561975</xdr:colOff>
          <xdr:row>10</xdr:row>
          <xdr:rowOff>28575</xdr:rowOff>
        </xdr:to>
        <xdr:sp macro="" textlink="">
          <xdr:nvSpPr>
            <xdr:cNvPr id="605188" name="Button 4" hidden="1">
              <a:extLst>
                <a:ext uri="{63B3BB69-23CF-44E3-9099-C40C66FF867C}">
                  <a14:compatExt spid="_x0000_s6051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Recalc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13</xdr:row>
          <xdr:rowOff>0</xdr:rowOff>
        </xdr:from>
        <xdr:to>
          <xdr:col>29</xdr:col>
          <xdr:colOff>561975</xdr:colOff>
          <xdr:row>15</xdr:row>
          <xdr:rowOff>47625</xdr:rowOff>
        </xdr:to>
        <xdr:sp macro="" textlink="">
          <xdr:nvSpPr>
            <xdr:cNvPr id="605189" name="Button 5" hidden="1">
              <a:extLst>
                <a:ext uri="{63B3BB69-23CF-44E3-9099-C40C66FF867C}">
                  <a14:compatExt spid="_x0000_s6051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Full Calc Timer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2990850</xdr:colOff>
          <xdr:row>16</xdr:row>
          <xdr:rowOff>38100</xdr:rowOff>
        </xdr:from>
        <xdr:to>
          <xdr:col>2</xdr:col>
          <xdr:colOff>4057650</xdr:colOff>
          <xdr:row>18</xdr:row>
          <xdr:rowOff>85725</xdr:rowOff>
        </xdr:to>
        <xdr:sp macro="" textlink="">
          <xdr:nvSpPr>
            <xdr:cNvPr id="607233" name="Button 1" hidden="1">
              <a:extLst>
                <a:ext uri="{63B3BB69-23CF-44E3-9099-C40C66FF867C}">
                  <a14:compatExt spid="_x0000_s6072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Range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21</xdr:row>
          <xdr:rowOff>85725</xdr:rowOff>
        </xdr:from>
        <xdr:to>
          <xdr:col>2</xdr:col>
          <xdr:colOff>4057650</xdr:colOff>
          <xdr:row>23</xdr:row>
          <xdr:rowOff>133350</xdr:rowOff>
        </xdr:to>
        <xdr:sp macro="" textlink="">
          <xdr:nvSpPr>
            <xdr:cNvPr id="607234" name="Button 2" hidden="1">
              <a:extLst>
                <a:ext uri="{63B3BB69-23CF-44E3-9099-C40C66FF867C}">
                  <a14:compatExt spid="_x0000_s6072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Sheet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18</xdr:row>
          <xdr:rowOff>133350</xdr:rowOff>
        </xdr:from>
        <xdr:to>
          <xdr:col>2</xdr:col>
          <xdr:colOff>4057650</xdr:colOff>
          <xdr:row>21</xdr:row>
          <xdr:rowOff>19050</xdr:rowOff>
        </xdr:to>
        <xdr:sp macro="" textlink="">
          <xdr:nvSpPr>
            <xdr:cNvPr id="607235" name="Button 3" hidden="1">
              <a:extLst>
                <a:ext uri="{63B3BB69-23CF-44E3-9099-C40C66FF867C}">
                  <a14:compatExt spid="_x0000_s6072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Recalc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24</xdr:row>
          <xdr:rowOff>9525</xdr:rowOff>
        </xdr:from>
        <xdr:to>
          <xdr:col>2</xdr:col>
          <xdr:colOff>4057650</xdr:colOff>
          <xdr:row>26</xdr:row>
          <xdr:rowOff>57150</xdr:rowOff>
        </xdr:to>
        <xdr:sp macro="" textlink="">
          <xdr:nvSpPr>
            <xdr:cNvPr id="607236" name="Button 4" hidden="1">
              <a:extLst>
                <a:ext uri="{63B3BB69-23CF-44E3-9099-C40C66FF867C}">
                  <a14:compatExt spid="_x0000_s6072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Full Calc Timer</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1419225</xdr:colOff>
          <xdr:row>0</xdr:row>
          <xdr:rowOff>0</xdr:rowOff>
        </xdr:from>
        <xdr:to>
          <xdr:col>10</xdr:col>
          <xdr:colOff>781050</xdr:colOff>
          <xdr:row>1</xdr:row>
          <xdr:rowOff>0</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752475</xdr:colOff>
          <xdr:row>0</xdr:row>
          <xdr:rowOff>9525</xdr:rowOff>
        </xdr:from>
        <xdr:to>
          <xdr:col>10</xdr:col>
          <xdr:colOff>1476375</xdr:colOff>
          <xdr:row>1</xdr:row>
          <xdr:rowOff>19050</xdr:rowOff>
        </xdr:to>
        <xdr:sp macro="" textlink="">
          <xdr:nvSpPr>
            <xdr:cNvPr id="2050" name="cmdRefrescarDatos"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9</xdr:col>
      <xdr:colOff>1323976</xdr:colOff>
      <xdr:row>31</xdr:row>
      <xdr:rowOff>73822</xdr:rowOff>
    </xdr:to>
    <xdr:graphicFrame macro="">
      <xdr:nvGraphicFramePr>
        <xdr:cNvPr id="3" name="Grafico_Dinamico_Buffer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35719</xdr:colOff>
      <xdr:row>0</xdr:row>
      <xdr:rowOff>0</xdr:rowOff>
    </xdr:from>
    <xdr:to>
      <xdr:col>9</xdr:col>
      <xdr:colOff>1345406</xdr:colOff>
      <xdr:row>31</xdr:row>
      <xdr:rowOff>88638</xdr:rowOff>
    </xdr:to>
    <xdr:graphicFrame macro="">
      <xdr:nvGraphicFramePr>
        <xdr:cNvPr id="2" name="Gráfico Zonas Buffer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20RAMCAS/RAM%20CAS/MEJORA%20CONTINUA/CENTRAL%20CONTROL%20BUFFER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ENTROCONTROL"/>
      <sheetName val="DatosHojaCB"/>
      <sheetName val="INICIO"/>
      <sheetName val="Control_Buffers"/>
      <sheetName val="Login"/>
      <sheetName val="Ayuda"/>
      <sheetName val="Todas"/>
      <sheetName val="Fechas_Refrescado"/>
      <sheetName val="Directorios"/>
      <sheetName val="EMPRESA"/>
      <sheetName val="EMPRESABODEGA"/>
      <sheetName val="ARCHIVOSCB"/>
      <sheetName val="ARCHIVOSBODEGAS"/>
      <sheetName val="PERFIL"/>
      <sheetName val="PROVEEDORES"/>
      <sheetName val="DIAS_RESTANTES"/>
      <sheetName val="NUMERO_ITEMS"/>
      <sheetName val="TRANSFERENCIAS"/>
      <sheetName val="ITEMS_EMPRESA"/>
      <sheetName val="PATH"/>
      <sheetName val="AUX"/>
      <sheetName val="BorraTransfer"/>
      <sheetName val="ITEMS_SELECCIONADOS"/>
      <sheetName val="DURACION"/>
      <sheetName val="Parametros"/>
      <sheetName val="Alertas"/>
      <sheetName val="USER"/>
      <sheetName val="ArchivosPermitidos"/>
    </sheetNames>
    <definedNames>
      <definedName name="FECHAINVFISICO"/>
      <definedName name="FINPERIODO"/>
      <definedName name="INIPERIODO"/>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Set>
  </externalBook>
</externalLink>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saveData="0" refreshedBy="RAMCAS" refreshedDate="42815.421181481484" refreshedVersion="5" recordCount="0">
  <cacheSource type="external" connectionId="3"/>
  <cacheFields count="16">
    <cacheField name="EMPRESA_CODIGO" numFmtId="0" sqlType="12">
      <sharedItems containsSemiMixedTypes="0" containsString="0"/>
    </cacheField>
    <cacheField name="EMPRESA_NOMBRE" numFmtId="0" sqlType="12">
      <sharedItems containsSemiMixedTypes="0" containsString="0"/>
    </cacheField>
    <cacheField name="BODEGA_CODIGO" numFmtId="0" sqlType="12">
      <sharedItems containsSemiMixedTypes="0" containsString="0"/>
    </cacheField>
    <cacheField name="BODEGA_NOMBRE" numFmtId="0" sqlType="12">
      <sharedItems count="2">
        <s v="Bodega Central Agrota" u="1"/>
        <s v="PRODUCTO TERMINADO" u="1"/>
      </sharedItems>
    </cacheField>
    <cacheField name="CODIGO" numFmtId="0" sqlType="12">
      <sharedItems count="3229">
        <s v="140122102054280" u="1"/>
        <s v="110107110548734" u="1"/>
        <s v="111201094307160" u="1"/>
        <s v="140604161114866" u="1"/>
        <s v="120123155040006" u="1"/>
        <s v="140327095900069" u="1"/>
        <s v="110126114541063" u="1"/>
        <s v="110107110815546" u="1"/>
        <s v="131111173946208" u="1"/>
        <s v="110126132712013" u="1"/>
        <s v="10102013241613" u="1"/>
        <s v="140401152605554" u="1"/>
        <s v="150513161013961" u="1"/>
        <s v="130916150108684" u="1"/>
        <s v="10102013245567" u="1"/>
        <s v="110105215355796" u="1"/>
        <s v="131118120003275" u="1"/>
        <s v="110106111802732" u="1"/>
        <s v="10102013242221" u="1"/>
        <s v="131119152723591" u="1"/>
        <s v="120328131554850" u="1"/>
        <s v="120320125208697" u="1"/>
        <s v="110225141644947" u="1"/>
        <s v="131126085021458" u="1"/>
        <s v="111123131103177" u="1"/>
        <s v="110105205057920" u="1"/>
        <s v="110126162900542" u="1"/>
        <s v="110209123918947" u="1"/>
        <s v="131118115455502" u="1"/>
        <s v="110113123107690" u="1"/>
        <s v="130503122035092" u="1"/>
        <s v="10000000980" u="1"/>
        <s v="10000000040" u="1"/>
        <s v="10000000981" u="1"/>
        <s v="10000000041" u="1"/>
        <s v="140910160027476" u="1"/>
        <s v="110111173831205" u="1"/>
        <s v="110105211245146" u="1"/>
        <s v="131120090232556" u="1"/>
        <s v="10000000042" u="1"/>
        <s v="130515111717443" u="1"/>
        <s v="110126160604660" u="1"/>
        <s v="130805090633873" u="1"/>
        <s v="130503111903960" u="1"/>
        <s v="10000000043" u="1"/>
        <s v="150522083907926" u="1"/>
        <s v="120320105017647" u="1"/>
        <s v="10000000044" u="1"/>
        <s v="110105171732203" u="1"/>
        <s v="131118130621384" u="1"/>
        <s v="131118120204830" u="1"/>
        <s v="10000000045" u="1"/>
        <s v="121126103900103" u="1"/>
        <s v="10000000046" u="1"/>
        <s v="130628083902733" u="1"/>
        <s v="120123145046694" u="1"/>
        <s v="130503104209244" u="1"/>
        <s v="10000000987" u="1"/>
        <s v="10000000047" u="1"/>
        <s v="131126104723595" u="1"/>
        <s v="130916144003790" u="1"/>
        <s v="10000000988" u="1"/>
        <s v="10000000048" u="1"/>
        <s v="150522100645187" u="1"/>
        <s v="140217080845018" u="1"/>
        <s v="10000000049" u="1"/>
        <s v="110118105908685" u="1"/>
        <s v="110325164337346" u="1"/>
        <s v="100913120847882" u="1"/>
        <s v="110106111102856" u="1"/>
        <s v="130523092412492" u="1"/>
        <s v="110112173348634" u="1"/>
        <s v="111123124815001" u="1"/>
        <s v="120523171105266" u="1"/>
        <s v="131119092549248" u="1"/>
        <s v="110126144022973" u="1"/>
        <s v="101217153512609" u="1"/>
        <s v="110105210242576" u="1"/>
        <s v="110106143509208" u="1"/>
        <s v="101020132532120" u="1"/>
        <s v="130606162741708" u="1"/>
        <s v="110323112839023" u="1"/>
        <s v="110621161932458" u="1"/>
        <s v="111122101846687" u="1"/>
        <s v="110323115103681" u="1"/>
        <s v="100913130553892" u="1"/>
        <s v="120124095933470" u="1"/>
        <s v="141022123405149" u="1"/>
        <s v="110106114209860" u="1"/>
        <s v="110104131959172" u="1"/>
        <s v="140729110043225" u="1"/>
        <s v="110106120941933" u="1"/>
        <s v="120425112840235" u="1"/>
        <s v="130703162933131" u="1"/>
        <s v="110218171718047" u="1"/>
        <s v="10000001049" u="1"/>
        <s v="120611175609126" u="1"/>
        <s v="110105214450307" u="1"/>
        <s v="130916101410138" u="1"/>
        <s v="131119145628720" u="1"/>
        <s v="120801103554669" u="1"/>
        <s v="10000001210" u="1"/>
        <s v="110107170027670" u="1"/>
        <s v="110105165407024" u="1"/>
        <s v="131118160647565" u="1"/>
        <s v="120210154703370" u="1"/>
        <s v="120426093146248" u="1"/>
        <s v="141022124915992" u="1"/>
        <s v="110126180034320" u="1"/>
        <s v="10000001212" u="1"/>
        <s v="130503124229813" u="1"/>
        <s v="140401151706212" u="1"/>
        <s v="120210155750166" u="1"/>
        <s v="130805083946386" u="1"/>
        <s v="130627130952017" u="1"/>
        <s v="10000001214" u="1"/>
        <s v="110217132120659" u="1"/>
        <s v="110126180343767" u="1"/>
        <s v="130812093905344" u="1"/>
        <s v="10000000181" u="1"/>
        <s v="10000001215" u="1"/>
        <s v="130109122816499" u="1"/>
        <s v="130513095400341" u="1"/>
        <s v="120328150933014" u="1"/>
        <s v="10000000182" u="1"/>
        <s v="111221102419308" u="1"/>
        <s v="130513184909591" u="1"/>
        <s v="130513152649968" u="1"/>
        <s v="10000000183" u="1"/>
        <s v="131118095819869" u="1"/>
        <s v="120905133516910" u="1"/>
        <s v="130523095504181" u="1"/>
        <s v="10000000184" u="1"/>
        <s v="131118100710004" u="1"/>
        <s v="10000001218" u="1"/>
        <s v="10000000185" u="1"/>
        <s v="10000001219" u="1"/>
        <s v="110106172235566" u="1"/>
        <s v="10000000186" u="1"/>
        <s v="110127160348626" u="1"/>
        <s v="10000000187" u="1"/>
        <s v="131119094604441" u="1"/>
        <s v="120217110845693" u="1"/>
        <s v="110126172516512" u="1"/>
        <s v="10000000188" u="1"/>
        <s v="140910155416989" u="1"/>
        <s v="130805104110946" u="1"/>
        <s v="110112171850589" u="1"/>
        <s v="10000000189" u="1"/>
        <s v="110113100735421" u="1"/>
        <s v="150519165106973" u="1"/>
        <s v="150522085128292" u="1"/>
        <s v="10000000350" u="1"/>
        <s v="140522131248911" u="1"/>
        <s v="150108090328081" u="1"/>
        <s v="131210145149947" u="1"/>
        <s v="140217112047268" u="1"/>
        <s v="110503092442470" u="1"/>
        <s v="150408152245723" u="1"/>
        <s v="150521170039790" u="1"/>
        <s v="10000000353" u="1"/>
        <s v="110106120339036" u="1"/>
        <s v="130226093709618" u="1"/>
        <s v="120426093642180" u="1"/>
        <s v="101217151800881" u="1"/>
        <s v="131119152938671" u="1"/>
        <s v="130916162533786" u="1"/>
        <s v="10000000355" u="1"/>
        <s v="131119093439929" u="1"/>
        <s v="110127133808202" u="1"/>
        <s v="130802172940673" u="1"/>
        <s v="10000000357" u="1"/>
        <s v="110126172002701" u="1"/>
        <s v="110106171756605" u="1"/>
        <s v="110110092001059" u="1"/>
        <s v="131119101010686" u="1"/>
        <s v="10000001182" u="1"/>
        <s v="10000001183" u="1"/>
        <s v="130307095408508" u="1"/>
        <s v="140218102342690" u="1"/>
        <s v="10000000520" u="1"/>
        <s v="120402153346301" u="1"/>
        <s v="10000001185" u="1"/>
        <s v="10102013242627" u="1"/>
        <s v="10000000521" u="1"/>
        <s v="110126112458203" u="1"/>
        <s v="10000001186" u="1"/>
        <s v="131119071641205" u="1"/>
        <s v="110105193407528" u="1"/>
        <s v="110126112327831" u="1"/>
        <s v="10000001187" u="1"/>
        <s v="10000000523" u="1"/>
        <s v="140225175353187" u="1"/>
        <s v="10000001188" u="1"/>
        <s v="10000000524" u="1"/>
        <s v="130821085638842" u="1"/>
        <s v="100913123035786" u="1"/>
        <s v="10000001189" u="1"/>
        <s v="110126124659691" u="1"/>
        <s v="10000000525" u="1"/>
        <s v="111108174133778" u="1"/>
        <s v="10000000526" u="1"/>
        <s v="10000000527" u="1"/>
        <s v="10000000528" u="1"/>
        <s v="140604165325421" u="1"/>
        <s v="10000000529" u="1"/>
        <s v="130326101501191" u="1"/>
        <s v="131118115221733" u="1"/>
        <s v="110107165342819" u="1"/>
        <s v="140729111957570" u="1"/>
        <s v="121026173722201" u="1"/>
        <s v="110106162311692" u="1"/>
        <s v="140108170451722" u="1"/>
        <s v="121206144224546" u="1"/>
        <s v="110323115857252" u="1"/>
        <s v="130821090638459" u="1"/>
        <s v="140108171225136" u="1"/>
        <s v="130628082649564" u="1"/>
        <s v="110106171716201" u="1"/>
        <s v="121205092543068" u="1"/>
        <s v="140606105044513" u="1"/>
        <s v="110126171845137" u="1"/>
        <s v="130511065424499" u="1"/>
        <s v="110113131355326" u="1"/>
        <s v="140729113619269" u="1"/>
        <s v="130125120821472" u="1"/>
        <s v="10000000490" u="1"/>
        <s v="150522095737970" u="1"/>
        <s v="110126131819363" u="1"/>
        <s v="110105193654793" u="1"/>
        <s v="10000000492" u="1"/>
        <s v="111024162509834" u="1"/>
        <s v="130517083908102" u="1"/>
        <s v="150612110458216" u="1"/>
        <s v="150709151123674" u="1"/>
        <s v="120914153926961" u="1"/>
        <s v="10000000494" u="1"/>
        <s v="140108155706362" u="1"/>
        <s v="110126163027107" u="1"/>
        <s v="140327100916554" u="1"/>
        <s v="111221093549322" u="1"/>
        <s v="131126102714299" u="1"/>
        <s v="110127124827195" u="1"/>
        <s v="131118092112252" u="1"/>
        <s v="10000000497" u="1"/>
        <s v="10000000498" u="1"/>
        <s v="130314151641046" u="1"/>
        <s v="110111120944100" u="1"/>
        <s v="131119093511394" u="1"/>
        <s v="140220165708125" u="1"/>
        <s v="130913104436158" u="1"/>
        <s v="140616162349889" u="1"/>
        <s v="131120114206666" u="1"/>
        <s v="131030145746277" u="1"/>
        <s v="130805082637806" u="1"/>
        <s v="10000000661" u="1"/>
        <s v="141022123219380" u="1"/>
        <s v="131120091641867" u="1"/>
        <s v="110104131426531" u="1"/>
        <s v="10000000663" u="1"/>
        <s v="130705131335363" u="1"/>
        <s v="131023153755184" u="1"/>
        <s v="140606164748895" u="1"/>
        <s v="110126124405017" u="1"/>
        <s v="110118113349987" u="1"/>
        <s v="110217122004972" u="1"/>
        <s v="131118122504946" u="1"/>
        <s v="121010113006246" u="1"/>
        <s v="10000000667" u="1"/>
        <s v="140424165418046" u="1"/>
        <s v="110106155120023" u="1"/>
        <s v="130913114222244" u="1"/>
        <s v="130913092408036" u="1"/>
        <s v="110127134358331" u="1"/>
        <s v="10000000830" u="1"/>
        <s v="141027090702161" u="1"/>
        <s v="130627094455782" u="1"/>
        <s v="140729112523690" u="1"/>
        <s v="140729104704048" u="1"/>
        <s v="10000000831" u="1"/>
        <s v="150420092705113" u="1"/>
        <s v="10000000832" u="1"/>
        <s v="110106094545703" u="1"/>
        <s v="110106112007112" u="1"/>
        <s v="10000000833" u="1"/>
        <s v="100913124628463" u="1"/>
        <s v="10000000834" u="1"/>
        <s v="130916142755004" u="1"/>
        <s v="10000000835" u="1"/>
        <s v="110225140418939" u="1"/>
        <s v="10000000836" u="1"/>
        <s v="130114102919287" u="1"/>
        <s v="131119155722053" u="1"/>
        <s v="110217131600438" u="1"/>
        <s v="150210110558354" u="1"/>
        <s v="10000000837" u="1"/>
        <s v="140214091018253" u="1"/>
        <s v="10000000838" u="1"/>
        <s v="10000000839" u="1"/>
        <s v="110110163909836" u="1"/>
        <s v="110106152555374" u="1"/>
        <s v="130511194902844" u="1"/>
        <s v="140514155840716" u="1"/>
        <s v="120123133836091" u="1"/>
        <s v="120703113354899" u="1"/>
        <s v="110112160243767" u="1"/>
        <s v="130513094234732" u="1"/>
        <s v="120425112521101" u="1"/>
        <s v="110106142454230" u="1"/>
        <s v="140808100847592" u="1"/>
        <s v="150313115435254" u="1"/>
        <s v="110801133620826" u="1"/>
        <s v="140521125131995" u="1"/>
        <s v="131118085129359" u="1"/>
        <s v="140515110036761" u="1"/>
        <s v="150312112813283" u="1"/>
        <s v="131118091658986" u="1"/>
        <s v="130913090113286" u="1"/>
        <s v="131119053757479" u="1"/>
        <s v="140910104138977" u="1"/>
        <s v="130916162023096" u="1"/>
        <s v="110112173554448" u="1"/>
        <s v="131118193412341" u="1"/>
        <s v="10102013244249" u="1"/>
        <s v="110105212956187" u="1"/>
        <s v="131119124227778" u="1"/>
        <s v="130913113536925" u="1"/>
        <s v="111101101209321" u="1"/>
        <s v="140606094427221" u="1"/>
        <s v="10000000030" u="1"/>
        <s v="130626104252816" u="1"/>
        <s v="110126114527865" u="1"/>
        <s v="131118175317825" u="1"/>
        <s v="10000000971" u="1"/>
        <s v="10000000031" u="1"/>
        <s v="140604172157516" u="1"/>
        <s v="120919131900783" u="1"/>
        <s v="131119101706083" u="1"/>
        <s v="10000000972" u="1"/>
        <s v="130916163247591" u="1"/>
        <s v="10000000973" u="1"/>
        <s v="140606120316020" u="1"/>
        <s v="10000000974" u="1"/>
        <s v="131205101434898" u="1"/>
        <s v="110705154709610" u="1"/>
        <s v="130511062851773" u="1"/>
        <s v="110127124405862" u="1"/>
        <s v="10000000975" u="1"/>
        <s v="10000000035" u="1"/>
        <s v="10000000976" u="1"/>
        <s v="10000000036" u="1"/>
        <s v="131118153458266" u="1"/>
        <s v="110914174411637" u="1"/>
        <s v="10000000977" u="1"/>
        <s v="10000000037" u="1"/>
        <s v="150226125715019" u="1"/>
        <s v="10000000978" u="1"/>
        <s v="130828111833609" u="1"/>
        <s v="111108123846541" u="1"/>
        <s v="10000000979" u="1"/>
        <s v="141027121210712" u="1"/>
        <s v="140522094728389" u="1"/>
        <s v="10000000200" u="1"/>
        <s v="110126113129328" u="1"/>
        <s v="130607111523884" u="1"/>
        <s v="10102013251191" u="1"/>
        <s v="110126133219803" u="1"/>
        <s v="110106153746784" u="1"/>
        <s v="130913113159633" u="1"/>
        <s v="140910114554463" u="1"/>
        <s v="140606093451967" u="1"/>
        <s v="10102013243844" u="1"/>
        <s v="140522091731054" u="1"/>
        <s v="131121084652726" u="1"/>
        <s v="120724153131468" u="1"/>
        <s v="10000000209" u="1"/>
        <s v="131126095119455" u="1"/>
        <s v="140807090225511" u="1"/>
        <s v="110330105745219" u="1"/>
        <s v="150522104248346" u="1"/>
        <s v="121017084846897" u="1"/>
        <s v="131118173154272" u="1"/>
        <s v="130513091841094" u="1"/>
        <s v="10102013245060" u="1"/>
        <s v="131210132227759" u="1"/>
        <s v="110105204952508" u="1"/>
        <s v="131118131252367" u="1"/>
        <s v="110503094926669" u="1"/>
        <s v="150508120114962" u="1"/>
        <s v="120210115047310" u="1"/>
        <s v="10000001200" u="1"/>
        <s v="131118171835084" u="1"/>
        <s v="131203122544373" u="1"/>
        <s v="10000001201" u="1"/>
        <s v="120312090143857" u="1"/>
        <s v="110106161816960" u="1"/>
        <s v="10000001202" u="1"/>
        <s v="111221093247500" u="1"/>
        <s v="150220091013096" u="1"/>
        <s v="10000001203" u="1"/>
        <s v="141217172348163" u="1"/>
        <s v="130827155149762" u="1"/>
        <s v="10000000170" u="1"/>
        <s v="10000001204" u="1"/>
        <s v="110106150932702" u="1"/>
        <s v="100913105001270" u="1"/>
        <s v="131118111338191" u="1"/>
        <s v="110106105348101" u="1"/>
        <s v="10000000171" u="1"/>
        <s v="10000001205" u="1"/>
        <s v="131118145813533" u="1"/>
        <s v="150108112758523" u="1"/>
        <s v="10000000172" u="1"/>
        <s v="10000001206" u="1"/>
        <s v="110107104910156" u="1"/>
        <s v="130916151708755" u="1"/>
        <s v="10000000173" u="1"/>
        <s v="110803154842600" u="1"/>
        <s v="10000001207" u="1"/>
        <s v="110502163021051" u="1"/>
        <s v="110705164529991" u="1"/>
        <s v="110126112836807" u="1"/>
        <s v="10000000174" u="1"/>
        <s v="10000001208" u="1"/>
        <s v="111108161853414" u="1"/>
        <s v="150521170541753" u="1"/>
        <s v="10000000175" u="1"/>
        <s v="10000001209" u="1"/>
        <s v="110107110302078" u="1"/>
        <s v="10000000176" u="1"/>
        <s v="121206143812715" u="1"/>
        <s v="131126100712646" u="1"/>
        <s v="10000000177" u="1"/>
        <s v="110118105634946" u="1"/>
        <s v="110502164329381" u="1"/>
        <s v="10000000178" u="1"/>
        <s v="131121084100571" u="1"/>
        <s v="10000000179" u="1"/>
        <s v="131220170344544" u="1"/>
        <s v="110110155708080" u="1"/>
        <s v="130913105808154" u="1"/>
        <s v="110106152456633" u="1"/>
        <s v="131210132942282" u="1"/>
        <s v="140307084059389" u="1"/>
        <s v="131119153345573" u="1"/>
        <s v="10000000344" u="1"/>
        <s v="110929102013837" u="1"/>
        <s v="150309160747628" u="1"/>
        <s v="130513092107581" u="1"/>
        <s v="110106093616330" u="1"/>
        <s v="130314152411951" u="1"/>
        <s v="140402092930188" u="1"/>
        <s v="141029091807099" u="1"/>
        <s v="121211163243684" u="1"/>
        <s v="141029092740059" u="1"/>
        <s v="110126114248026" u="1"/>
        <s v="110318093938783" u="1"/>
        <s v="111114104908529" u="1"/>
        <s v="10000001172" u="1"/>
        <s v="10000000348" u="1"/>
        <s v="110126174721367" u="1"/>
        <s v="10000001173" u="1"/>
        <s v="10000000349" u="1"/>
        <s v="10000001174" u="1"/>
        <s v="10000000510" u="1"/>
        <s v="110126125249679" u="1"/>
        <s v="101217103839104" u="1"/>
        <s v="140701101943167" u="1"/>
        <s v="10000000511" u="1"/>
        <s v="131025153321308" u="1"/>
        <s v="10000000512" u="1"/>
        <s v="10000001178" u="1"/>
        <s v="110803133128992" u="1"/>
        <s v="140808100108887" u="1"/>
        <s v="131119085607635" u="1"/>
        <s v="111108154001682" u="1"/>
        <s v="140603170653952" u="1"/>
        <s v="131119111347679" u="1"/>
        <s v="120131153504232" u="1"/>
        <s v="10000000516" u="1"/>
        <s v="140702104429310" u="1"/>
        <s v="10000000517" u="1"/>
        <s v="140402083013225" u="1"/>
        <s v="110106171513600" u="1"/>
        <s v="140729111311531" u="1"/>
        <s v="10000000519" u="1"/>
        <s v="110106102140693" u="1"/>
        <s v="150427100949728" u="1"/>
        <s v="110503095617246" u="1"/>
        <s v="120425175535172" u="1"/>
        <s v="10000001346" u="1"/>
        <s v="110803133606829" u="1"/>
        <s v="131023151209427" u="1"/>
        <s v="10000001347" u="1"/>
        <s v="120127101801881" u="1"/>
        <s v="150226130756901" u="1"/>
        <s v="10000001348" u="1"/>
        <s v="110106121648572" u="1"/>
        <s v="130827111412595" u="1"/>
        <s v="110106123053182" u="1"/>
        <s v="110919123956230" u="1"/>
        <s v="110928152623158" u="1"/>
        <s v="130805082221015" u="1"/>
        <s v="141104111525970" u="1"/>
        <s v="110113125209582" u="1"/>
        <s v="110225140857259" u="1"/>
        <s v="110323113919204" u="1"/>
        <s v="100913125343609" u="1"/>
        <s v="131119122923207" u="1"/>
        <s v="140218101808396" u="1"/>
        <s v="10000000480" u="1"/>
        <s v="110106174528671" u="1"/>
        <s v="110126134928848" u="1"/>
        <s v="110113101101467" u="1"/>
        <s v="110126174358160" u="1"/>
        <s v="10000000482" u="1"/>
        <s v="110107100524062" u="1"/>
        <s v="150427102304506" u="1"/>
        <s v="131118114114942" u="1"/>
        <s v="10000000484" u="1"/>
        <s v="150521164820198" u="1"/>
        <s v="10000000485" u="1"/>
        <s v="110106100836991" u="1"/>
        <s v="131119054201760" u="1"/>
        <s v="10000000486" u="1"/>
        <s v="111109101758103" u="1"/>
        <s v="10102013244858" u="1"/>
        <s v="110113102119527" u="1"/>
        <s v="10000000487" u="1"/>
        <s v="110107092353062" u="1"/>
        <s v="110502155236976" u="1"/>
        <s v="131023125119453" u="1"/>
        <s v="150427101533043" u="1"/>
        <s v="10000000489" u="1"/>
        <s v="110126153441182" u="1"/>
        <s v="110106152241867" u="1"/>
        <s v="140605130457332" u="1"/>
        <s v="10000000650" u="1"/>
        <s v="10102013245466" u="1"/>
        <s v="110429154625768" u="1"/>
        <s v="130503105131967" u="1"/>
        <s v="110531081248449" u="1"/>
        <s v="10000000651" u="1"/>
        <s v="10102013242120" u="1"/>
        <s v="130513093254055" u="1"/>
        <s v="10000000652" u="1"/>
        <s v="10000000653" u="1"/>
        <s v="10000000654" u="1"/>
        <s v="150210144524009" u="1"/>
        <s v="131119155339160" u="1"/>
        <s v="10000000657" u="1"/>
        <s v="110126150100139" u="1"/>
        <s v="110105213223577" u="1"/>
        <s v="140606091459277" u="1"/>
        <s v="10000000659" u="1"/>
        <s v="150226120437267" u="1"/>
        <s v="120210161103338" u="1"/>
        <s v="10000000820" u="1"/>
        <s v="10000000821" u="1"/>
        <s v="130513132127091" u="1"/>
        <s v="10000000822" u="1"/>
        <s v="120425131924431" u="1"/>
        <s v="130913112733715" u="1"/>
        <s v="131119103235578" u="1"/>
        <s v="10000000823" u="1"/>
        <s v="110106093253435" u="1"/>
        <s v="131023152543731" u="1"/>
        <s v="131010165026454" u="1"/>
        <s v="10000000824" u="1"/>
        <s v="10000000825" u="1"/>
        <s v="110106155650361" u="1"/>
        <s v="121026130345182" u="1"/>
        <s v="10000000827" u="1"/>
        <s v="110324125102848" u="1"/>
        <s v="110126172453393" u="1"/>
        <s v="100913121242460" u="1"/>
        <s v="10000000828" u="1"/>
        <s v="10000000829" u="1"/>
        <s v="120515154145070" u="1"/>
        <s v="10102013251697" u="1"/>
        <s v="110311102339030" u="1"/>
        <s v="130115103632475" u="1"/>
        <s v="131118160545649" u="1"/>
        <s v="130215172602142" u="1"/>
        <s v="110107093816234" u="1"/>
        <s v="110301111356283" u="1"/>
        <s v="130822112629082" u="1"/>
        <s v="140731150418633" u="1"/>
        <s v="130503115225393" u="1"/>
        <s v="140522092530399" u="1"/>
        <s v="130805110335566" u="1"/>
        <s v="140702102532281" u="1"/>
        <s v="130325132538563" u="1"/>
        <s v="140812144431714" u="1"/>
        <s v="130913084428553" u="1"/>
        <s v="110110163513581" u="1"/>
        <s v="131121083518853" u="1"/>
        <s v="150312115922769" u="1"/>
        <s v="130318161753257" u="1"/>
        <s v="110127124044964" u="1"/>
        <s v="110126144232781" u="1"/>
        <s v="110330104544825" u="1"/>
        <s v="140605130837855" u="1"/>
        <s v="120123153436590" u="1"/>
        <s v="130513100741321" u="1"/>
        <s v="10000000795" u="1"/>
        <s v="101220095714038" u="1"/>
        <s v="131120170515672" u="1"/>
        <s v="140910115446208" u="1"/>
        <s v="10000000796" u="1"/>
        <s v="140107090803139" u="1"/>
        <s v="150626120608080" u="1"/>
        <s v="110503093042767" u="1"/>
        <s v="130703160541784" u="1"/>
        <s v="131120112412513" u="1"/>
        <s v="10000000797" u="1"/>
        <s v="111216154633048" u="1"/>
        <s v="110323120338996" u="1"/>
        <s v="130812093416136" u="1"/>
        <s v="10000000798" u="1"/>
        <s v="110324091945213" u="1"/>
        <s v="110106121031931" u="1"/>
        <s v="10000000799" u="1"/>
        <s v="131119070122349" u="1"/>
        <s v="150108115854576" u="1"/>
        <s v="131119082216078" u="1"/>
        <s v="110106113707296" u="1"/>
        <s v="130417112502621" u="1"/>
        <s v="131120083824127" u="1"/>
        <s v="101217094150295" u="1"/>
        <s v="101020132531118" u="1"/>
        <s v="120209133244562" u="1"/>
        <s v="131030172756603" u="1"/>
        <s v="10000000021" u="1"/>
        <s v="10000000022" u="1"/>
        <s v="121026155053845" u="1"/>
        <s v="141014130418176" u="1"/>
        <s v="130511181231697" u="1"/>
        <s v="140808095253552" u="1"/>
        <s v="100913110011198" u="1"/>
        <s v="10000000023" u="1"/>
        <s v="10000000024" u="1"/>
        <s v="150522082137535" u="1"/>
        <s v="10000000025" u="1"/>
        <s v="130511200850292" u="1"/>
        <s v="131119120211338" u="1"/>
        <s v="10000000026" u="1"/>
        <s v="10000000027" u="1"/>
        <s v="10000000028" u="1"/>
        <s v="100913111336065" u="1"/>
        <s v="131119120720935" u="1"/>
        <s v="140820150021865" u="1"/>
        <s v="10000000029" u="1"/>
        <s v="130827162533955" u="1"/>
        <s v="120801104205468" u="1"/>
        <s v="1.30603E+14" u="1"/>
        <s v="110106141858164" u="1"/>
        <s v="130913115454398" u="1"/>
        <s v="131118111429047" u="1"/>
        <s v="110126130221922" u="1"/>
        <s v="131120115758110" u="1"/>
        <s v="140606091833248" u="1"/>
        <s v="111221094353823" u="1"/>
        <s v="120210122351799" u="1"/>
        <s v="150220093315404" u="1"/>
        <s v="120210152117042" u="1"/>
        <s v="110504174745668" u="1"/>
        <s v="131119070531466" u="1"/>
        <s v="120829160435170" u="1"/>
        <s v="130913093712794" u="1"/>
        <s v="130513182200390" u="1"/>
        <s v="131119112705182" u="1"/>
        <s v="130827162904768" u="1"/>
        <s v="121010112259490" u="1"/>
        <s v="110105212809046" u="1"/>
        <s v="120306105531198" u="1"/>
        <s v="110106152825123" u="1"/>
        <s v="110705170817777" u="1"/>
        <s v="111108164245534" u="1"/>
        <s v="140820151638868" u="1"/>
        <s v="10000000160" u="1"/>
        <s v="130511065851401" u="1"/>
        <s v="10000000161" u="1"/>
        <s v="101020132601160" u="1"/>
        <s v="10000000162" u="1"/>
        <s v="110106163808636" u="1"/>
        <s v="141104112156815" u="1"/>
        <s v="10000000163" u="1"/>
        <s v="131119104433490" u="1"/>
        <s v="10000000164" u="1"/>
        <s v="150312113757390" u="1"/>
        <s v="101020134012490" u="1"/>
        <s v="110126171245555" u="1"/>
        <s v="101020132532119" u="1"/>
        <s v="121227093041314" u="1"/>
        <s v="131119100140738" u="1"/>
        <s v="10000000165" u="1"/>
        <s v="131118104553265" u="1"/>
        <s v="10000000166" u="1"/>
        <s v="131119095057035" u="1"/>
        <s v="131023132533474" u="1"/>
        <s v="110126134424770" u="1"/>
        <s v="10000000167" u="1"/>
        <s v="140514093242040" u="1"/>
        <s v="10000000168" u="1"/>
        <s v="120703115850985" u="1"/>
        <s v="110105212119902" u="1"/>
        <s v="111101160633817" u="1"/>
        <s v="110106153505070" u="1"/>
        <s v="10000000169" u="1"/>
        <s v="110105193138844" u="1"/>
        <s v="150522083949740" u="1"/>
        <s v="150522103351271" u="1"/>
        <s v="130913094157791" u="1"/>
        <s v="110107170403153" u="1"/>
        <s v="110126124130014" u="1"/>
        <s v="120210155626394" u="1"/>
        <s v="110106101059716" u="1"/>
        <s v="110105172843897" u="1"/>
        <s v="110127103946955" u="1"/>
        <s v="1010201324139" u="1"/>
        <s v="10000001160" u="1"/>
        <s v="130511174914520" u="1"/>
        <s v="10000001161" u="1"/>
        <s v="110331100732495" u="1"/>
        <s v="111123125639883" u="1"/>
        <s v="131118161106853" u="1"/>
        <s v="140515114207801" u="1"/>
        <s v="10000001162" u="1"/>
        <s v="150525173710737" u="1"/>
        <s v="140911110451519" u="1"/>
        <s v="131118121547433" u="1"/>
        <s v="10000001164" u="1"/>
        <s v="150519132722830" u="1"/>
        <s v="131119165203247" u="1"/>
        <s v="110126114308385" u="1"/>
        <s v="131118104901557" u="1"/>
        <s v="10000001165" u="1"/>
        <s v="130916100927684" u="1"/>
        <s v="10000000501" u="1"/>
        <s v="10000000503" u="1"/>
        <s v="120210132248497" u="1"/>
        <s v="10000000504" u="1"/>
        <s v="10000000505" u="1"/>
        <s v="110106150657469" u="1"/>
        <s v="10000000506" u="1"/>
        <s v="140130103559775" u="1"/>
        <s v="10000000507" u="1"/>
        <s v="10000000508" u="1"/>
        <s v="110126161624842" u="1"/>
        <s v="110106085734536" u="1"/>
        <s v="10000000509" u="1"/>
        <s v="110126160835076" u="1"/>
        <s v="131122090625263" u="1"/>
        <s v="131118153738384" u="1"/>
        <s v="101020134034520" u="1"/>
        <s v="110106144326137" u="1"/>
        <s v="110126112822190" u="1"/>
        <s v="130730134409267" u="1"/>
        <s v="130805083044614" u="1"/>
        <s v="101020134034521" u="1"/>
        <s v="130131112811015" u="1"/>
        <s v="120627173331184" u="1"/>
        <s v="120305160308254" u="1"/>
        <s v="110105215832526" u="1"/>
        <s v="110926101110631" u="1"/>
        <s v="131118192551596" u="1"/>
        <s v="140311175830146" u="1"/>
        <s v="140717172524147" u="1"/>
        <s v="120307173533726" u="1"/>
        <s v="110504161013542" u="1"/>
        <s v="110126115507565" u="1"/>
        <s v="130221085541514" u="1"/>
        <s v="110105194010948" u="1"/>
        <s v="130503110733317" u="1"/>
        <s v="121226180208365" u="1"/>
        <s v="10000000471" u="1"/>
        <s v="110105193015274" u="1"/>
        <s v="10000000472" u="1"/>
        <s v="110106162907437" u="1"/>
        <s v="131119164322613" u="1"/>
        <s v="140606092913882" u="1"/>
        <s v="10000000473" u="1"/>
        <s v="130711095146301" u="1"/>
        <s v="140521114458478" u="1"/>
        <s v="130222121136735" u="1"/>
        <s v="101020134054526" u="1"/>
        <s v="110105211850297" u="1"/>
        <s v="130513093547129" u="1"/>
        <s v="110105213454508" u="1"/>
        <s v="130511213022858" u="1"/>
        <s v="140220090811021" u="1"/>
        <s v="131119133007585" u="1"/>
        <s v="10000000476" u="1"/>
        <s v="130509085935173" u="1"/>
        <s v="140606115108338" u="1"/>
        <s v="110106084908563" u="1"/>
        <s v="110801150355034" u="1"/>
        <s v="10000000478" u="1"/>
        <s v="130730133301463" u="1"/>
        <s v="131118125444235" u="1"/>
        <s v="110111174421004" u="1"/>
        <s v="110928180021537" u="1"/>
        <s v="10000000479" u="1"/>
        <s v="141212090209703" u="1"/>
        <s v="140702091553124" u="1"/>
        <s v="140620111655850" u="1"/>
        <s v="140604164806087" u="1"/>
        <s v="10000000640" u="1"/>
        <s v="120829161022862" u="1"/>
        <s v="110107101102359" u="1"/>
        <s v="110106092754584" u="1"/>
        <s v="10000000643" u="1"/>
        <s v="110106152959831" u="1"/>
        <s v="131119162329322" u="1"/>
        <s v="10000000644" u="1"/>
        <s v="131120083035878" u="1"/>
        <s v="10000000646" u="1"/>
        <s v="110803155106745" u="1"/>
        <s v="130821090916253" u="1"/>
        <s v="110126160903468" u="1"/>
        <s v="110106091756024" u="1"/>
        <s v="10000000647" u="1"/>
        <s v="131119091302898" u="1"/>
        <s v="150224172620403" u="1"/>
        <s v="110208110915492" u="1"/>
        <s v="150522084509011" u="1"/>
        <s v="130805103609788" u="1"/>
        <s v="10000000648" u="1"/>
        <s v="10000000649" u="1"/>
        <s v="140804164857115" u="1"/>
        <s v="10000000810" u="1"/>
        <s v="110504132720895" u="1"/>
        <s v="121026132228912" u="1"/>
        <s v="10000000811" u="1"/>
        <s v="120412131227290" u="1"/>
        <s v="140129152711440" u="1"/>
        <s v="150108095644619" u="1"/>
        <s v="10000000812" u="1"/>
        <s v="140606103650454" u="1"/>
        <s v="110113120018220" u="1"/>
        <s v="131119114856908" u="1"/>
        <s v="10000000813" u="1"/>
        <s v="131118112056333" u="1"/>
        <s v="110106111356126" u="1"/>
        <s v="10000000814" u="1"/>
        <s v="130805084637493" u="1"/>
        <s v="110111123217057" u="1"/>
        <s v="10000000815" u="1"/>
        <s v="131119092126107" u="1"/>
        <s v="131118082856589" u="1"/>
        <s v="10000000816" u="1"/>
        <s v="150312125618959" u="1"/>
        <s v="101020134035522" u="1"/>
        <s v="110126170623399" u="1"/>
        <s v="10000000817" u="1"/>
        <s v="110106165137393" u="1"/>
        <s v="10000000818" u="1"/>
        <s v="110126155311253" u="1"/>
        <s v="110113094509772" u="1"/>
        <s v="10102013251090" u="1"/>
        <s v="10000000819" u="1"/>
        <s v="110113153100848" u="1"/>
        <s v="131111174454776" u="1"/>
        <s v="140217091241270" u="1"/>
        <s v="110126103122133" u="1"/>
        <s v="131121084552463" u="1"/>
        <s v="130511063856027" u="1"/>
        <s v="101020134014492" u="1"/>
        <s v="110126172149920" u="1"/>
        <s v="10102013250379" u="1"/>
        <s v="120328133023931" u="1"/>
        <s v="111230123850127" u="1"/>
        <s v="101020134014493" u="1"/>
        <s v="131119121455207" u="1"/>
        <s v="110126164037117" u="1"/>
        <s v="130912102723455" u="1"/>
        <s v="1.10106E+14" u="1"/>
        <s v="110106123329489" u="1"/>
        <s v="120123151548375" u="1"/>
        <s v="110919111230356" u="1"/>
        <s v="130916142250726" u="1"/>
        <s v="110126150914631" u="1"/>
        <s v="131119092943342" u="1"/>
        <s v="101020132525110" u="1"/>
        <s v="110105213638389" u="1"/>
        <s v="110126132954706" u="1"/>
        <s v="131119170800448" u="1"/>
        <s v="140910114157560" u="1"/>
        <s v="121009111311736" u="1"/>
        <s v="110113121028075" u="1"/>
        <s v="150220102453393" u="1"/>
        <s v="110105212036877" u="1"/>
        <s v="121017084649615" u="1"/>
        <s v="110112172126838" u="1"/>
        <s v="131119060616772" u="1"/>
        <s v="131118191653084" u="1"/>
        <s v="141022132308576" u="1"/>
        <s v="150210105521725" u="1"/>
        <s v="110105181139145" u="1"/>
        <s v="131118111656420" u="1"/>
        <s v="130111120451257" u="1"/>
        <s v="111123131718532" u="1"/>
        <s v="131210131526762" u="1"/>
        <s v="10000000788" u="1"/>
        <s v="140821172108368" u="1"/>
        <s v="110107104413171" u="1"/>
        <s v="110106171126197" u="1"/>
        <s v="131119094051147" u="1"/>
        <s v="110105212452937" u="1"/>
        <s v="110113094747707" u="1"/>
        <s v="150427100634558" u="1"/>
        <s v="10000000010" u="1"/>
        <s v="130314145412386" u="1"/>
        <s v="10000000011" u="1"/>
        <s v="140910115048369" u="1"/>
        <s v="141212084243861" u="1"/>
        <s v="140606090927307" u="1"/>
        <s v="100913124259470" u="1"/>
        <s v="10000000012" u="1"/>
        <s v="111121154927194" u="1"/>
        <s v="10000000013" u="1"/>
        <s v="120504114641655" u="1"/>
        <s v="130429165116201" u="1"/>
        <s v="110106103258517" u="1"/>
        <s v="10000000014" u="1"/>
        <s v="110126171246694" u="1"/>
        <s v="110106102109789" u="1"/>
        <s v="130503090400010" u="1"/>
        <s v="110211104936834" u="1"/>
        <s v="130916150944998" u="1"/>
        <s v="10000000015" u="1"/>
        <s v="10000000016" u="1"/>
        <s v="10000000017" u="1"/>
        <s v="10102013250582" u="1"/>
        <s v="10000000958" u="1"/>
        <s v="10000000018" u="1"/>
        <s v="130511060807072" u="1"/>
        <s v="10000000019" u="1"/>
        <s v="131118123849406" u="1"/>
        <s v="131119123906366" u="1"/>
        <s v="110105212720576" u="1"/>
        <s v="101020134036523" u="1"/>
        <s v="150225130247589" u="1"/>
        <s v="150519144149140" u="1"/>
        <s v="141125164321541" u="1"/>
        <s v="130513101725172" u="1"/>
        <s v="130805094622919" u="1"/>
        <s v="101020134036524" u="1"/>
        <s v="101020132604164" u="1"/>
        <s v="120210150247703" u="1"/>
        <s v="10102013243843" u="1"/>
        <s v="140910113620395" u="1"/>
        <s v="10000001010" u="1"/>
        <s v="150522082820688" u="1"/>
        <s v="120905164338590" u="1"/>
        <s v="150522091834756" u="1"/>
        <s v="110504155942129" u="1"/>
        <s v="110217105825277" u="1"/>
        <s v="110126155527567" u="1"/>
        <s v="150312123559207" u="1"/>
        <s v="130812092901842" u="1"/>
        <s v="10102013244451" u="1"/>
        <s v="130812093037065" u="1"/>
        <s v="131118095041963" u="1"/>
        <s v="130522132012183" u="1"/>
        <s v="131029130732712" u="1"/>
        <s v="110104152701490" u="1"/>
        <s v="110107152001296" u="1"/>
        <s v="131119132654754" u="1"/>
        <s v="110330100706181" u="1"/>
        <s v="110111174803351" u="1"/>
        <s v="130607122113008" u="1"/>
        <s v="110106174324042" u="1"/>
        <s v="101020132526111" u="1"/>
        <s v="1.40722E+14" u="1"/>
        <s v="1.30723E+14" u="1"/>
        <s v="141117105740524" u="1"/>
        <s v="110129102815984" u="1"/>
        <s v="131217105446635" u="1"/>
        <s v="150522104321237" u="1"/>
        <s v="121206150714362" u="1"/>
        <s v="10000000150" u="1"/>
        <s v="10000000151" u="1"/>
        <s v="131118115035029" u="1"/>
        <s v="140402091250440" u="1"/>
        <s v="10000000152" u="1"/>
        <s v="111121121055083" u="1"/>
        <s v="110209122843162" u="1"/>
        <s v="120123154522684" u="1"/>
        <s v="131119080830619" u="1"/>
        <s v="131120162125278" u="1"/>
        <s v="10000000153" u="1"/>
        <s v="121010113429981" u="1"/>
        <s v="10000000154" u="1"/>
        <s v="10000000155" u="1"/>
        <s v="110208111540389" u="1"/>
        <s v="140911103129854" u="1"/>
        <s v="111208154455972" u="1"/>
        <s v="10000000156" u="1"/>
        <s v="100913104459238" u="1"/>
        <s v="120214161254283" u="1"/>
        <s v="131118124719511" u="1"/>
        <s v="10000000157" u="1"/>
        <s v="110121172140891" u="1"/>
        <s v="110502155835932" u="1"/>
        <s v="10000000158" u="1"/>
        <s v="110106175047085" u="1"/>
        <s v="140623120931406" u="1"/>
        <s v="131023171708300" u="1"/>
        <s v="110922145740789" u="1"/>
        <s v="10000000159" u="1"/>
        <s v="100913115046210" u="1"/>
        <s v="110106163505553" u="1"/>
        <s v="110106172801889" u="1"/>
        <s v="131118124328709" u="1"/>
        <s v="131122154651763" u="1"/>
        <s v="140606115840117" u="1"/>
        <s v="131119122628440" u="1"/>
        <s v="130326112812279" u="1"/>
        <s v="130403090419020" u="1"/>
        <s v="140217110015578" u="1"/>
        <s v="131119090836762" u="1"/>
        <s v="110126113137222" u="1"/>
        <s v="111123130420913" u="1"/>
        <s v="131119150152732" u="1"/>
        <s v="10000000328" u="1"/>
        <s v="131118123202964" u="1"/>
        <s v="140729103640294" u="1"/>
        <s v="110126154401054" u="1"/>
        <s v="121227101210700" u="1"/>
        <s v="140604163356084" u="1"/>
        <s v="110330105352670" u="1"/>
        <s v="120723150031624" u="1"/>
        <s v="150522090217226" u="1"/>
        <s v="120328152259087" u="1"/>
        <s v="131210130833861" u="1"/>
        <s v="140217104046007" u="1"/>
        <s v="110928112103964" u="1"/>
        <s v="131118152954518" u="1"/>
        <s v="130226093208599" u="1"/>
        <s v="131118132608138" u="1"/>
        <s v="101020134016496" u="1"/>
        <s v="140206151346971" u="1"/>
        <s v="120703132925604" u="1"/>
        <s v="131111112835367" u="1"/>
        <s v="150522082105890" u="1"/>
        <s v="131119082930397" u="1"/>
        <s v="121114171333702" u="1"/>
        <s v="140130102827640" u="1"/>
        <s v="10000000290" u="1"/>
        <s v="130625104015500" u="1"/>
        <s v="100913130112920" u="1"/>
        <s v="110126171917913" u="1"/>
        <s v="150420094049352" u="1"/>
        <s v="141212090441960" u="1"/>
        <s v="120523172705695" u="1"/>
        <s v="110107093002578" u="1"/>
        <s v="10000000293" u="1"/>
        <s v="131203153932535" u="1"/>
        <s v="150508111717062" u="1"/>
        <s v="110107095828218" u="1"/>
        <s v="10000000296" u="1"/>
        <s v="110106123933048" u="1"/>
        <s v="140521130348709" u="1"/>
        <s v="110126094713049" u="1"/>
        <s v="140217095115966" u="1"/>
        <s v="150522082738386" u="1"/>
        <s v="140108170753759" u="1"/>
        <s v="150304094027233" u="1"/>
        <s v="10000000460" u="1"/>
        <s v="120518083746696" u="1"/>
        <s v="110106152627613" u="1"/>
        <s v="120210153914010" u="1"/>
        <s v="10000000461" u="1"/>
        <s v="10000000462" u="1"/>
        <s v="140722083617522" u="1"/>
        <s v="10000000463" u="1"/>
        <s v="130627121313133" u="1"/>
        <s v="100913122617060" u="1"/>
        <s v="131126160650722" u="1"/>
        <s v="10000000465" u="1"/>
        <s v="10000000466" u="1"/>
        <s v="131118105944745" u="1"/>
        <s v="130503111107193" u="1"/>
        <s v="141212090813232" u="1"/>
        <s v="10102013244857" u="1"/>
        <s v="140122101107782" u="1"/>
        <s v="10000000467" u="1"/>
        <s v="110107100702187" u="1"/>
        <s v="111227112923358" u="1"/>
        <s v="110106122637750" u="1"/>
        <s v="131118092316069" u="1"/>
        <s v="10000000468" u="1"/>
        <s v="101020132520103" u="1"/>
        <s v="10000000469" u="1"/>
        <s v="140603163737864" u="1"/>
        <s v="10000001294" u="1"/>
        <s v="10102013245465" u="1"/>
        <s v="10000001295" u="1"/>
        <s v="10000000631" u="1"/>
        <s v="130916100451158" u="1"/>
        <s v="10000001296" u="1"/>
        <s v="131119124305358" u="1"/>
        <s v="110502160944767" u="1"/>
        <s v="10000000633" u="1"/>
        <s v="10000000634" u="1"/>
        <s v="110105192710600" u="1"/>
        <s v="150108110959979" u="1"/>
        <s v="10000000635" u="1"/>
        <s v="131119065725042" u="1"/>
        <s v="150225175214514" u="1"/>
        <s v="110111151756893" u="1"/>
        <s v="10000000637" u="1"/>
        <s v="150210153425262" u="1"/>
        <s v="101020134017497" u="1"/>
        <s v="10000000638" u="1"/>
        <s v="110126155951131" u="1"/>
        <s v="130305083640146" u="1"/>
        <s v="131126103403487" u="1"/>
        <s v="120329163812772" u="1"/>
        <s v="140110153405668" u="1"/>
        <s v="110919111638084" u="1"/>
        <s v="10000000800" u="1"/>
        <s v="131126094242065" u="1"/>
        <s v="10000000801" u="1"/>
        <s v="131119123408640" u="1"/>
        <s v="10000000802" u="1"/>
        <s v="101020132528113" u="1"/>
        <s v="110414092004747" u="1"/>
        <s v="10000000803" u="1"/>
        <s v="130107121036984" u="1"/>
        <s v="10000000804" u="1"/>
        <s v="110225142109663" u="1"/>
        <s v="110705160822843" u="1"/>
        <s v="101020132528114" u="1"/>
        <s v="10000000805" u="1"/>
        <s v="131120114626718" u="1"/>
        <s v="110912091935346" u="1"/>
        <s v="10000000806" u="1"/>
        <s v="110323153603173" u="1"/>
        <s v="101020134031516" u="1"/>
        <s v="131120111345299" u="1"/>
        <s v="131119130512450" u="1"/>
        <s v="10000000808" u="1"/>
        <s v="110112131322535" u="1"/>
        <s v="130802171744960" u="1"/>
        <s v="140604164340495" u="1"/>
        <s v="10000000809" u="1"/>
        <s v="141014131352353" u="1"/>
        <s v="110323123958901" u="1"/>
        <s v="131121090051850" u="1"/>
        <s v="110224125547567" u="1"/>
        <s v="140605112805483" u="1"/>
        <s v="110113130100204" u="1"/>
        <s v="131030171129497" u="1"/>
        <s v="140424163955954" u="1"/>
        <s v="131119084535039" u="1"/>
        <s v="110126154850919" u="1"/>
        <s v="140820150407442" u="1"/>
        <s v="110302095042518" u="1"/>
        <s v="110107090528062" u="1"/>
        <s v="110106154754871" u="1"/>
        <s v="110106172154460" u="1"/>
        <s v="120210170149990" u="1"/>
        <s v="120426170015530" u="1"/>
        <s v="130314150858238" u="1"/>
        <s v="110926161841481" u="1"/>
        <s v="131119093838141" u="1"/>
        <s v="110126171721177" u="1"/>
        <s v="110126100059199" u="1"/>
        <s v="10000000770" u="1"/>
        <s v="150430132340570" u="1"/>
        <s v="140702091955783" u="1"/>
        <s v="131119064832552" u="1"/>
        <s v="120523171742520" u="1"/>
        <s v="10000000771" u="1"/>
        <s v="131119090126655" u="1"/>
        <s v="10000000772" u="1"/>
        <s v="130827102114734" u="1"/>
        <s v="130911101403849" u="1"/>
        <s v="140205101034212" u="1"/>
        <s v="141022122414810" u="1"/>
        <s v="111221102626781" u="1"/>
        <s v="10000000773" u="1"/>
        <s v="150210120645078" u="1"/>
        <s v="101020132521105" u="1"/>
        <s v="130503175449555" u="1"/>
        <s v="10000000774" u="1"/>
        <s v="110126123646794" u="1"/>
        <s v="121010114501270" u="1"/>
        <s v="10000000775" u="1"/>
        <s v="130503180836626" u="1"/>
        <s v="131119151507084" u="1"/>
        <s v="10000000776" u="1"/>
        <s v="10000000777" u="1"/>
        <s v="10000000778" u="1"/>
        <s v="150210122527290" u="1"/>
        <s v="110509123207107" u="1"/>
        <s v="10000000001" u="1"/>
        <s v="131118112408993" u="1"/>
        <s v="10000000002" u="1"/>
        <s v="120327103351480" u="1"/>
        <s v="140414092049200" u="1"/>
        <s v="10000000003" u="1"/>
        <s v="101020134018499" u="1"/>
        <s v="120210180857078" u="1"/>
        <s v="10000000004" u="1"/>
        <s v="140603165638856" u="1"/>
        <s v="110113113333173" u="1"/>
        <s v="10000000005" u="1"/>
        <s v="110106173836220" u="1"/>
        <s v="121017085040169" u="1"/>
        <s v="10000000006" u="1"/>
        <s v="130705132324996" u="1"/>
        <s v="130102090241734" u="1"/>
        <s v="120905154921460" u="1"/>
        <s v="110107104806328" u="1"/>
        <s v="120123144246819" u="1"/>
        <s v="10000000007" u="1"/>
        <s v="130511205630149" u="1"/>
        <s v="10000000948" u="1"/>
        <s v="10000000008" u="1"/>
        <s v="110106153525299" u="1"/>
        <s v="110106173346901" u="1"/>
        <s v="101020132529115" u="1"/>
        <s v="131119165954913" u="1"/>
        <s v="10000000009" u="1"/>
        <s v="131119160051561" u="1"/>
        <s v="10102013245974" u="1"/>
        <s v="131025154933485" u="1"/>
        <s v="130513100342738" u="1"/>
        <s v="101020134032517" u="1"/>
        <s v="120425131441447" u="1"/>
        <s v="150612103911627" u="1"/>
        <s v="101020134032518" u="1"/>
        <s v="110126170136279" u="1"/>
        <s v="130916144510205" u="1"/>
        <s v="110105203359561" u="1"/>
        <s v="111219164043858" u="1"/>
        <s v="110223165532507" u="1"/>
        <s v="110113154024011" u="1"/>
        <s v="111121164235735" u="1"/>
        <s v="150108111951753" u="1"/>
        <s v="101020134011488" u="1"/>
        <s v="110105215412769" u="1"/>
        <s v="110106172043324" u="1"/>
        <s v="130827115242335" u="1"/>
        <s v="150312130116660" u="1"/>
        <s v="131217112712204" u="1"/>
        <s v="10102013243133" u="1"/>
        <s v="120210120327097" u="1"/>
        <s v="110126170747078" u="1"/>
        <s v="120328152009576" u="1"/>
        <s v="121029090200960" u="1"/>
        <s v="131119151109137" u="1"/>
        <s v="110113102507944" u="1"/>
        <s v="131120124439012" u="1"/>
        <s v="110106153626942" u="1"/>
        <s v="120925115537106" u="1"/>
        <s v="110106161410166" u="1"/>
        <s v="131220102635559" u="1"/>
        <s v="120704115052643" u="1"/>
        <s v="131118110917187" u="1"/>
        <s v="131118112854488" u="1"/>
        <s v="120127102525314" u="1"/>
        <s v="130911104505706" u="1"/>
        <s v="10000000140" u="1"/>
        <s v="110107110926031" u="1"/>
        <s v="140130111636713" u="1"/>
        <s v="10000000141" u="1"/>
        <s v="110504162857128" u="1"/>
        <s v="10000000142" u="1"/>
        <s v="10000000143" u="1"/>
        <s v="131122151222409" u="1"/>
        <s v="10000000144" u="1"/>
        <s v="120625155843853" u="1"/>
        <s v="10000000145" u="1"/>
        <s v="120210155309208" u="1"/>
        <s v="110113123725384" u="1"/>
        <s v="140602133134574" u="1"/>
        <s v="10000000146" u="1"/>
        <s v="121109124632869" u="1"/>
        <s v="140820151107569" u="1"/>
        <s v="131119114814694" u="1"/>
        <s v="10000000147" u="1"/>
        <s v="131022131020693" u="1"/>
        <s v="111209085450214" u="1"/>
        <s v="10000000148" u="1"/>
        <s v="131203154555608" u="1"/>
        <s v="10000000149" u="1"/>
        <s v="110107094251125" u="1"/>
        <s v="110105201623387" u="1"/>
        <s v="150220091740894" u="1"/>
        <s v="150312120515785" u="1"/>
        <s v="140122102548012" u="1"/>
        <s v="110126095449820" u="1"/>
        <s v="120905152628277" u="1"/>
        <s v="131121084152909" u="1"/>
        <s v="110113104345223" u="1"/>
        <s v="110107092020000" u="1"/>
        <s v="140604162656582" u="1"/>
        <s v="131119123013486" u="1"/>
        <s v="100702152835923" u="1"/>
        <s v="120210161506138" u="1"/>
        <s v="141217094209287" u="1"/>
        <s v="101020134033519" u="1"/>
        <s v="140729105702983" u="1"/>
        <s v="10000001141" u="1"/>
        <s v="120307170737137" u="1"/>
        <s v="110106153110339" u="1"/>
        <s v="130913094609700" u="1"/>
        <s v="110106175155382" u="1"/>
        <s v="110126144849898" u="1"/>
        <s v="110105215615042" u="1"/>
        <s v="120817103554729" u="1"/>
        <s v="10000001145" u="1"/>
        <s v="110929113945315" u="1"/>
        <s v="121206152346225" u="1"/>
        <s v="10000001147" u="1"/>
        <s v="130913115806934" u="1"/>
        <s v="130927121614745" u="1"/>
        <s v="130913083055762" u="1"/>
        <s v="10000001148" u="1"/>
        <s v="150210145755547" u="1"/>
        <s v="110106120230805" u="1"/>
        <s v="140130110451359" u="1"/>
        <s v="130919160239021" u="1"/>
        <s v="110216160438335" u="1"/>
        <s v="131119055406286" u="1"/>
        <s v="110627114713573" u="1"/>
        <s v="131119162215144" u="1"/>
        <s v="110126120501383" u="1"/>
        <s v="130204114000848" u="1"/>
        <s v="140217100725138" u="1"/>
        <s v="10000000280" u="1"/>
        <s v="10000001314" u="1"/>
        <s v="110803155445801" u="1"/>
        <s v="100913104235000" u="1"/>
        <s v="101020132523107" u="1"/>
        <s v="10000000282" u="1"/>
        <s v="131118122844657" u="1"/>
        <s v="1.10216E+14" u="1"/>
        <s v="10000001316" u="1"/>
        <s v="150521165332114" u="1"/>
        <s v="140411112335553" u="1"/>
        <s v="1.40218E+14" u="1"/>
        <s v="131121095702729" u="1"/>
        <s v="131118121034279" u="1"/>
        <s v="131120104528409" u="1"/>
        <s v="110105200606762" u="1"/>
        <s v="101217121547177" u="1"/>
        <s v="110106104457744" u="1"/>
        <s v="110118105130634" u="1"/>
        <s v="10000000286" u="1"/>
        <s v="110107094838078" u="1"/>
        <s v="10000000287" u="1"/>
        <s v="130513085913449" u="1"/>
        <s v="131126101535263" u="1"/>
        <s v="100913125817857" u="1"/>
        <s v="110429152222690" u="1"/>
        <s v="10000000289" u="1"/>
        <s v="130916145344693" u="1"/>
        <s v="140217094211616" u="1"/>
        <s v="140523092611377" u="1"/>
        <s v="10102013250278" u="1"/>
        <s v="10000000452" u="1"/>
        <s v="110107091540953" u="1"/>
        <s v="140602154004143" u="1"/>
        <s v="10000000453" u="1"/>
        <s v="140108161608157" u="1"/>
        <s v="130513095530001" u="1"/>
        <s v="130710103236619" u="1"/>
        <s v="10000000455" u="1"/>
        <s v="131121085013841" u="1"/>
        <s v="10000001280" u="1"/>
        <s v="10000000456" u="1"/>
        <s v="140606111514011" u="1"/>
        <s v="130521093642742" u="1"/>
        <s v="110106153124799" u="1"/>
        <s v="121026175103884" u="1"/>
        <s v="10000000457" u="1"/>
        <s v="131115170316730" u="1"/>
        <s v="110126164742438" u="1"/>
        <s v="150312123114124" u="1"/>
        <s v="150211150604320" u="1"/>
        <s v="141013121532118" u="1"/>
        <s v="140122094358955" u="1"/>
        <s v="140911102634997" u="1"/>
        <s v="110113093007056" u="1"/>
        <s v="10000000623" u="1"/>
        <s v="10102013244147" u="1"/>
        <s v="10000000624" u="1"/>
        <s v="110126171926025" u="1"/>
        <s v="10000000626" u="1"/>
        <s v="110107105251765" u="1"/>
        <s v="10000000627" u="1"/>
        <s v="110127105841581" u="1"/>
        <s v="110113113029934" u="1"/>
        <s v="131217110901979" u="1"/>
        <s v="120131151953357" u="1"/>
        <s v="110106174520903" u="1"/>
        <s v="141104110841974" u="1"/>
        <s v="130207105116945" u="1"/>
        <s v="140217122642439" u="1"/>
        <s v="150601112507531" u="1"/>
        <s v="110126131303679" u="1"/>
        <s v="110106162555181" u="1"/>
        <s v="110118132623661" u="1"/>
        <s v="140417154001196" u="1"/>
        <s v="140307174308265" u="1"/>
        <s v="150210153729166" u="1"/>
        <s v="141212085606236" u="1"/>
        <s v="110323113300436" u="1"/>
        <s v="130913090733802" u="1"/>
        <s v="110126163012302" u="1"/>
        <s v="131118193852704" u="1"/>
        <s v="130516172705759" u="1"/>
        <s v="10102013250481" u="1"/>
        <s v="101020132524108" u="1"/>
        <s v="110222153234369" u="1"/>
        <s v="150420094738456" u="1"/>
        <s v="110330113333686" u="1"/>
        <s v="101020132524109" u="1"/>
        <s v="121123154501138" u="1"/>
        <s v="140515111126131" u="1"/>
        <s v="120308122313357" u="1"/>
        <s v="101217133604800" u="1"/>
        <s v="110413093856551" u="1"/>
        <s v="150522101256541" u="1"/>
        <s v="150212102659998" u="1"/>
        <s v="110105212526181" u="1"/>
        <s v="140602152641128" u="1"/>
        <s v="120210172750531" u="1"/>
        <s v="140730124631716" u="1"/>
        <s v="150618082627588" u="1"/>
        <s v="120328132225554" u="1"/>
        <s v="10000000593" u="1"/>
        <s v="110105194553480" u="1"/>
        <s v="10000000594" u="1"/>
        <s v="131121085330822" u="1"/>
        <s v="120518082745129" u="1"/>
        <s v="110106150021641" u="1"/>
        <s v="111123105442079" u="1"/>
        <s v="10000000596" u="1"/>
        <s v="131118130117730" u="1"/>
        <s v="130723091631526" u="1"/>
        <s v="10102013244350" u="1"/>
        <s v="10000000599" u="1"/>
        <s v="140521111502049" u="1"/>
        <s v="140605103820669" u="1"/>
        <s v="10000000760" u="1"/>
        <s v="140424170830311" u="1"/>
        <s v="110126123052610" u="1"/>
        <s v="110323160145303" u="1"/>
        <s v="10000000761" u="1"/>
        <s v="110106154857387" u="1"/>
        <s v="130206114152095" u="1"/>
        <s v="110126153726075" u="1"/>
        <s v="150421175642150" u="1"/>
        <s v="130905104942311" u="1"/>
        <s v="110106101935596" u="1"/>
        <s v="130805091738479" u="1"/>
        <s v="110113121258054" u="1"/>
        <s v="110126110724775" u="1"/>
        <s v="140205101624464" u="1"/>
        <s v="100913123211976" u="1"/>
        <s v="10000000766" u="1"/>
        <s v="130719160315324" u="1"/>
        <s v="10000000767" u="1"/>
        <s v="131118125116724" u="1"/>
        <s v="10000000768" u="1"/>
        <s v="140702085615192" u="1"/>
        <s v="110126165329088" u="1"/>
        <s v="150108094121577" u="1"/>
        <s v="110126122329645" u="1"/>
        <s v="110126163802801" u="1"/>
        <s v="130812094548760" u="1"/>
        <s v="140828133146122" u="1"/>
        <s v="101020134026510" u="1"/>
        <s v="110126165616633" u="1"/>
        <s v="111221094242248" u="1"/>
        <s v="131118194555916" u="1"/>
        <s v="110106150004909" u="1"/>
        <s v="130607115607499" u="1"/>
        <s v="110106172325362" u="1"/>
        <s v="140206151717633" u="1"/>
        <s v="131118161427516" u="1"/>
        <s v="140910100243345" u="1"/>
        <s v="110106143748628" u="1"/>
        <s v="121017085353407" u="1"/>
        <s v="110105190134333" u="1"/>
        <s v="110217110147422" u="1"/>
        <s v="150312122225153" u="1"/>
        <s v="150224172903528" u="1"/>
        <s v="150601112246405" u="1"/>
        <s v="110126102020470" u="1"/>
        <s v="110126160635017" u="1"/>
        <s v="130513102402996" u="1"/>
        <s v="111221093906900" u="1"/>
        <s v="141125152752442" u="1"/>
        <s v="120210160118849" u="1"/>
        <s v="120131123653093" u="1"/>
        <s v="121206163707594" u="1"/>
        <s v="131120160907383" u="1"/>
        <s v="101217161456601" u="1"/>
        <s v="110113092703677" u="1"/>
        <s v="131118095358460" u="1"/>
        <s v="140718100954572" u="1"/>
        <s v="110106111340105" u="1"/>
        <s v="131029150952356" u="1"/>
        <s v="110107092300750" u="1"/>
        <s v="140730123529196" u="1"/>
        <s v="110106130038390" u="1"/>
        <s v="140910160803373" u="1"/>
        <s v="140603171410567" u="1"/>
        <s v="111108174852718" u="1"/>
        <s v="130627152844358" u="1"/>
        <s v="100913114219802" u="1"/>
        <s v="110112172935929" u="1"/>
        <s v="130206121445472" u="1"/>
        <s v="110106164442257" u="1"/>
        <s v="131118192143775" u="1"/>
        <s v="140401150311326" u="1"/>
        <s v="131119154139532" u="1"/>
        <s v="131119100553302" u="1"/>
        <s v="150210110224486" u="1"/>
        <s v="10000000130" u="1"/>
        <s v="110106154424651" u="1"/>
        <s v="110907162157772" u="1"/>
        <s v="10000000131" u="1"/>
        <s v="130509090443539" u="1"/>
        <s v="10000000132" u="1"/>
        <s v="10102013250887" u="1"/>
        <s v="10000000133" u="1"/>
        <s v="130827163810686" u="1"/>
        <s v="10000000134" u="1"/>
        <s v="100913105324413" u="1"/>
        <s v="110330104254796" u="1"/>
        <s v="131118082308319" u="1"/>
        <s v="10000000135" u="1"/>
        <s v="120210152527299" u="1"/>
        <s v="10000000136" u="1"/>
        <s v="10102013251495" u="1"/>
        <s v="131119081449512" u="1"/>
        <s v="10000000137" u="1"/>
        <s v="101020134027511" u="1"/>
        <s v="130513191842640" u="1"/>
        <s v="110126175055431" u="1"/>
        <s v="131120124836756" u="1"/>
        <s v="10000000138" u="1"/>
        <s v="150112162933170" u="1"/>
        <s v="10000000139" u="1"/>
        <s v="110106175235943" u="1"/>
        <s v="110126110712685" u="1"/>
        <s v="130718123754197" u="1"/>
        <s v="130705155307710" u="1"/>
        <s v="10000000301" u="1"/>
        <s v="131120112941985" u="1"/>
        <s v="10000000302" u="1"/>
        <s v="120307173020102" u="1"/>
        <s v="110126162613761" u="1"/>
        <s v="10000000304" u="1"/>
        <s v="10102013244756" u="1"/>
        <s v="110126165802308" u="1"/>
        <s v="140411111030229" u="1"/>
        <s v="120123154004645" u="1"/>
        <s v="150408151836360" u="1"/>
        <s v="140702084606881" u="1"/>
        <s v="130314152047730" u="1"/>
        <s v="130827162156900" u="1"/>
        <s v="110225151852161" u="1"/>
        <s v="110330101127251" u="1"/>
        <s v="140619101937994" u="1"/>
        <s v="141212093331824" u="1"/>
        <s v="110105205027952" u="1"/>
        <s v="131119151904594" u="1"/>
        <s v="140603160831495" u="1"/>
        <s v="110119113903097" u="1"/>
        <s v="110106165139388" u="1"/>
        <s v="110126155736689" u="1"/>
        <s v="131210130052491" u="1"/>
        <s v="101020134020500" u="1"/>
        <s v="110126180210822" u="1"/>
        <s v="101028100131393" u="1"/>
        <s v="131119150811578" u="1"/>
        <s v="110803131059454" u="1"/>
        <s v="110105202322219" u="1"/>
        <s v="110126121746084" u="1"/>
        <s v="131119154605106" u="1"/>
        <s v="130511175933610" u="1"/>
        <s v="110126171121221" u="1"/>
        <s v="131203160019178" u="1"/>
        <s v="140605114938778" u="1"/>
        <s v="110113094920075" u="1"/>
        <s v="150108131036179" u="1"/>
        <s v="110803132909340" u="1"/>
        <s v="10000000271" u="1"/>
        <s v="141212085901660" u="1"/>
        <s v="10000000272" u="1"/>
        <s v="130107125733021" u="1"/>
        <s v="110919124457607" u="1"/>
        <s v="100913115750842" u="1"/>
        <s v="10000000274" u="1"/>
        <s v="110105210535768" u="1"/>
        <s v="140911102200638" u="1"/>
        <s v="10000000275" u="1"/>
        <s v="141124101044142" u="1"/>
        <s v="110113113650405" u="1"/>
        <s v="131206100336682" u="1"/>
        <s v="10000000277" u="1"/>
        <s v="10000000278" u="1"/>
        <s v="131120115254175" u="1"/>
        <s v="10000000279" u="1"/>
        <s v="131126101136598" u="1"/>
        <s v="10000000440" u="1"/>
        <s v="150312115521765" u="1"/>
        <s v="130827123050839" u="1"/>
        <s v="131118120342143" u="1"/>
        <s v="140702090617543" u="1"/>
        <s v="111123132548157" u="1"/>
        <s v="120127180103179" u="1"/>
        <s v="130916141932716" u="1"/>
        <s v="10000000441" u="1"/>
        <s v="101020134028512" u="1"/>
        <s v="110705153440945" u="1"/>
        <s v="120808135853909" u="1"/>
        <s v="10000000442" u="1"/>
        <s v="110504170827842" u="1"/>
        <s v="140522102104967" u="1"/>
        <s v="101020134028513" u="1"/>
        <s v="140602154941409" u="1"/>
        <s v="131119123752219" u="1"/>
        <s v="131119115547983" u="1"/>
        <s v="10000000444" u="1"/>
        <s v="130606121702450" u="1"/>
        <s v="10000000445" u="1"/>
        <s v="131210125715620" u="1"/>
        <s v="121026174258771" u="1"/>
        <s v="10000000446" u="1"/>
        <s v="131119053331234" u="1"/>
        <s v="10000000447" u="1"/>
        <s v="120210131430667" u="1"/>
        <s v="10000000448" u="1"/>
        <s v="130805105135405" u="1"/>
        <s v="10000000449" u="1"/>
        <s v="10000000610" u="1"/>
        <s v="130730134020119" u="1"/>
        <s v="130503105947111" u="1"/>
        <s v="110504164144306" u="1"/>
        <s v="130307094931764" u="1"/>
        <s v="130913112313710" u="1"/>
        <s v="131008154740623" u="1"/>
        <s v="10000000612" u="1"/>
        <s v="10000000613" u="1"/>
        <s v="150210150607559" u="1"/>
        <s v="100913115924925" u="1"/>
        <s v="140221132814130" u="1"/>
        <s v="10000000614" u="1"/>
        <s v="140804160202295" u="1"/>
        <s v="120210162927981" u="1"/>
        <s v="140603172437364" u="1"/>
        <s v="150326124623110" u="1"/>
        <s v="110107165618522" u="1"/>
        <s v="10000000617" u="1"/>
        <s v="140604164329357" u="1"/>
        <s v="10000000618" u="1"/>
        <s v="130812093228589" u="1"/>
        <s v="130513155557402" u="1"/>
        <s v="130711102159968" u="1"/>
        <s v="150522084258551" u="1"/>
        <s v="131118174309924" u="1"/>
        <s v="131030131034023" u="1"/>
        <s v="130503113515372" u="1"/>
        <s v="140930152138133" u="1"/>
        <s v="110106154031924" u="1"/>
        <s v="131030131737531" u="1"/>
        <s v="150521170720464" u="1"/>
        <s v="110107090959265" u="1"/>
        <s v="130913103914939" u="1"/>
        <s v="110106152757114" u="1"/>
        <s v="131119094226353" u="1"/>
        <s v="110106122823819" u="1"/>
        <s v="110110155152657" u="1"/>
        <s v="120210130928680" u="1"/>
        <s v="110125191051374" u="1"/>
        <s v="140401150031565" u="1"/>
        <s v="121203173947671" u="1"/>
        <s v="121206163956495" u="1"/>
        <s v="130409095830010" u="1"/>
        <s v="131119110705495" u="1"/>
        <s v="10000000580" u="1"/>
        <s v="110106162831245" u="1"/>
        <s v="101020132553150" u="1"/>
        <s v="110331110702900" u="1"/>
        <s v="131118093627379" u="1"/>
        <s v="10000000581" u="1"/>
        <s v="110217103508297" u="1"/>
        <s v="150224171155684" u="1"/>
        <s v="110126161435922" u="1"/>
        <s v="10000000582" u="1"/>
        <s v="140825130604631" u="1"/>
        <s v="110512125513549" u="1"/>
        <s v="120124095615630" u="1"/>
        <s v="110106102704333" u="1"/>
        <s v="131210125412632" u="1"/>
        <s v="110412125941834" u="1"/>
        <s v="110127123851223" u="1"/>
        <s v="10000000585" u="1"/>
        <s v="10000000587" u="1"/>
        <s v="101020134029514" u="1"/>
        <s v="140910102651846" u="1"/>
        <s v="110112172405771" u="1"/>
        <s v="120425174915421" u="1"/>
        <s v="140401132453848" u="1"/>
        <s v="140926131730242" u="1"/>
        <s v="101020134029515" u="1"/>
        <s v="140221083326581" u="1"/>
        <s v="10000000750" u="1"/>
        <s v="10102013243032" u="1"/>
        <s v="140217094658658" u="1"/>
        <s v="110106093909616" u="1"/>
        <s v="120210165226250" u="1"/>
        <s v="140901124232350" u="1"/>
        <s v="110113100344243" u="1"/>
        <s v="110106142838396" u="1"/>
        <s v="10000000753" u="1"/>
        <s v="140604164835868" u="1"/>
        <s v="140411111606489" u="1"/>
        <s v="131118150107473" u="1"/>
        <s v="110126165948670" u="1"/>
        <s v="110427131731649" u="1"/>
        <s v="111114101706644" u="1"/>
        <s v="10000000755" u="1"/>
        <s v="110126165141167" u="1"/>
        <s v="130827154035064" u="1"/>
        <s v="110106154852144" u="1"/>
        <s v="10000000756" u="1"/>
        <s v="110104133738996" u="1"/>
        <s v="140908161754993" u="1"/>
        <s v="131119154152667" u="1"/>
        <s v="120711112106339" u="1"/>
        <s v="120417172759528" u="1"/>
        <s v="10000000758" u="1"/>
        <s v="140911164832964" u="1"/>
        <s v="140522091329378" u="1"/>
        <s v="140206180053387" u="1"/>
        <s v="101020132519101" u="1"/>
        <s v="110106172826568" u="1"/>
        <s v="10000000921" u="1"/>
        <s v="120703114600954" u="1"/>
        <s v="131220094933606" u="1"/>
        <s v="101020132519102" u="1"/>
        <s v="10000000923" u="1"/>
        <s v="110107090711609" u="1"/>
        <s v="131118100154323" u="1"/>
        <s v="101020134022504" u="1"/>
        <s v="110309172627821" u="1"/>
        <s v="110106132958644" u="1"/>
        <s v="131119153618453" u="1"/>
        <s v="110105182318592" u="1"/>
        <s v="150226121438095" u="1"/>
        <s v="130821085942594" u="1"/>
        <s v="111121154115814" u="1"/>
        <s v="120210121720876" u="1"/>
        <s v="120210103337575" u="1"/>
        <s v="120210125447789" u="1"/>
        <s v="10102013245973" u="1"/>
        <s v="120307172657348" u="1"/>
        <s v="140515102928259" u="1"/>
        <s v="130705154135756" u="1"/>
        <s v="120123151910381" u="1"/>
        <s v="120131153702652" u="1"/>
        <s v="120426094121311" u="1"/>
        <s v="120206130346311" u="1"/>
        <s v="130705154454422" u="1"/>
        <s v="110105214303821" u="1"/>
        <s v="111208153726752" u="1"/>
        <s v="140307083017569" u="1"/>
        <s v="131118082530576" u="1"/>
        <s v="110113153333027" u="1"/>
        <s v="141110083601152" u="1"/>
        <s v="140722082944041" u="1"/>
        <s v="140217093233477" u="1"/>
        <s v="131118114714460" u="1"/>
        <s v="110323152159746" u="1"/>
        <s v="140122101558925" u="1"/>
        <s v="150522105532371" u="1"/>
        <s v="110126161250215" u="1"/>
        <s v="10000000891" u="1"/>
        <s v="110113124533573" u="1"/>
        <s v="110127124624515" u="1"/>
        <s v="131118154452969" u="1"/>
        <s v="130103131840765" u="1"/>
        <s v="140217083239791" u="1"/>
        <s v="10000000892" u="1"/>
        <s v="121010112626768" u="1"/>
        <s v="101217152459994" u="1"/>
        <s v="10000000893" u="1"/>
        <s v="110126172323802" u="1"/>
        <s v="130802173535292" u="1"/>
        <s v="150220132614316" u="1"/>
        <s v="150224174725743" u="1"/>
        <s v="131119153743582" u="1"/>
        <s v="131118164656876" u="1"/>
        <s v="120214162131068" u="1"/>
        <s v="140402083710309" u="1"/>
        <s v="131118083236877" u="1"/>
        <s v="140828144012053" u="1"/>
        <s v="10000000120" u="1"/>
        <s v="140606164319574" u="1"/>
        <s v="110126170941442" u="1"/>
        <s v="10000000121" u="1"/>
        <s v="140108163536301" u="1"/>
        <s v="150522094845607" u="1"/>
        <s v="120514171259536" u="1"/>
        <s v="10000000122" u="1"/>
        <s v="131118150620893" u="1"/>
        <s v="150312125217783" u="1"/>
        <s v="10000000123" u="1"/>
        <s v="110106163300144" u="1"/>
        <s v="110107105441609" u="1"/>
        <s v="110126171013688" u="1"/>
        <s v="141029154334091" u="1"/>
        <s v="10000000125" u="1"/>
        <s v="120215100545850" u="1"/>
        <s v="10000000126" u="1"/>
        <s v="140327095259738" u="1"/>
        <s v="110106132048005" u="1"/>
        <s v="110126154918391" u="1"/>
        <s v="141022130644693" u="1"/>
        <s v="10000000127" u="1"/>
        <s v="110106090252778" u="1"/>
        <s v="131120085817808" u="1"/>
        <s v="130204114257098" u="1"/>
        <s v="101020134023505" u="1"/>
        <s v="10000000128" u="1"/>
        <s v="150522105306108" u="1"/>
        <s v="10000000129" u="1"/>
        <s v="10102013250177" u="1"/>
        <s v="110105215124147" u="1"/>
        <s v="131118153227476" u="1"/>
        <s v="110106105214532" u="1"/>
        <s v="110504154723722" u="1"/>
        <s v="140702090205242" u="1"/>
        <s v="141212084900322" u="1"/>
        <s v="110126173938948" u="1"/>
        <s v="110106102425602" u="1"/>
        <s v="140411110244160" u="1"/>
        <s v="101020132555152" u="1"/>
        <s v="140217091722774" u="1"/>
        <s v="131119114313396" u="1"/>
        <s v="100913113706632" u="1"/>
        <s v="131121085230965" u="1"/>
        <s v="10000000090" u="1"/>
        <s v="110113123402380" u="1"/>
        <s v="10000000091" u="1"/>
        <s v="10102013244046" u="1"/>
        <s v="131126093710144" u="1"/>
        <s v="10000000092" u="1"/>
        <s v="110309174250330" u="1"/>
        <s v="110105215649893" u="1"/>
        <s v="130703172552668" u="1"/>
        <s v="10000000094" u="1"/>
        <s v="110126170911615" u="1"/>
        <s v="140214101839691" u="1"/>
        <s v="150522100148127" u="1"/>
        <s v="150210145215644" u="1"/>
        <s v="10000000095" u="1"/>
        <s v="150522100401381" u="1"/>
        <s v="140911173019369" u="1"/>
        <s v="10000000096" u="1"/>
        <s v="140110154538047" u="1"/>
        <s v="10000000097" u="1"/>
        <s v="110126161817334" u="1"/>
        <s v="10000000098" u="1"/>
        <s v="140910113040095" u="1"/>
        <s v="140424162743045" u="1"/>
        <s v="10000000099" u="1"/>
        <s v="131119145329991" u="1"/>
        <s v="120210170524788" u="1"/>
        <s v="121026130720134" u="1"/>
        <s v="121203173423067" u="1"/>
        <s v="10000000261" u="1"/>
        <s v="120523173056591" u="1"/>
        <s v="10000000262" u="1"/>
        <s v="150210144930157" u="1"/>
        <s v="140522093502969" u="1"/>
        <s v="110126131003592" u="1"/>
        <s v="110126171614659" u="1"/>
        <s v="110113115705044" u="1"/>
        <s v="10000000269" u="1"/>
        <s v="130503125158698" u="1"/>
        <s v="110126145138254" u="1"/>
        <s v="130111105949922" u="1"/>
        <s v="140108164051889" u="1"/>
        <s v="150421173331745" u="1"/>
        <s v="10000000430" u="1"/>
        <s v="131119170418319" u="1"/>
        <s v="10000000431" u="1"/>
        <s v="131119111656407" u="1"/>
        <s v="110105211525327" u="1"/>
        <s v="110126113859407" u="1"/>
        <s v="101020134024506" u="1"/>
        <s v="131126092428771" u="1"/>
        <s v="10000000432" u="1"/>
        <s v="130301174759797" u="1"/>
        <s v="10000000433" u="1"/>
        <s v="150522095631147" u="1"/>
        <s v="131119063005732" u="1"/>
        <s v="150522090249524" u="1"/>
        <s v="101020134024507" u="1"/>
        <s v="150522091224050" u="1"/>
        <s v="110112131038142" u="1"/>
        <s v="10000000435" u="1"/>
        <s v="100913124133623" u="1"/>
        <s v="110217133007346" u="1"/>
        <s v="130916162841563" u="1"/>
        <s v="121026171431179" u="1"/>
        <s v="130607120524528" u="1"/>
        <s v="120326101924231" u="1"/>
        <s v="10000000437" u="1"/>
        <s v="111221091707892" u="1"/>
        <s v="150401123931974" u="1"/>
        <s v="10000000438" u="1"/>
        <s v="131119162754163" u="1"/>
        <s v="10000001263" u="1"/>
        <s v="110126165743307" u="1"/>
        <s v="10000000439" u="1"/>
        <s v="110106162223613" u="1"/>
        <s v="131203155303938" u="1"/>
        <s v="140523093312345" u="1"/>
        <s v="131120084234866" u="1"/>
        <s v="120210114547757" u="1"/>
        <s v="10000000600" u="1"/>
        <s v="131118195156463" u="1"/>
        <s v="131211095031960" u="1"/>
        <s v="10000000601" u="1"/>
        <s v="131118084823001" u="1"/>
        <s v="10000001266" u="1"/>
        <s v="130913082631186" u="1"/>
        <s v="150513162637982" u="1"/>
        <s v="131119095735911" u="1"/>
        <s v="110126160227116" u="1"/>
        <s v="110126162440192" u="1"/>
        <s v="110330110229629" u="1"/>
        <s v="130513094551914" u="1"/>
        <s v="101217114049993" u="1"/>
        <s v="141029100045500" u="1"/>
        <s v="10000000606" u="1"/>
        <s v="140217081211252" u="1"/>
        <s v="110107151723765" u="1"/>
        <s v="131126094710167" u="1"/>
        <s v="10000000608" u="1"/>
        <s v="130104131546558" u="1"/>
        <s v="130301123400711" u="1"/>
        <s v="110106153827524" u="1"/>
        <s v="130511064405986" u="1"/>
        <s v="140609153937424" u="1"/>
        <s v="130916113329105" u="1"/>
        <s v="110106090010865" u="1"/>
        <s v="120705093950910" u="1"/>
        <s v="10102013250480" u="1"/>
        <s v="120425111836811" u="1"/>
        <s v="130503122953556" u="1"/>
        <s v="110106100453613" u="1"/>
        <s v="110126122424058" u="1"/>
        <s v="101217160850607" u="1"/>
        <s v="150513164200528" u="1"/>
        <s v="131118160317777" u="1"/>
        <s v="130529115945654" u="1"/>
        <s v="131118113458779" u="1"/>
        <s v="10000000570" u="1"/>
        <s v="140609162106217" u="1"/>
        <s v="10000000571" u="1"/>
        <s v="140522131636204" u="1"/>
        <s v="1010201324070" u="1"/>
        <s v="141017172416751" u="1"/>
        <s v="10000000573" u="1"/>
        <s v="150522091611888" u="1"/>
        <s v="141022122445948" u="1"/>
        <s v="110126171357612" u="1"/>
        <s v="10000000574" u="1"/>
        <s v="131118130702209" u="1"/>
        <s v="131119144455331" u="1"/>
        <s v="110105213916574" u="1"/>
        <s v="121029085522676" u="1"/>
        <s v="150408165955297" u="1"/>
        <s v="101020134025508" u="1"/>
        <s v="100913104702338" u="1"/>
        <s v="100913125118966" u="1"/>
        <s v="110106103751206" u="1"/>
        <s v="110106163217555" u="1"/>
        <s v="131010105311945" u="1"/>
        <s v="140717171437960" u="1"/>
        <s v="10000000740" u="1"/>
        <s v="131118121342243" u="1"/>
        <s v="130109122430813" u="1"/>
        <s v="110225143919541" u="1"/>
        <s v="140424164815796" u="1"/>
        <s v="130429123638949" u="1"/>
        <s v="110107103241453" u="1"/>
        <s v="110126113538649" u="1"/>
        <s v="10000000742" u="1"/>
        <s v="110105200256378" u="1"/>
        <s v="110118133900110" u="1"/>
        <s v="110126123404647" u="1"/>
        <s v="10000000743" u="1"/>
        <s v="130513095016421" u="1"/>
        <s v="130513094047239" u="1"/>
        <s v="10000000745" u="1"/>
        <s v="110105205726081" u="1"/>
        <s v="110105215203132" u="1"/>
        <s v="10000000746" u="1"/>
        <s v="10000000747" u="1"/>
        <s v="110105215850419" u="1"/>
        <s v="140521125655946" u="1"/>
        <s v="110705113853433" u="1"/>
        <s v="10000000910" u="1"/>
        <s v="110216120502701" u="1"/>
        <s v="131121095247341" u="1"/>
        <s v="10000000912" u="1"/>
        <s v="110106103457453" u="1"/>
        <s v="110302095337770" u="1"/>
        <s v="150522101050934" u="1"/>
        <s v="110323171157775" u="1"/>
        <s v="130503113837751" u="1"/>
        <s v="150312122731114" u="1"/>
        <s v="101020133919419" u="1"/>
        <s v="141024103243427" u="1"/>
        <s v="111114102615096" u="1"/>
        <s v="130511060216257" u="1"/>
        <s v="121031104643841" u="1"/>
        <s v="120903112222842" u="1"/>
        <s v="110126092602982" u="1"/>
        <s v="110106131712534" u="1"/>
        <s v="121205084303420" u="1"/>
        <s v="141212092225637" u="1"/>
        <s v="110105195945168" u="1"/>
        <s v="110126162737986" u="1"/>
        <s v="131119065258282" u="1"/>
        <s v="120222135249119" u="1"/>
        <s v="110106153245461" u="1"/>
        <s v="110126093858806" u="1"/>
        <s v="130503113103011" u="1"/>
        <s v="130828165431761" u="1"/>
        <s v="131025160952921" u="1"/>
        <s v="110503123327555" u="1"/>
        <s v="130812094119239" u="1"/>
        <s v="110105193941511" u="1"/>
        <s v="101020134026509" u="1"/>
        <s v="101217153012027" u="1"/>
        <s v="110113093311106" u="1"/>
        <s v="101130120840321" u="1"/>
        <s v="110217132634516" u="1"/>
        <s v="110107094149890" u="1"/>
        <s v="131119124733319" u="1"/>
        <s v="131119081839316" u="1"/>
        <s v="111121161439760" u="1"/>
        <s v="110415104608026" u="1"/>
        <s v="150522091702029" u="1"/>
        <s v="10000000887" u="1"/>
        <s v="121029073658402" u="1"/>
        <s v="140424170138437" u="1"/>
        <s v="120518082438443" u="1"/>
        <s v="110106142334832" u="1"/>
        <s v="110801150010876" u="1"/>
        <s v="120307170305196" u="1"/>
        <s v="110126165147563" u="1"/>
        <s v="110106165820951" u="1"/>
        <s v="110329121535870" u="1"/>
        <s v="121227100137398" u="1"/>
        <s v="150127150116904" u="1"/>
        <s v="10000000110" u="1"/>
        <s v="110106164210562" u="1"/>
        <s v="131119084815719" u="1"/>
        <s v="10000000111" u="1"/>
        <s v="140217121832300" u="1"/>
        <s v="10000000112" u="1"/>
        <s v="10000000113" u="1"/>
        <s v="130916142526524" u="1"/>
        <s v="10000000114" u="1"/>
        <s v="110523105753701" u="1"/>
        <s v="120808161340060" u="1"/>
        <s v="10000000115" u="1"/>
        <s v="101217160504765" u="1"/>
        <s v="110107091745625" u="1"/>
        <s v="10000000116" u="1"/>
        <s v="110106121928274" u="1"/>
        <s v="140214085731976" u="1"/>
        <s v="150108111605271" u="1"/>
        <s v="110126164344615" u="1"/>
        <s v="110106153340592" u="1"/>
        <s v="120210120849286" u="1"/>
        <s v="140801092831162" u="1"/>
        <s v="10000000117" u="1"/>
        <s v="110225141920947" u="1"/>
        <s v="140217120821790" u="1"/>
        <s v="10000000118" u="1"/>
        <s v="111114100203694" u="1"/>
        <s v="100913124815104" u="1"/>
        <s v="10000000119" u="1"/>
        <s v="110126171217677" u="1"/>
        <s v="130607121637856" u="1"/>
        <s v="131119103914423" u="1"/>
        <s v="131119130131851" u="1"/>
        <s v="130606161808595" u="1"/>
        <s v="110106162957154" u="1"/>
        <s v="110127105118648" u="1"/>
        <s v="130805083347867" u="1"/>
        <s v="140515113123642" u="1"/>
        <s v="111209084339395" u="1"/>
        <s v="150522084752889" u="1"/>
        <s v="130805111558692" u="1"/>
        <s v="120210151325186" u="1"/>
        <s v="140604104648150" u="1"/>
        <s v="101020132551146" u="1"/>
        <s v="141014131836540" u="1"/>
        <s v="110106101024085" u="1"/>
        <s v="110106164239032" u="1"/>
        <s v="10000000080" u="1"/>
        <s v="101020132551147" u="1"/>
        <s v="10000000081" u="1"/>
        <s v="110927132620264" u="1"/>
        <s v="130509083829577" u="1"/>
        <s v="110105213324683" u="1"/>
        <s v="120328125341229" u="1"/>
        <s v="10000000082" u="1"/>
        <s v="150119095426186" u="1"/>
        <s v="10000000083" u="1"/>
        <s v="10000001117" u="1"/>
        <s v="10000000084" u="1"/>
        <s v="10000001118" u="1"/>
        <s v="10000000085" u="1"/>
        <s v="10000001119" u="1"/>
        <s v="100913105622986" u="1"/>
        <s v="10000000086" u="1"/>
        <s v="110502165230623" u="1"/>
        <s v="110118110200223" u="1"/>
        <s v="10000000087" u="1"/>
        <s v="130513095841201" u="1"/>
        <s v="121206145020362" u="1"/>
        <s v="131119124947932" u="1"/>
        <s v="10000000088" u="1"/>
        <s v="110106085205936" u="1"/>
        <s v="10000000089" u="1"/>
        <s v="131119105913299" u="1"/>
        <s v="110113101809159" u="1"/>
        <s v="130705135313754" u="1"/>
        <s v="10000000250" u="1"/>
        <s v="10000000251" u="1"/>
        <s v="110126110501457" u="1"/>
        <s v="150224124717429" u="1"/>
        <s v="130916122004547" u="1"/>
        <s v="10000000252" u="1"/>
        <s v="120210170835593" u="1"/>
        <s v="120312085804894" u="1"/>
        <s v="130513101115893" u="1"/>
        <s v="110106132142754" u="1"/>
        <s v="130511175422310" u="1"/>
        <s v="110105192438187" u="1"/>
        <s v="130916161252116" u="1"/>
        <s v="10000000255" u="1"/>
        <s v="130607121000102" u="1"/>
        <s v="10000000256" u="1"/>
        <s v="131210124345044" u="1"/>
        <s v="10000000258" u="1"/>
        <s v="110106171308331" u="1"/>
        <s v="130805104410861" u="1"/>
        <s v="120210160328392" u="1"/>
        <s v="100913103923042" u="1"/>
        <s v="10000000420" u="1"/>
        <s v="121112155532705" u="1"/>
        <s v="101217113247248" u="1"/>
        <s v="130916102738483" u="1"/>
        <s v="10000000422" u="1"/>
        <s v="130511062311629" u="1"/>
        <s v="131119095327700" u="1"/>
        <s v="141212091840372" u="1"/>
        <s v="121109124059745" u="1"/>
        <s v="10000000424" u="1"/>
        <s v="120217105601085" u="1"/>
        <s v="10000000425" u="1"/>
        <s v="10102013242323" u="1"/>
        <s v="150429112753168" u="1"/>
        <s v="111121163313577" u="1"/>
        <s v="10000000426" u="1"/>
        <s v="141014130956573" u="1"/>
        <s v="10000000427" u="1"/>
        <s v="111108170105684" u="1"/>
        <s v="131120113451738" u="1"/>
        <s v="141212083032341" u="1"/>
        <s v="110113095700091" u="1"/>
        <s v="130122114020281" u="1"/>
        <s v="130513105606581" u="1"/>
        <s v="120425171751784" u="1"/>
        <s v="131118161947706" u="1"/>
        <s v="131029133021503" u="1"/>
        <s v="131203153453451" u="1"/>
        <s v="110106103048241" u="1"/>
        <s v="150409131637678" u="1"/>
        <s v="131119062537349" u="1"/>
        <s v="110330101859891" u="1"/>
        <s v="101020132552148" u="1"/>
        <s v="121206180345763" u="1"/>
        <s v="110126133420298" u="1"/>
        <s v="110105215746022" u="1"/>
        <s v="120425112140376" u="1"/>
        <s v="131118155609837" u="1"/>
        <s v="130513095202232" u="1"/>
        <s v="110126163415071" u="1"/>
        <s v="131210150216397" u="1"/>
        <s v="140225174414096" u="1"/>
        <s v="10000000390" u="1"/>
        <s v="131126100308553" u="1"/>
        <s v="10000000391" u="1"/>
        <s v="130511200415637" u="1"/>
        <s v="140108171512368" u="1"/>
        <s v="10000000392" u="1"/>
        <s v="131119055814810" u="1"/>
        <s v="131118165950699" u="1"/>
        <s v="131029131721285" u="1"/>
        <s v="10000000394" u="1"/>
        <s v="101217120140778" u="1"/>
        <s v="110503090900791" u="1"/>
        <s v="110107091501281" u="1"/>
        <s v="120123150159838" u="1"/>
        <s v="10000000398" u="1"/>
        <s v="111005100815023" u="1"/>
        <s v="121026162346683" u="1"/>
        <s v="110106142102926" u="1"/>
        <s v="10000000560" u="1"/>
        <s v="110106101435809" u="1"/>
        <s v="131210130417553" u="1"/>
        <s v="131119094621945" u="1"/>
        <s v="10000000562" u="1"/>
        <s v="110113112302679" u="1"/>
        <s v="150223105427375" u="1"/>
        <s v="110705170441279" u="1"/>
        <s v="10000000563" u="1"/>
        <s v="101020133857388" u="1"/>
        <s v="10102013241815" u="1"/>
        <s v="140606095126629" u="1"/>
        <s v="10000000564" u="1"/>
        <s v="121127174147598" u="1"/>
        <s v="131119054533296" u="1"/>
        <s v="10000000565" u="1"/>
        <s v="110113122651911" u="1"/>
        <s v="131126160117428" u="1"/>
        <s v="10000000566" u="1"/>
        <s v="140804160548138" u="1"/>
        <s v="131220112338018" u="1"/>
        <s v="131118103602665" u="1"/>
        <s v="131119121054250" u="1"/>
        <s v="111117131717377" u="1"/>
        <s v="131119122102525" u="1"/>
        <s v="131217113735890" u="1"/>
        <s v="131118104934848" u="1"/>
        <s v="110330101511219" u="1"/>
        <s v="1.4021E+14" u="1"/>
        <s v="130521155131733" u="1"/>
        <s v="130220101645516" u="1"/>
        <s v="110107092629421" u="1"/>
        <s v="140217110645096" u="1"/>
        <s v="10000000734" u="1"/>
        <s v="110106094438732" u="1"/>
        <s v="131118112416746" u="1"/>
        <s v="10000000735" u="1"/>
        <s v="10000000736" u="1"/>
        <s v="130920130728154" u="1"/>
        <s v="130913085353710" u="1"/>
        <s v="150203100553834" u="1"/>
        <s v="10000000737" u="1"/>
        <s v="10000000738" u="1"/>
        <s v="110106101851666" u="1"/>
        <s v="110126104633335" u="1"/>
        <s v="101020132553149" u="1"/>
        <s v="110113094009002" u="1"/>
        <s v="140108162637789" u="1"/>
        <s v="10000000739" u="1"/>
        <s v="140901153032900" u="1"/>
        <s v="110106155205846" u="1"/>
        <s v="120621153418743" u="1"/>
        <s v="131220170742007" u="1"/>
        <s v="131118105311267" u="1"/>
        <s v="110105211740986" u="1"/>
        <s v="120208133639899" u="1"/>
        <s v="131118111934526" u="1"/>
        <s v="110106121059170" u="1"/>
        <s v="10000000904" u="1"/>
        <s v="110106165104366" u="1"/>
        <s v="110126172700347" u="1"/>
        <s v="140214085104064" u="1"/>
        <s v="141022101158197" u="1"/>
        <s v="130522125408159" u="1"/>
        <s v="110106163542587" u="1"/>
        <s v="131119163916117" u="1"/>
        <s v="131210125042812" u="1"/>
        <s v="10000000907" u="1"/>
        <s v="110126125239383" u="1"/>
        <s v="150210150213414" u="1"/>
        <s v="120123134739910" u="1"/>
        <s v="10102013250076" u="1"/>
        <s v="131119092356897" u="1"/>
        <s v="110113092000805" u="1"/>
        <s v="110127104315434" u="1"/>
        <s v="10000000908" u="1"/>
        <s v="130827160939989" u="1"/>
        <s v="10000000909" u="1"/>
        <s v="120703133341319" u="1"/>
        <s v="130314152727342" u="1"/>
        <s v="131220171336533" u="1"/>
        <s v="120210115909493" u="1"/>
        <s v="110107091452000" u="1"/>
        <s v="130206123100621" u="1"/>
        <s v="130326100555456" u="1"/>
        <s v="131210145904579" u="1"/>
        <s v="131118114118608" u="1"/>
        <s v="150709151518220" u="1"/>
        <s v="110106154332249" u="1"/>
        <s v="130916161752681" u="1"/>
        <s v="131119092803861" u="1"/>
        <s v="110105192215041" u="1"/>
        <s v="140217100304133" u="1"/>
        <s v="110114092329680" u="1"/>
        <s v="131118192958014" u="1"/>
        <s v="140214084404655" u="1"/>
        <s v="140217102808950" u="1"/>
        <s v="131119084037890" u="1"/>
        <s v="140527162110990" u="1"/>
        <s v="150226110348863" u="1"/>
        <s v="110126164207130" u="1"/>
        <s v="140206152620295" u="1"/>
        <s v="131118091734991" u="1"/>
        <s v="150312121903931" u="1"/>
        <s v="110106153438052" u="1"/>
        <s v="140214091441645" u="1"/>
        <s v="131119071243648" u="1"/>
        <s v="110107170246058" u="1"/>
        <s v="10000000873" u="1"/>
        <s v="131126103815442" u="1"/>
        <s v="131118165135991" u="1"/>
        <s v="10000000875" u="1"/>
        <s v="131118161754762" u="1"/>
        <s v="10000000877" u="1"/>
        <s v="110105205345527" u="1"/>
        <s v="140609101121002" u="1"/>
        <s v="130312180540598" u="1"/>
        <s v="110106153052295" u="1"/>
        <s v="130827114613645" u="1"/>
        <s v="120210124522489" u="1"/>
        <s v="150223155621984" u="1"/>
        <s v="121029075555986" u="1"/>
        <s v="130812093600858" u="1"/>
        <s v="150427103057084" u="1"/>
        <s v="110105164347794" u="1"/>
        <s v="10000000100" u="1"/>
        <s v="140729110603526" u="1"/>
        <s v="10000000101" u="1"/>
        <s v="10000000102" u="1"/>
        <s v="110106102350969" u="1"/>
        <s v="110217121018661" u="1"/>
        <s v="120326114251832" u="1"/>
        <s v="131119083647447" u="1"/>
        <s v="10000000103" u="1"/>
        <s v="131029124916859" u="1"/>
        <s v="10000000104" u="1"/>
        <s v="131115165055865" u="1"/>
        <s v="131217114713280" u="1"/>
        <s v="10000000105" u="1"/>
        <s v="10000000106" u="1"/>
        <s v="130125115248691" u="1"/>
        <s v="120210113717712" u="1"/>
        <s v="110126133802443" u="1"/>
        <s v="10000000107" u="1"/>
        <s v="110126102722656" u="1"/>
        <s v="10000000108" u="1"/>
        <s v="140701100630979" u="1"/>
        <s v="110113095348631" u="1"/>
        <s v="131029150705124" u="1"/>
        <s v="140401151139093" u="1"/>
        <s v="10000000109" u="1"/>
        <s v="120515123928527" u="1"/>
        <s v="110330112405247" u="1"/>
        <s v="110503091524723" u="1"/>
        <s v="110105215631875" u="1"/>
        <s v="121109124851601" u="1"/>
        <s v="110106171901439" u="1"/>
        <s v="120709122703144" u="1"/>
        <s v="110113153624285" u="1"/>
        <s v="131118123544983" u="1"/>
        <s v="110106112314110" u="1"/>
        <s v="140605120741909" u="1"/>
        <s v="110105201113475" u="1"/>
        <s v="130625153318966" u="1"/>
        <s v="131119152341119" u="1"/>
        <s v="120511122754574" u="1"/>
        <s v="110107163923508" u="1"/>
        <s v="130627122005804" u="1"/>
        <s v="110113115147691" u="1"/>
        <s v="110127153611599" u="1"/>
        <s v="131118151942499" u="1"/>
        <s v="10000000070" u="1"/>
        <s v="120210132741342" u="1"/>
        <s v="130913084939383" u="1"/>
        <s v="140605132820686" u="1"/>
        <s v="10000000071" u="1"/>
        <s v="131120123625959" u="1"/>
        <s v="110105193837831" u="1"/>
        <s v="10000000072" u="1"/>
        <s v="110107091138421" u="1"/>
        <s v="10000000073" u="1"/>
        <s v="110106112245437" u="1"/>
        <s v="110126154020671" u="1"/>
        <s v="130916153024168" u="1"/>
        <s v="131126092852426" u="1"/>
        <s v="141212091421332" u="1"/>
        <s v="110106171228738" u="1"/>
        <s v="130426110529548" u="1"/>
        <s v="10000000075" u="1"/>
        <s v="110106145623332" u="1"/>
        <s v="10000000076" u="1"/>
        <s v="110126121627475" u="1"/>
        <s v="131029130008471" u="1"/>
        <s v="130503103646215" u="1"/>
        <s v="10000000077" u="1"/>
        <s v="110324131342208" u="1"/>
        <s v="150508111255773" u="1"/>
        <s v="140606110516200" u="1"/>
        <s v="10000000078" u="1"/>
        <s v="131120130533861" u="1"/>
        <s v="10000000079" u="1"/>
        <s v="150312121206748" u="1"/>
        <s v="131119095920400" u="1"/>
        <s v="110106165905863" u="1"/>
        <s v="131118104056975" u="1"/>
        <s v="10000000241" u="1"/>
        <s v="10000000242" u="1"/>
        <s v="131118085808563" u="1"/>
        <s v="110105210212671" u="1"/>
        <s v="130314145756201" u="1"/>
        <s v="130913104912450" u="1"/>
        <s v="130913111230428" u="1"/>
        <s v="130503122300515" u="1"/>
        <s v="110126153133793" u="1"/>
        <s v="10000000244" u="1"/>
        <s v="110126130229504" u="1"/>
        <s v="110106085046687" u="1"/>
        <s v="110126161135585" u="1"/>
        <s v="120131151211220" u="1"/>
        <s v="130516171024435" u="1"/>
        <s v="131119165843559" u="1"/>
        <s v="10000000248" u="1"/>
        <s v="131119085604795" u="1"/>
        <s v="10000000249" u="1"/>
        <s v="140110160214410" u="1"/>
        <s v="131120110056094" u="1"/>
        <s v="10000000410" u="1"/>
        <s v="140618165121308" u="1"/>
        <s v="120618123715092" u="1"/>
        <s v="130916145752795" u="1"/>
        <s v="100913102954875" u="1"/>
        <s v="110126132430520" u="1"/>
        <s v="10000000412" u="1"/>
        <s v="10102013243640" u="1"/>
        <s v="10000000413" u="1"/>
        <s v="150522105124011" u="1"/>
        <s v="110107093306625" u="1"/>
        <s v="130511070355556" u="1"/>
        <s v="130705154950526" u="1"/>
        <s v="140903095422126" u="1"/>
        <s v="120210151714382" u="1"/>
        <s v="140606093854080" u="1"/>
        <s v="140804161323723" u="1"/>
        <s v="131118094538075" u="1"/>
        <s v="10000001240" u="1"/>
        <s v="131118154818858" u="1"/>
        <s v="120201123545597" u="1"/>
        <s v="150224172305624" u="1"/>
        <s v="130805090947391" u="1"/>
        <s v="131118170309287" u="1"/>
        <s v="10000000417" u="1"/>
        <s v="100930164946524" u="1"/>
        <s v="110106125358358" u="1"/>
        <s v="10000000418" u="1"/>
        <s v="130307095319181" u="1"/>
        <s v="131118110459678" u="1"/>
        <s v="120704104149600" u="1"/>
        <s v="150521170137570" u="1"/>
        <s v="130314151207748" u="1"/>
        <s v="141029154930678" u="1"/>
        <s v="10000001245" u="1"/>
        <s v="10000001246" u="1"/>
        <s v="131120124832872" u="1"/>
        <s v="130511061528087" u="1"/>
        <s v="110105211455406" u="1"/>
        <s v="110523110625147" u="1"/>
        <s v="110323172115418" u="1"/>
        <s v="130827132543266" u="1"/>
        <s v="140217090236548" u="1"/>
        <s v="110323155108023" u="1"/>
        <s v="110126171834233" u="1"/>
        <s v="130511195519680" u="1"/>
        <s v="131025161756552" u="1"/>
        <s v="110223164851244" u="1"/>
        <s v="130913114918234" u="1"/>
        <s v="130201094911198" u="1"/>
        <s v="130513091621868" u="1"/>
        <s v="140214090536765" u="1"/>
        <s v="120215121206827" u="1"/>
        <s v="10000000380" u="1"/>
        <s v="140402092540960" u="1"/>
        <s v="130513110015479" u="1"/>
        <s v="121026133147252" u="1"/>
        <s v="130913091554874" u="1"/>
        <s v="120210101108447" u="1"/>
        <s v="130423084040994" u="1"/>
        <s v="110330102141563" u="1"/>
        <s v="10000000383" u="1"/>
        <s v="131119163351138" u="1"/>
        <s v="110105191346243" u="1"/>
        <s v="150108102424158" u="1"/>
        <s v="110323155602303" u="1"/>
        <s v="131119062005678" u="1"/>
        <s v="110105214159174" u="1"/>
        <s v="140122100253418" u="1"/>
        <s v="10000000387" u="1"/>
        <s v="110217111253479" u="1"/>
        <s v="130703160140280" u="1"/>
        <s v="130802093346297" u="1"/>
        <s v="10000000388" u="1"/>
        <s v="110503093859986" u="1"/>
        <s v="110105210258051" u="1"/>
        <s v="10000000389" u="1"/>
        <s v="140108172458569" u="1"/>
        <s v="130513100352457" u="1"/>
        <s v="130913111621776" u="1"/>
        <s v="120425180152505" u="1"/>
        <s v="120807095939016" u="1"/>
        <s v="130507121245297" u="1"/>
        <s v="10000000551" u="1"/>
        <s v="110105170300750" u="1"/>
        <s v="10000000552" u="1"/>
        <s v="120807091015422" u="1"/>
        <s v="110105204628943" u="1"/>
        <s v="141106085237215" u="1"/>
        <s v="120426090827271" u="1"/>
        <s v="130827163209963" u="1"/>
        <s v="10000000554" u="1"/>
        <s v="110127125650579" u="1"/>
        <s v="131118161023423" u="1"/>
        <s v="110106092331489" u="1"/>
        <s v="110107105749078" u="1"/>
        <s v="140521112151801" u="1"/>
        <s v="101020132547140" u="1"/>
        <s v="10000000557" u="1"/>
        <s v="110126162003633" u="1"/>
        <s v="110106162016675" u="1"/>
        <s v="140521131001708" u="1"/>
        <s v="10000000558" u="1"/>
        <s v="110105191826671" u="1"/>
        <s v="131118122047702" u="1"/>
        <s v="120625122412211" u="1"/>
        <s v="131121090800678" u="1"/>
        <s v="101020132547141" u="1"/>
        <s v="10000000559" u="1"/>
        <s v="141124111202880" u="1"/>
        <s v="110504161735225" u="1"/>
        <s v="110126153748851" u="1"/>
        <s v="131115165858080" u="1"/>
        <s v="110413091352820" u="1"/>
        <s v="110106104940574" u="1"/>
        <s v="130805083636753" u="1"/>
        <s v="10000000723" u="1"/>
        <s v="131120090555013" u="1"/>
        <s v="140808105156491" u="1"/>
        <s v="150409145914369" u="1"/>
        <s v="10000000724" u="1"/>
        <s v="130903105819167" u="1"/>
        <s v="120210124933401" u="1"/>
        <s v="10000000726" u="1"/>
        <s v="131119163319314" u="1"/>
        <s v="110106173923504" u="1"/>
        <s v="141009120204603" u="1"/>
        <s v="110413110007900" u="1"/>
        <s v="110106123014239" u="1"/>
        <s v="140603170147800" u="1"/>
        <s v="120210150913260" u="1"/>
        <s v="10000000729" u="1"/>
        <s v="131118172525021" u="1"/>
        <s v="130511174422518" u="1"/>
        <s v="130513111019215" u="1"/>
        <s v="141014154633293" u="1"/>
        <s v="130607115920362" u="1"/>
        <s v="110113122346675" u="1"/>
        <s v="100913124436174" u="1"/>
        <s v="101020132540130" u="1"/>
        <s v="110106162749249" u="1"/>
        <s v="101217105729487" u="1"/>
        <s v="120123152854917" u="1"/>
        <s v="150130130416391" u="1"/>
        <s v="140804163721881" u="1"/>
        <s v="130314153056025" u="1"/>
        <s v="140729105125459" u="1"/>
        <s v="110106101623980" u="1"/>
        <s v="110113155046019" u="1"/>
        <s v="140522094155280" u="1"/>
        <s v="110127125643434" u="1"/>
        <s v="10000000690" u="1"/>
        <s v="10000000691" u="1"/>
        <s v="150210110951083" u="1"/>
        <s v="141217174045267" u="1"/>
        <s v="10000000692" u="1"/>
        <s v="110107165806693" u="1"/>
        <s v="110126130705048" u="1"/>
        <s v="10102013244654" u="1"/>
        <s v="110106104019173" u="1"/>
        <s v="10000000694" u="1"/>
        <s v="130403122930998" u="1"/>
        <s v="140206091905607" u="1"/>
        <s v="111108152947054" u="1"/>
        <s v="131118131041873" u="1"/>
        <s v="140702092516911" u="1"/>
        <s v="10000000695" u="1"/>
        <s v="110106151731526" u="1"/>
        <s v="10000000697" u="1"/>
        <s v="110105210031223" u="1"/>
        <s v="130513094835868" u="1"/>
        <s v="10000000698" u="1"/>
        <s v="10000000699" u="1"/>
        <s v="140206174501054" u="1"/>
        <s v="110107102724140" u="1"/>
        <s v="110126144541870" u="1"/>
        <s v="110106101243800" u="1"/>
        <s v="130916143320998" u="1"/>
        <s v="130513094715015" u="1"/>
        <s v="130108153206130" u="1"/>
        <s v="140414091206519" u="1"/>
        <s v="110107105939406" u="1"/>
        <s v="10000000862" u="1"/>
        <s v="131023131311085" u="1"/>
        <s v="101020132548142" u="1"/>
        <s v="120210160527000" u="1"/>
        <s v="110705165033226" u="1"/>
        <s v="110705165750013" u="1"/>
        <s v="131118103007328" u="1"/>
        <s v="141212085248068" u="1"/>
        <s v="141110082712480" u="1"/>
        <s v="131118104417154" u="1"/>
        <s v="131118102413333" u="1"/>
        <s v="140401152117935" u="1"/>
        <s v="10000000868" u="1"/>
        <s v="130911102003947" u="1"/>
        <s v="110126103427462" u="1"/>
        <s v="131119170705427" u="1"/>
        <s v="111024163134486" u="1"/>
        <s v="130827113629285" u="1"/>
        <s v="140702121810120" u="1"/>
        <s v="131119145101525" u="1"/>
        <s v="140108160745416" u="1"/>
        <s v="110113122058802" u="1"/>
        <s v="120328125659896" u="1"/>
        <s v="110105210854077" u="1"/>
        <s v="150709152037430" u="1"/>
        <s v="130125114732461" u="1"/>
        <s v="150210120423626" u="1"/>
        <s v="140908173104221" u="1"/>
        <s v="140826125322706" u="1"/>
        <s v="130222153709066" u="1"/>
        <s v="120123132950477" u="1"/>
        <s v="110927130640186" u="1"/>
        <s v="140804164019129" u="1"/>
        <s v="110126172300043" u="1"/>
        <s v="121109124419379" u="1"/>
        <s v="110105212751543" u="1"/>
        <s v="130312180047022" u="1"/>
        <s v="150210104949803" u="1"/>
        <s v="101020132541132" u="1"/>
        <s v="130307094843186" u="1"/>
        <s v="131120110620761" u="1"/>
        <s v="110106152531553" u="1"/>
        <s v="110127124231512" u="1"/>
        <s v="120210171602957" u="1"/>
        <s v="120214154900135" u="1"/>
        <s v="140225092119867" u="1"/>
        <s v="110106164640537" u="1"/>
        <s v="110126173017579" u="1"/>
        <s v="150224125140315" u="1"/>
        <s v="110126163311298" u="1"/>
        <s v="130805105653819" u="1"/>
        <s v="130718123956967" u="1"/>
        <s v="130916161550143" u="1"/>
        <s v="140217164528555" u="1"/>
        <s v="131118110723339" u="1"/>
        <s v="140227090952089" u="1"/>
        <s v="130730133652109" u="1"/>
        <s v="140227130142402" u="1"/>
        <s v="150224130002814" u="1"/>
        <s v="101217145600161" u="1"/>
        <s v="130513154058701" u="1"/>
        <s v="141029095255765" u="1"/>
        <s v="140910112646265" u="1"/>
        <s v="140520131554489" u="1"/>
        <s v="10000000060" u="1"/>
        <s v="120306104949182" u="1"/>
        <s v="130826173227734" u="1"/>
        <s v="110503130047692" u="1"/>
        <s v="10000000061" u="1"/>
        <s v="131118152314519" u="1"/>
        <s v="10102013242119" u="1"/>
        <s v="10000000062" u="1"/>
        <s v="140206151811516" u="1"/>
        <s v="110106151411225" u="1"/>
        <s v="10000000063" u="1"/>
        <s v="10000000064" u="1"/>
        <s v="10000000065" u="1"/>
        <s v="150210122152596" u="1"/>
        <s v="130503124641628" u="1"/>
        <s v="10000000066" u="1"/>
        <s v="100913123417291" u="1"/>
        <s v="10000000067" u="1"/>
        <s v="131119061617762" u="1"/>
        <s v="10000000068" u="1"/>
        <s v="130816120819919" u="1"/>
        <s v="130503110308538" u="1"/>
        <s v="101020132549144" u="1"/>
        <s v="130710122414043" u="1"/>
        <s v="10000000069" u="1"/>
        <s v="110413092258149" u="1"/>
        <s v="120425113109652" u="1"/>
        <s v="110126113425407" u="1"/>
        <s v="141112125354671" u="1"/>
        <s v="130913095555448" u="1"/>
        <s v="120425175850656" u="1"/>
        <s v="110126133511591" u="1"/>
        <s v="131118155159598" u="1"/>
        <s v="10000000233" u="1"/>
        <s v="130513195758662" u="1"/>
        <s v="10000000234" u="1"/>
        <s v="10000000235" u="1"/>
        <s v="131120125344061" u="1"/>
        <s v="110106161453285" u="1"/>
        <s v="120210102707915" u="1"/>
        <s v="121002122815461" u="1"/>
        <s v="10000000236" u="1"/>
        <s v="150709084023817" u="1"/>
        <s v="10000000237" u="1"/>
        <s v="110106153215224" u="1"/>
        <s v="10000000238" u="1"/>
        <s v="120210163939130" u="1"/>
        <s v="150219131317402" u="1"/>
        <s v="10000000239" u="1"/>
        <s v="110502162300741" u="1"/>
        <s v="10000000400" u="1"/>
        <s v="110113115422522" u="1"/>
        <s v="10000000401" u="1"/>
        <s v="130220102520351" u="1"/>
        <s v="131210145507131" u="1"/>
        <s v="110225141410070" u="1"/>
        <s v="150220092521279" u="1"/>
        <s v="140110152515124" u="1"/>
        <s v="130125115603971" u="1"/>
        <s v="101020132542133" u="1"/>
        <s v="10000000404" u="1"/>
        <s v="141122091820005" u="1"/>
        <s v="10000000405" u="1"/>
        <s v="150601112003442" u="1"/>
        <s v="101020132542134" u="1"/>
        <s v="110107170653567" u="1"/>
        <s v="150420100157257" u="1"/>
        <s v="131220125157169" u="1"/>
        <s v="10000001230" u="1"/>
        <s v="130314144759325" u="1"/>
        <s v="10000001231" u="1"/>
        <s v="10000000407" u="1"/>
        <s v="110113114534818" u="1"/>
        <s v="130513121049354" u="1"/>
        <s v="10000001232" u="1"/>
        <s v="130805110032765" u="1"/>
        <s v="10000000408" u="1"/>
        <s v="10000001233" u="1"/>
        <s v="10000000409" u="1"/>
        <s v="120727130644582" u="1"/>
        <s v="130625155039876" u="1"/>
        <s v="10000001235" u="1"/>
        <s v="110105213104859" u="1"/>
        <s v="121123153418648" u="1"/>
        <s v="110106151809588" u="1"/>
        <s v="10000001236" u="1"/>
        <s v="110126113749768" u="1"/>
        <s v="110106122545789" u="1"/>
        <s v="110126121206345" u="1"/>
        <s v="130916143708758" u="1"/>
        <s v="10000001237" u="1"/>
        <s v="131118081759595" u="1"/>
        <s v="131120091009777" u="1"/>
        <s v="10000001238" u="1"/>
        <s v="100913105815088" u="1"/>
        <s v="10000001239" u="1"/>
        <s v="140523085948434" u="1"/>
        <s v="110106094107085" u="1"/>
        <s v="110106164018912" u="1"/>
        <s v="110214111326872" u="1"/>
        <s v="150522103023820" u="1"/>
        <s v="101217100111192" u="1"/>
        <s v="131118095238307" u="1"/>
        <s v="100913130317065" u="1"/>
        <s v="130503103134714" u="1"/>
        <s v="150108110447259" u="1"/>
        <s v="10000000372" u="1"/>
        <s v="131118113742392" u="1"/>
        <s v="10000000373" u="1"/>
        <s v="110126131641940" u="1"/>
        <s v="120523170017913" u="1"/>
        <s v="10000000374" u="1"/>
        <s v="130916102938634" u="1"/>
        <s v="10000000375" u="1"/>
        <s v="10000000376" u="1"/>
        <s v="130516170758434" u="1"/>
        <s v="10000000377" u="1"/>
        <s v="110104101941486" u="1"/>
        <s v="110127103738270" u="1"/>
        <s v="10000000378" u="1"/>
        <s v="100913122839254" u="1"/>
        <s v="140604161747303" u="1"/>
        <s v="110530123638426" u="1"/>
        <s v="130513094422737" u="1"/>
        <s v="110211133331802" u="1"/>
        <s v="121217101456776" u="1"/>
        <s v="10000000541" u="1"/>
        <s v="130511211136437" u="1"/>
        <s v="131120122345318" u="1"/>
        <s v="110413111150961" u="1"/>
        <s v="121003121042875" u="1"/>
        <s v="110503123911473" u="1"/>
        <s v="10000000542" u="1"/>
        <s v="10000000543" u="1"/>
        <s v="110225120420366" u="1"/>
        <s v="150522083407076" u="1"/>
        <s v="130511194123218" u="1"/>
        <s v="10000000544" u="1"/>
        <s v="110106152037215" u="1"/>
        <s v="120928154253916" u="1"/>
        <s v="10000000546" u="1"/>
        <s v="10000000547" u="1"/>
        <s v="150224171600404" u="1"/>
        <s v="120307171731033" u="1"/>
        <s v="130814160716665" u="1"/>
        <s v="120306103450179" u="1"/>
        <s v="110106155419741" u="1"/>
        <s v="101020132543135" u="1"/>
        <s v="120210130112722" u="1"/>
        <s v="131126104250798" u="1"/>
        <s v="10000000711" u="1"/>
        <s v="150522085610526" u="1"/>
        <s v="10000000712" u="1"/>
        <s v="10000000713" u="1"/>
        <s v="120210173915750" u="1"/>
        <s v="140910115809977" u="1"/>
        <s v="10000000715" u="1"/>
        <s v="150227102735248" u="1"/>
        <s v="130507122831849" u="1"/>
        <s v="10000000716" u="1"/>
        <s v="110106143124627" u="1"/>
        <s v="131210154353177" u="1"/>
        <s v="10000000717" u="1"/>
        <s v="130805084228969" u="1"/>
        <s v="110110090512998" u="1"/>
        <s v="150521165410365" u="1"/>
        <s v="10000000718" u="1"/>
        <s v="120123152412212" u="1"/>
        <s v="110105193448369" u="1"/>
        <s v="130903102630632" u="1"/>
        <s v="130513160229695" u="1"/>
        <s v="131119104836351" u="1"/>
        <s v="130527134559735" u="1"/>
        <s v="131119063426049" u="1"/>
        <s v="140521124558979" u="1"/>
        <s v="110107102958531" u="1"/>
        <s v="120210171243744" u="1"/>
        <s v="120210171933995" u="1"/>
        <s v="130503112507331" u="1"/>
        <s v="121206151801887" u="1"/>
        <s v="110126114849294" u="1"/>
        <s v="141125130630262" u="1"/>
        <s v="110207181356778" u="1"/>
        <s v="10102013250075" u="1"/>
        <s v="100913120617842" u="1"/>
        <s v="110106104729705" u="1"/>
        <s v="100913113934037" u="1"/>
        <s v="110113103936745" u="1"/>
        <s v="120607130905401" u="1"/>
        <s v="110106132446508" u="1"/>
        <s v="121109125224964" u="1"/>
        <s v="121119145411734" u="1"/>
        <s v="10000000680" u="1"/>
        <s v="111121122714600" u="1"/>
        <s v="110217121538009" u="1"/>
        <s v="130315131316950" u="1"/>
        <s v="10000000681" u="1"/>
        <s v="10000000682" u="1"/>
        <s v="131118165821779" u="1"/>
        <s v="120210153543315" u="1"/>
        <s v="131010110445053" u="1"/>
        <s v="110106090316584" u="1"/>
        <s v="140311175512493" u="1"/>
        <s v="10000000683" u="1"/>
        <s v="10000000684" u="1"/>
        <s v="110126162750872" u="1"/>
        <s v="120807124431226" u="1"/>
        <s v="110105194308103" u="1"/>
        <s v="130814160413676" u="1"/>
        <s v="150508115702597" u="1"/>
        <s v="110105213852815" u="1"/>
        <s v="10000000685" u="1"/>
        <s v="131118131916205" u="1"/>
        <s v="150504171240944" u="1"/>
        <s v="130607114740608" u="1"/>
        <s v="120124090410621" u="1"/>
        <s v="10000000686" u="1"/>
        <s v="140702093115293" u="1"/>
        <s v="10000000687" u="1"/>
        <s v="141029100500483" u="1"/>
        <s v="130805111955516" u="1"/>
        <s v="150203120041701" u="1"/>
        <s v="10000000688" u="1"/>
        <s v="130515111903835" u="1"/>
        <s v="140122095757049" u="1"/>
        <s v="10000000689" u="1"/>
        <s v="120215100826967" u="1"/>
        <s v="130513172239596" u="1"/>
        <s v="111208155550864" u="1"/>
        <s v="150522085223402" u="1"/>
        <s v="131119060250493" u="1"/>
        <s v="110907160700556" u="1"/>
        <s v="110126163912206" u="1"/>
        <s v="130814153658536" u="1"/>
        <s v="131119111603523" u="1"/>
        <s v="131025151730629" u="1"/>
        <s v="110503124717288" u="1"/>
        <s v="101020132544136" u="1"/>
        <s v="131118121727211" u="1"/>
        <s v="110217131243722" u="1"/>
        <s v="110126173545680" u="1"/>
        <s v="110127125025771" u="1"/>
        <s v="140828144700058" u="1"/>
        <s v="101020132544137" u="1"/>
        <s v="110126155508441" u="1"/>
        <s v="120903113926567" u="1"/>
        <s v="110106152301108" u="1"/>
        <s v="140108175949453" u="1"/>
        <s v="110127125254362" u="1"/>
        <s v="140603152531957" u="1"/>
        <s v="130503121807921" u="1"/>
        <s v="131118112757065" u="1"/>
        <s v="130511200000466" u="1"/>
        <s v="130821091159055" u="1"/>
        <s v="140603151937663" u="1"/>
        <s v="110107165934053" u="1"/>
        <s v="130827154627781" u="1"/>
        <s v="110106171538622" u="1"/>
        <s v="131119090843018" u="1"/>
        <s v="120210163342294" u="1"/>
        <s v="131119121027106" u="1"/>
        <s v="120627085916568" u="1"/>
        <s v="110502180009010" u="1"/>
        <s v="150427102808959" u="1"/>
        <s v="140702094513065" u="1"/>
        <s v="131118163653343" u="1"/>
        <s v="110106150403511" u="1"/>
        <s v="140327101616680" u="1"/>
        <s v="140108161131289" u="1"/>
        <s v="110126114024927" u="1"/>
        <s v="110328141954984" u="1"/>
        <s v="110325163151071" u="1"/>
        <s v="110107110452968" u="1"/>
        <s v="110127120623832" u="1"/>
        <s v="131111172524979" u="1"/>
        <s v="131119104926973" u="1"/>
        <s v="140611163840970" u="1"/>
        <s v="131119132203798" u="1"/>
        <s v="110803155249534" u="1"/>
        <s v="131118083020315" u="1"/>
        <s v="130508173035625" u="1"/>
        <s v="140214090144370" u="1"/>
        <s v="110107100850687" u="1"/>
        <s v="110106171321622" u="1"/>
        <s v="10000000050" u="1"/>
        <s v="110126171425879" u="1"/>
        <s v="10000000991" u="1"/>
        <s v="140828145158316" u="1"/>
        <s v="10000000992" u="1"/>
        <s v="10000000052" u="1"/>
        <s v="110106174207649" u="1"/>
        <s v="10000000993" u="1"/>
        <s v="10000000053" u="1"/>
        <s v="110126145422352" u="1"/>
        <s v="10000000994" u="1"/>
        <s v="150525174647072" u="1"/>
        <s v="10000000054" u="1"/>
        <s v="10000000055" u="1"/>
        <s v="10000000996" u="1"/>
        <s v="110222153549384" u="1"/>
        <s v="10000000056" u="1"/>
        <s v="140702091059577" u="1"/>
        <s v="131118084150240" u="1"/>
        <s v="10000000057" u="1"/>
        <s v="110126172839423" u="1"/>
        <s v="131122150231462" u="1"/>
        <s v="110107100205265" u="1"/>
        <s v="10000000059" u="1"/>
        <s v="101020132545138" u="1"/>
        <s v="140217082138581" u="1"/>
        <s v="130827161448875" u="1"/>
        <s v="10000000220" u="1"/>
        <s v="110106144125648" u="1"/>
        <s v="131029153350302" u="1"/>
        <s v="131119112101795" u="1"/>
        <s v="121026155607264" u="1"/>
        <s v="140122100746589" u="1"/>
        <s v="110118125752299" u="1"/>
        <s v="110106121320700" u="1"/>
        <s v="110106154631980" u="1"/>
        <s v="120214161757284" u="1"/>
        <s v="130805092158188" u="1"/>
        <s v="131119101323596" u="1"/>
        <s v="140512115256938" u="1"/>
        <s v="10000000225" u="1"/>
        <s v="141022101612400" u="1"/>
        <s v="130916151227877" u="1"/>
        <s v="10000000227" u="1"/>
        <s v="110106102609296" u="1"/>
        <s v="140108162039972" u="1"/>
        <s v="141029093149957" u="1"/>
        <s v="130913110802561" u="1"/>
        <s v="10000001054" u="1"/>
        <s v="140107153548916" u="1"/>
        <s v="140606090533960" u="1"/>
        <s v="10000001055" u="1"/>
        <s v="150408151138400" u="1"/>
        <s v="140217112651374" u="1"/>
        <s v="141014132249589" u="1"/>
        <s v="110106123430885" u="1"/>
        <s v="140123091302964" u="1"/>
        <s v="150108114530438" u="1"/>
        <s v="131118120735643" u="1"/>
        <s v="140315121232863" u="1"/>
        <s v="140604110439830" u="1"/>
        <s v="150522081612321" u="1"/>
        <s v="110107090807015" u="1"/>
        <s v="10000001220" u="1"/>
        <s v="110104173503260" u="1"/>
        <s v="140219153754901" u="1"/>
        <s v="10000001221" u="1"/>
        <s v="130628082210090" u="1"/>
        <s v="10000001222" u="1"/>
        <s v="130916162228754" u="1"/>
        <s v="10000001223" u="1"/>
        <s v="131118114610219" u="1"/>
        <s v="10000000190" u="1"/>
        <s v="10000001224" u="1"/>
        <s v="110106132114112" u="1"/>
        <s v="141020091344977" u="1"/>
        <s v="10000000191" u="1"/>
        <s v="10000001225" u="1"/>
        <s v="121109123742466" u="1"/>
        <s v="10000000192" u="1"/>
        <s v="10000001226" u="1"/>
        <s v="100913115240277" u="1"/>
        <s v="10000000193" u="1"/>
        <s v="10000001227" u="1"/>
        <s v="130828103759353" u="1"/>
        <s v="110105214047960" u="1"/>
        <s v="10000000194" u="1"/>
        <s v="10000001228" u="1"/>
        <s v="130528102210176" u="1"/>
        <s v="131118122516958" u="1"/>
        <s v="10000000195" u="1"/>
        <s v="10000001229" u="1"/>
        <s v="10000000196" u="1"/>
        <s v="131119110904710" u="1"/>
        <s v="110113124856858" u="1"/>
        <s v="110107105904671" u="1"/>
        <s v="121205093340522" u="1"/>
        <s v="10102013250684" u="1"/>
        <s v="10000000360" u="1"/>
        <s v="110217115217924" u="1"/>
        <s v="110106174050818" u="1"/>
        <s v="101020132546139" u="1"/>
        <s v="140605112539014" u="1"/>
        <s v="10000000364" u="1"/>
        <s v="131119162835051" u="1"/>
        <s v="120612160330366" u="1"/>
        <s v="10000001190" u="1"/>
        <s v="110126164526874" u="1"/>
        <s v="10000001191" u="1"/>
        <s v="10102013243945" u="1"/>
        <s v="10000001192" u="1"/>
        <s v="10000001193" u="1"/>
        <s v="120131153154831" u="1"/>
        <s v="110106104802918" u="1"/>
        <s v="120210115507754" u="1"/>
        <s v="10000001194" u="1"/>
        <s v="110503100115939" u="1"/>
        <s v="10000000530" u="1"/>
        <s v="10000001195" u="1"/>
        <s v="150312120809881" u="1"/>
        <s v="10000000531" u="1"/>
        <s v="110105194732041" u="1"/>
        <s v="10000001196" u="1"/>
        <s v="10000000532" u="1"/>
        <s v="130503112148493" u="1"/>
        <s v="10000001197" u="1"/>
        <s v="130916144930834" u="1"/>
        <s v="10000000533" u="1"/>
        <s v="140729102817066" u="1"/>
        <s v="10000001198" u="1"/>
        <s v="130513090236005" u="1"/>
        <s v="10000000534" u="1"/>
        <s v="131118113224277" u="1"/>
        <s v="140107150906687" u="1"/>
        <s v="120411122936555" u="1"/>
        <s v="130403084117250" u="1"/>
        <s v="10000001199" u="1"/>
        <s v="10000000535" u="1"/>
        <s v="120210165552124" u="1"/>
        <s v="150210123254634" u="1"/>
        <s v="10000001360" u="1"/>
        <s v="10000000536" u="1"/>
        <s v="150626121407556" u="1"/>
        <s v="10000001361" u="1"/>
        <s v="10000000537" u="1"/>
        <s v="130913085842107" u="1"/>
        <s v="131126102322171" u="1"/>
        <s v="10000001363" u="1"/>
        <s v="10000000539" u="1"/>
        <s v="140217094659376" u="1"/>
        <s v="140402084154028" u="1"/>
        <s v="110126115516831" u="1"/>
        <s v="10000000700" u="1"/>
        <s v="131119105422780" u="1"/>
        <s v="120210123836356" u="1"/>
        <s v="110106122924045" u="1"/>
        <s v="10000000701" u="1"/>
        <s v="150108091707913" u="1"/>
        <s v="10000000702" u="1"/>
        <s v="130511064929376" u="1"/>
        <s v="130503114935837" u="1"/>
        <s v="130827161208084" u="1"/>
        <s v="131120081947635" u="1"/>
        <s v="150522083225102" u="1"/>
        <s v="110126103819529" u="1"/>
        <s v="10000000707" u="1"/>
        <s v="110126175518215" u="1"/>
        <s v="10000000708" u="1"/>
        <s v="110106154128876" u="1"/>
        <s v="130513110557759" u="1"/>
        <s v="150224123940963" u="1"/>
        <s v="150522100820083" u="1"/>
        <s v="110126135417044" u="1"/>
        <s v="131119150544392" u="1"/>
        <s v="131210151246481" u="1"/>
        <s v="130805111228061" u="1"/>
        <s v="150518155433333" u="1"/>
        <s v="120511123908264" u="1"/>
        <s v="130627095058295" u="1"/>
        <s v="140122103049482" u="1"/>
        <s v="140616162932764" u="1"/>
        <s v="130805085658872" u="1"/>
        <s v="131118101914967" u="1"/>
        <s v="130129102202117" u="1"/>
        <s v="130513101317789" u="1"/>
        <s v="110126135204537" u="1"/>
        <s v="10000000670" u="1"/>
        <s v="131120131548797" u="1"/>
        <s v="110126165306702" u="1"/>
        <s v="120210123050786" u="1"/>
        <s v="120307165214656" u="1"/>
        <s v="121206151300307" u="1"/>
        <s v="110113124027125" u="1"/>
        <s v="10000000672" u="1"/>
        <s v="131118121005013" u="1"/>
        <s v="110113095106312" u="1"/>
        <s v="131120131023584" u="1"/>
        <s v="10000000674" u="1"/>
        <s v="130812094400246" u="1"/>
        <s v="10000000676" u="1"/>
        <s v="131119091316548" u="1"/>
        <s v="111121114707474" u="1"/>
        <s v="130201093642970" u="1"/>
        <s v="110217100339043" u="1"/>
        <s v="110113103038073" u="1"/>
        <s v="131210123901826" u="1"/>
        <s v="110106132303783" u="1"/>
        <s v="10000000679" u="1"/>
        <s v="110112115450742" u="1"/>
        <s v="140910095553359" u="1"/>
        <s v="10000000840" u="1"/>
        <s v="131119161832657" u="1"/>
        <s v="10000000841" u="1"/>
        <s v="111123133100382" u="1"/>
        <s v="150210154043660" u="1"/>
        <s v="10000000842" u="1"/>
        <s v="10000000843" u="1"/>
        <s v="131119102413461" u="1"/>
        <s v="130206120153097" u="1"/>
        <s v="10000000844" u="1"/>
        <s v="120807091519934" u="1"/>
        <s v="130805110644076" u="1"/>
        <s v="10000000845" u="1"/>
        <s v="150312113333360" u="1"/>
        <s v="141017160806951" u="1"/>
        <s v="10000000846" u="1"/>
        <s v="131029132516507" u="1"/>
        <s v="120210153024902" u="1"/>
        <s v="150309153026614" u="1"/>
        <s v="120307171259809" u="1"/>
        <s v="110105190415202" u="1"/>
        <s v="140217082554953" u="1"/>
        <s v="141125105606484" u="1"/>
        <s v="110106125622941" u="1"/>
        <s v="110126172220528" u="1"/>
        <s v="131118154046395" u="1"/>
        <s v="110126163634442" u="1"/>
        <s v="110803155655500" u="1"/>
        <s v="120210154242880" u="1"/>
        <s v="100913115557664" u="1"/>
        <s v="110107102505546" u="1"/>
        <s v="110107092052515" u="1"/>
      </sharedItems>
    </cacheField>
    <cacheField name="CODIGO_VINCULADO" numFmtId="0" sqlType="12">
      <sharedItems containsBlank="1" count="3227">
        <m u="1"/>
        <s v="EC-A226001860" u="1"/>
        <s v="EC-P050006300" u="1"/>
        <s v="EC-12312338330" u="1"/>
        <s v="OT-CARB002" u="1"/>
        <s v="EURO-31167" u="1"/>
        <s v="EC-P022008020" u="1"/>
        <s v="EC-36301700310" u="1"/>
        <s v="SU-277-23301-13" u="1"/>
        <s v="EC-V255000030" u="1"/>
        <s v="EC-P021004092" u="1"/>
        <s v="EC-70616007560" u="1"/>
        <s v="EC-B530INTL" u="1"/>
        <s v="EC-P021008620" u="1"/>
        <s v="EC-SRM-22GES" u="1"/>
        <s v="EC-13192055430" u="1"/>
        <s v="EC-60561206510" u="1"/>
        <s v="SU-20B-35001-01" u="1"/>
        <s v="EC-V265000250" u="1"/>
        <s v="EC-V420002401" u="1"/>
        <s v="EC-A101000370" u="1"/>
        <s v="EC-P021039010" u="1"/>
        <s v="EC-10090739131" u="1"/>
        <s v="EC-A393000180" u="1"/>
        <s v="EURO-40118" u="1"/>
        <s v="EC-P021044790" u="1"/>
        <s v="EC-C453000131" u="1"/>
        <s v="EURO-40304" u="1"/>
        <s v="SU-277-23531-07" u="1"/>
        <s v="EC-A221000030" u="1"/>
        <s v="EC-P021039510" u="1"/>
        <s v="EC-V101000020" u="1"/>
        <s v="EC-13191043130" u="1"/>
        <s v="SU-20B-43301-01" u="1"/>
        <s v="EC-351627" u="1"/>
        <s v="EC-13040652131" u="1"/>
        <s v="SU-044-02502-10" u="1"/>
        <s v="EC-61021022461" u="1"/>
        <s v="EC-400442310" u="1"/>
        <s v="EC-17722138330" u="1"/>
        <s v="SU-279-22501-30" u="1"/>
        <s v="SU-EX40ST" u="1"/>
        <s v="EC-V105000020" u="1"/>
        <s v="EC-13001056330" u="1"/>
        <s v="EC-61028222460" u="1"/>
        <s v="EC-61010522360" u="1"/>
        <s v="EC-21001105510" u="1"/>
        <s v="EURO-40919" u="1"/>
        <s v="OT-A52" u="1"/>
        <s v="EC-70617005560" u="1"/>
        <s v="EC-V203000351" u="1"/>
        <s v="EC-V609000050" u="1"/>
        <s v="SU-20B-33501-H3" u="1"/>
        <s v="SU-268-30101-01" u="1"/>
        <s v="EC-70602033710" u="1"/>
        <s v="EC-13031038331" u="1"/>
        <s v="PTFUCOFEG-250CC" u="1"/>
        <s v="EC-A225000530" u="1"/>
        <s v="EURO-36453" u="1"/>
        <s v="SU-PTG210" u="1"/>
        <s v="EC-V103000720" u="1"/>
        <s v="SU-214-23301-13" u="1"/>
        <s v="PTNUAGARP-LIT" u="1"/>
        <s v="SU-PTG310" u="1"/>
        <s v="SU-024-006-30" u="1"/>
        <s v="EC-10092138330" u="1"/>
        <s v="EC-V104000920" u="1"/>
        <s v="EC-V103001360" u="1"/>
        <s v="EC-99944100482" u="1"/>
        <s v="EC-V104001360" u="1"/>
        <s v="EC-V135000080" u="1"/>
        <s v="EC-90080206002" u="1"/>
        <s v="EC-V137000080" u="1"/>
        <s v="EC-P021012870" u="1"/>
        <s v="EURO-39098" u="1"/>
        <s v="PTNUFFVIG-250CC" u="1"/>
        <s v="EC-82067" u="1"/>
        <s v="BCS-31221121" u="1"/>
        <s v="EC-17720614330" u="1"/>
        <s v="EC-12212500230" u="1"/>
        <s v="EC-10010056032" u="1"/>
        <s v="EC-99944900190" u="1"/>
        <s v="EC-22CINTL" u="1"/>
        <s v="PRO-001" u="1"/>
        <s v="EURO-10746-A" u="1"/>
        <s v="PTFUORBIO-100CC" u="1"/>
        <s v="EC-X602000150" u="1"/>
        <s v="PTNUFFAGC-LIT" u="1"/>
        <s v="EC-9157405010" u="1"/>
        <s v="SU-226-62417-08" u="1"/>
        <s v="EC-10001116431" u="1"/>
        <s v="EC-13051214731" u="1"/>
        <s v="EC-17804319830" u="1"/>
        <s v="EC-43721015130" u="1"/>
        <s v="EC-90024205025" u="1"/>
        <s v="EC-9242310000" u="1"/>
        <s v="EC-99944200513" u="1"/>
        <s v="EURO-40953" u="1"/>
        <s v="SU-20B-42801-13" u="1"/>
        <s v="EC-P021008630" u="1"/>
        <s v="EC-38201412620" u="1"/>
        <s v="SU-277-32715-30" u="1"/>
        <s v="PTNUCOEPG-500CC" u="1"/>
        <s v="EC-A101000380" u="1"/>
        <s v="EC-P021039020" u="1"/>
        <s v="ARS-160-1" u="1"/>
        <s v="EURO-12105" u="1"/>
        <s v="EC-A393000190" u="1"/>
        <s v="EC-A200000500" u="1"/>
        <s v="SU-226-31701-13" u="1"/>
        <s v="PTPLFUSCO-5GLN" u="1"/>
        <s v="EC-9720135" u="1"/>
        <s v="IKRA-74204014-CL" u="1"/>
        <s v="MOT-0023" u="1"/>
        <s v="EC-A021004031" u="1"/>
        <s v="EC-17721612330" u="1"/>
        <s v="EC-70617020081" u="1"/>
        <s v="SU-279-34201-31" u="1"/>
        <s v="EC-A200000700" u="1"/>
        <s v="SU-277-23532-07" u="1"/>
        <s v="EURO-39104" u="1"/>
        <s v="IN-144" u="1"/>
        <s v="EURO-40784" u="1"/>
        <s v="EC-12314016130" u="1"/>
        <s v="EC-12436112710" u="1"/>
        <s v="EC-88102" u="1"/>
        <s v="SU-281-99001-17" u="1"/>
        <s v="BCS-58056193" u="1"/>
        <s v="EC-17504805530" u="1"/>
        <s v="PA-805157" u="1"/>
        <s v="EC-001107" u="1"/>
        <s v="SU-20B-95103-03" u="1"/>
        <s v="EURO-40867" u="1"/>
        <s v="EC-P050010460" u="1"/>
        <s v="EC-12200032930" u="1"/>
        <s v="EC-A239000060" u="1"/>
        <s v="EC-90072000012" u="1"/>
        <s v="SU-277-42801-23" u="1"/>
        <s v="SU-279-42701-23" u="1"/>
        <s v="SU-279-60102-11" u="1"/>
        <s v="EC-17809022560" u="1"/>
        <s v="EC-V103000730" u="1"/>
        <s v="IN-1441" u="1"/>
        <s v="SU-20B-46001-21" u="1"/>
        <s v="EC-V103001070" u="1"/>
        <s v="SU-065-50002-70" u="1"/>
        <s v="IN-1442" u="1"/>
        <s v="EC-A226000740" u="1"/>
        <s v="JF-084" u="1"/>
        <s v="EC-A244000180" u="1"/>
        <s v="PTHECOJQR-100CC" u="1"/>
        <s v="EC-91VXL44CQ" u="1"/>
        <s v="EC-P022007000" u="1"/>
        <s v="SU-277-36401-13" u="1"/>
        <s v="EURO-39018" u="1"/>
        <s v="EC-HCA-266LA" u="1"/>
        <s v="EURO-36204" u="1"/>
        <s v="EC-103942180" u="1"/>
        <s v="EURO-40884" u="1"/>
        <s v="EC-V471002700" u="1"/>
        <s v="EC-88103" u="1"/>
        <s v="BCS-31421132" u="1"/>
        <s v="SU-268-23401-H3" u="1"/>
        <s v="SU-277-43502-03" u="1"/>
        <s v="EC-P022008140" u="1"/>
        <s v="EC-EA-410" u="1"/>
        <s v="EC-90016205025" u="1"/>
        <s v="EURO-39035" u="1"/>
        <s v="EC-A101000090" u="1"/>
        <s v="SU-011-00802-40" u="1"/>
        <s v="EC-70602013250" u="1"/>
        <s v="EC-15660112921" u="1"/>
        <s v="SU-X64-13600-10" u="1"/>
        <s v="SU-043-04300-60" u="1"/>
        <s v="EC-V265000170" u="1"/>
        <s v="EC-13031043130" u="1"/>
        <s v="EC-A206000010" u="1"/>
        <s v="EC-P021039030" u="1"/>
        <s v="F-014" u="1"/>
        <s v="PA-818227" u="1"/>
        <s v="EC-10021305530" u="1"/>
        <s v="PA-804137" u="1"/>
        <s v="EC-P021039330" u="1"/>
        <s v="EURO-40798" u="1"/>
        <s v="EURO-40704" u="1"/>
        <s v="IN-358" u="1"/>
        <s v="SU-277-23533-07" u="1"/>
        <s v="EC-4042931" u="1"/>
        <s v="EC-A409000272" u="1"/>
        <s v="EC-V100000040" u="1"/>
        <s v="BCS-58056208" u="1"/>
        <s v="FERR-6010162" u="1"/>
        <s v="BR-CAT-17248B" u="1"/>
        <s v="EC-V102000040" u="1"/>
        <s v="EC-P021001102" u="1"/>
        <s v="EC-P021041100" u="1"/>
        <s v="EC-70616023450" u="1"/>
        <s v="EC-15901210230" u="1"/>
        <s v="EC-CS-8002-80LA" u="1"/>
        <s v="EC-V475004880" u="1"/>
        <s v="EC-89001122460" u="1"/>
        <s v="EC-70616025450" u="1"/>
        <s v="EC-V103000240" u="1"/>
        <s v="EC-43620514730" u="1"/>
        <s v="EC-15660106212" u="1"/>
        <s v="OR-205963" u="1"/>
        <s v="EC-13031357030" u="1"/>
        <s v="EC-A235000170" u="1"/>
        <s v="EC-69912503061" u="1"/>
        <s v="EURO-00005" u="1"/>
        <s v="EURO-20004" u="1"/>
        <s v="EC-ES726" u="1"/>
        <s v="EURO-10070" u="1"/>
        <s v="EC-10001121230" u="1"/>
        <s v="EC-A239000070" u="1"/>
        <s v="PTPLINSMT-250CC" u="1"/>
        <s v="EC-A226000650" u="1"/>
        <s v="EC-CS-420ES-45LA" u="1"/>
        <s v="EC-V103001080" u="1"/>
        <s v="EC-V103000840" u="1"/>
        <s v="EC-V224000000" u="1"/>
        <s v="BR-CAT-32108-00" u="1"/>
        <s v="PTNUFFBOR-500CC" u="1"/>
        <s v="EURO-36218" u="1"/>
        <s v="EC-P022007110" u="1"/>
        <s v="EURO-36404" u="1"/>
        <s v="EC-33SL0-72X" u="1"/>
        <s v="EC-P022007210" u="1"/>
        <s v="EC-99944900250" u="1"/>
        <s v="EC-P022007310" u="1"/>
        <s v="PTNUFFROO-250CC" u="1"/>
        <s v="EC-12411511120" u="1"/>
        <s v="EURO-10078-I" u="1"/>
        <s v="ARS-UV-34" u="1"/>
        <s v="EURO-00022" u="1"/>
        <s v="EC-43113516431" u="1"/>
        <s v="ARS-300L" u="1"/>
        <s v="SU-268-23402-H3" u="1"/>
        <s v="PTNUAGAGK-KIL" u="1"/>
        <s v="EC-35121005560" u="1"/>
        <s v="SU-226-62419-08" u="1"/>
        <s v="EC-P021018001" u="1"/>
        <s v="EC-90081036202" u="1"/>
        <s v="EURO-36049" u="1"/>
        <s v="EC-61033522460" u="1"/>
        <s v="EC-P022008150" u="1"/>
        <s v="SU-PTX220ST" u="1"/>
        <s v="SU-PTX320ST" u="1"/>
        <s v="EC-P021024110" u="1"/>
        <s v="EC-A021003111" u="1"/>
        <s v="EURO-40821" u="1"/>
        <s v="PTINCOSPD-100G" u="1"/>
        <s v="EC-25090206310" u="1"/>
        <s v="EC-10020432436" u="1"/>
        <s v="SU-282-62301-10" u="1"/>
        <s v="PT-012" u="1"/>
        <s v="SU-002-35060-00" u="1"/>
        <s v="SU-011-01000-40" u="1"/>
        <s v="PTPLACSNX-LIT" u="1"/>
        <s v="EC-P021039240" u="1"/>
        <s v="PTINCOSPD-500G" u="1"/>
        <s v="OT-00040" u="1"/>
        <s v="EC-37032106210" u="1"/>
        <s v="EURO-40466" u="1"/>
        <s v="IKRA-11020144" u="1"/>
        <s v="EC-21560066B" u="1"/>
        <s v="EC-17723419832" u="1"/>
        <s v="SU-277-30111-J1" u="1"/>
        <s v="EC-61020623030" u="1"/>
        <s v="EC-V100000450" u="1"/>
        <s v="EC-13010" u="1"/>
        <s v="BCS-92190980" u="1"/>
        <s v="JF-083" u="1"/>
        <s v="EC-V202000581" u="1"/>
        <s v="EC-V376001260" u="1"/>
        <s v="EC-91VXL45X" u="1"/>
        <s v="PTNUFFAGR-250CC" u="1"/>
        <s v="EC-A239000080" u="1"/>
        <s v="EC-43710016430" u="1"/>
        <s v="SU-282-11001-01" u="1"/>
        <s v="EC-12436321330" u="1"/>
        <s v="EC-17812743230" u="1"/>
        <s v="EC-A232000580" u="1"/>
        <s v="EC-V103000850" u="1"/>
        <s v="PA-817217" u="1"/>
        <s v="EC-V103000950" u="1"/>
        <s v="EC-43301639131" u="1"/>
        <s v="EC-8890150" u="1"/>
        <s v="EC-12411105810" u="1"/>
        <s v="EC-T230XREMC" u="1"/>
        <s v="EC-4550460" u="1"/>
        <s v="EC-P022007020" u="1"/>
        <s v="SANYO-0439" u="1"/>
        <s v="EC-P022007120" u="1"/>
        <s v="SU-227-43301-10" u="1"/>
        <s v="ARS-9F-10" u="1"/>
        <s v="EC-P022007220" u="1"/>
        <s v="EC-CS-353ES-40LA" u="1"/>
        <s v="EC-12520052433" u="1"/>
        <s v="EC-P022007320" u="1"/>
        <s v="EURO-40034" u="1"/>
        <s v="ASAB-1HEADSW-2L" u="1"/>
        <s v="EC-M230/EMC" u="1"/>
        <s v="EC-17500905131" u="1"/>
        <s v="PTFUCOPLAC-100CC" u="1"/>
        <s v="SU-268-23403-H3" u="1"/>
        <s v="SU-132-10KA0-31" u="1"/>
        <s v="JF-2012619" u="1"/>
        <s v="EC-10150356032" u="1"/>
        <s v="EC-21250001112" u="1"/>
        <s v="EURO-40303" u="1"/>
        <s v="PTPLFUBOT-100CC" u="1"/>
        <s v="EC-GT-22GES" u="1"/>
        <s v="EC-ENVLUBLT" u="1"/>
        <s v="SO-69.00.653" u="1"/>
        <s v="JF-020" u="1"/>
        <s v="EC-13031002910" u="1"/>
        <s v="EC-C347000020" u="1"/>
        <s v="JACTO-279752" u="1"/>
        <s v="EC-13031044330" u="1"/>
        <s v="SU-050-51200-20" u="1"/>
        <s v="SU-EX21ST" u="1"/>
        <s v="EC-569015" u="1"/>
        <s v="EC-A011000002" u="1"/>
        <s v="EC-A506000112" u="1"/>
        <s v="IKRA-11020140" u="1"/>
        <s v="JF-05.01194" u="1"/>
        <s v="PTPLFULET-250CC" u="1"/>
        <s v="SU-20B-33401-H3" u="1"/>
        <s v="SU-EX27ST" u="1"/>
        <s v="EC-P021039350" u="1"/>
        <s v="EC-A415000001" u="1"/>
        <s v="PTPLFUSCO-100CC" u="1"/>
        <s v="EC-13031051730" u="1"/>
        <s v="EC-B450R" u="1"/>
        <s v="EC-C051000572" u="1"/>
        <s v="EC-V102000060" u="1"/>
        <s v="PTNUCOOPW-250CC" u="1"/>
        <s v="EURO-40852" u="1"/>
        <s v="EC-21000204111" u="1"/>
        <s v="EC-A226000070" u="1"/>
        <s v="EC-4050761" u="1"/>
        <s v="SU-277-35101-01" u="1"/>
        <s v="EC-4573110" u="1"/>
        <s v="BCS-TCBY70B0" u="1"/>
        <s v="EC-A225000370" u="1"/>
        <s v="EURO-330L" u="1"/>
        <s v="IN-35" u="1"/>
        <s v="EC-9103006010" u="1"/>
        <s v="EC-K481000000" u="1"/>
        <s v="EC-12300052133" u="1"/>
        <s v="SU-277-35101-03" u="1"/>
        <s v="EURO-39097" u="1"/>
        <s v="EURO-39003" u="1"/>
        <s v="EURO-36283" u="1"/>
        <s v="SH-108644-30" u="1"/>
        <s v="EC-A226000670" u="1"/>
        <s v="EC-61031452130" u="1"/>
        <s v="EC-P021042360" u="1"/>
        <s v="EC-V490001230" u="1"/>
        <s v="PTNUCOFER-250CC" u="1"/>
        <s v="SU-044-02501-60" u="1"/>
        <s v="EC-P022007030" u="1"/>
        <s v="EC-89380" u="1"/>
        <s v="EC-13132840630" u="1"/>
        <s v="JF-05.001489" u="1"/>
        <s v="SU-279-33501-H3" u="1"/>
        <s v="EC-A356000050" u="1"/>
        <s v="EURO-41048" u="1"/>
        <s v="EC-P022007230" u="1"/>
        <s v="EC-P022007430" u="1"/>
        <s v="EC-CS-3000-30LA" u="1"/>
        <s v="BCS-58057422" u="1"/>
        <s v="SU-20B-42301-33" u="1"/>
        <s v="SU-20B-60102-01" u="1"/>
        <s v="SU-065-50003-11" u="1"/>
        <s v="EC-P021007630" u="1"/>
        <s v="EC-17723440630" u="1"/>
        <s v="EURO-39020" u="1"/>
        <s v="EC-14561047530" u="1"/>
        <s v="EC-A369000070" u="1"/>
        <s v="EC-X605000090" u="1"/>
        <s v="EC-43700632330" u="1"/>
        <s v="PTINCOSDF-LIT" u="1"/>
        <s v="EC-13003" u="1"/>
        <s v="EC-A051000982" u="1"/>
        <s v="MAY-004" u="1"/>
        <s v="EC-90072000003" u="1"/>
        <s v="EC-A051001411" u="1"/>
        <s v="SU-277-34201-31" u="1"/>
        <s v="EC-V360000120" u="1"/>
        <s v="EC-V354000300" u="1"/>
        <s v="EURO-39103" u="1"/>
        <s v="EC-70602060A22" u="1"/>
        <s v="EURO-36383" u="1"/>
        <s v="EC-A200000140" u="1"/>
        <s v="SU-252-22501-20" u="1"/>
        <s v="EC-68902505360" u="1"/>
        <s v="PTNUCOFOS-LIT" u="1"/>
        <s v="SU-266-23001-13" u="1"/>
        <s v="EC-13201035430" u="1"/>
        <s v="EC-V356000500" u="1"/>
        <s v="SU-277-42301-40" u="1"/>
        <s v="EC-72LG0-84X" u="1"/>
        <s v="EC-10021302830" u="1"/>
        <s v="EC-P022010440" u="1"/>
        <s v="EC-15262656032" u="1"/>
        <s v="EC-E110000033" u="1"/>
        <s v="EC-4552760" u="1"/>
        <s v="EC-V355000800" u="1"/>
        <s v="EC-P022024730" u="1"/>
        <s v="IN-65" u="1"/>
        <s v="EC-A200000640" u="1"/>
        <s v="EC-C454000181" u="1"/>
        <s v="EC-4083811" u="1"/>
        <s v="EC-P021039360" u="1"/>
        <s v="EC-13031051830" u="1"/>
        <s v="EC-P021035221" u="1"/>
        <s v="EC-C450000581" u="1"/>
        <s v="BCS-58056187" u="1"/>
        <s v="SU-277-42701-23" u="1"/>
        <s v="SU-277-60102-11" u="1"/>
        <s v="EC-V103000070" u="1"/>
        <s v="EC-V100000270" u="1"/>
        <s v="JF-082" u="1"/>
        <s v="BCS-92452510" u="1"/>
        <s v="EC-10092130830" u="1"/>
        <s v="SU-0440060020" u="1"/>
        <s v="JF-02.116560" u="1"/>
        <s v="EC-V100000470" u="1"/>
        <s v="EC-V100000570" u="1"/>
        <s v="SU-277-36501-03" u="1"/>
        <s v="SU-279-36401-03" u="1"/>
        <s v="EC-P021006200" u="1"/>
        <s v="EC-A226000580" u="1"/>
        <s v="EC-V470001600" u="1"/>
        <s v="EC-13001642231" u="1"/>
        <s v="EC-V103000770" u="1"/>
        <s v="EC-8890802" u="1"/>
        <s v="EC-40010012620" u="1"/>
        <s v="EC-12A0ED3745" u="1"/>
        <s v="SU-20B-62301-30" u="1"/>
        <s v="EC-P021002286" u="1"/>
        <s v="EURO-10022-45" u="1"/>
        <s v="EC-P022006900" u="1"/>
        <s v="EC-V430004540" u="1"/>
        <s v="MP-01245" u="1"/>
        <s v="EC-89852017130" u="1"/>
        <s v="SU-20B-36102-10" u="1"/>
        <s v="SU-279-95113-03" u="1"/>
        <s v="EC-V495001440" u="1"/>
        <s v="EC-P022007440" u="1"/>
        <s v="EURO-36220" u="1"/>
        <s v="EC-12435412710" u="1"/>
        <s v="EC-ETCAJA" u="1"/>
        <s v="PTFUORBIO-250CC" u="1"/>
        <s v="ALEN 5X30" u="1"/>
        <s v="EC-70602046780" u="1"/>
        <s v="EC-13005" u="1"/>
        <s v="SU-282-32601-H0" u="1"/>
        <s v="PTACSHINW-500CC" u="1"/>
        <s v="EC-43706335630" u="1"/>
        <s v="EC-10020239131" u="1"/>
        <s v="EURO-40797" u="1"/>
        <s v="EC-12311802261" u="1"/>
        <s v="EC-UN32" u="1"/>
        <s v="PTFUCOSKK-KIL" u="1"/>
        <s v="PTNUCOAGV-LIT" u="1"/>
        <s v="PTNUCOEPG-250CC" u="1"/>
        <s v="EC-73LPX92X" u="1"/>
        <s v="EC-40011012620" u="1"/>
        <s v="EC-70604060762" u="1"/>
        <s v="EC-C531000582" u="1"/>
        <s v="EURO-39051" u="1"/>
        <s v="EC-10101044332" u="1"/>
        <s v="EC-P021038930" u="1"/>
        <s v="EC-P022024740" u="1"/>
        <s v="EC-17801007660" u="1"/>
        <s v="EC-P021039370" u="1"/>
        <s v="EC-70616018450" u="1"/>
        <s v="SU-003-10060-00" u="1"/>
        <s v="EC-P022025180" u="1"/>
        <s v="SU-246-33711-13" u="1"/>
        <s v="EC-B450" u="1"/>
        <s v="EC-A300000781" u="1"/>
        <s v="EURO-00004" u="1"/>
        <s v="EURO-20003" u="1"/>
        <s v="EC-C463000000" u="1"/>
        <s v="BCS-58056188" u="1"/>
        <s v="PTNUCOAGV-20LIT" u="1"/>
        <s v="JF-02-046819" u="1"/>
        <s v="EC-12436412710" u="1"/>
        <s v="EC-13001055930" u="1"/>
        <s v="BCS-92452511" u="1"/>
        <s v="EC-13131406320" u="1"/>
        <s v="EC-V103000280" u="1"/>
        <s v="EC-V107000080" u="1"/>
        <s v="ALEN 5X40" u="1"/>
        <s v="JF-033" u="1"/>
        <s v="PTHECOGLF-LIT" u="1"/>
        <s v="ZONDA" u="1"/>
        <s v="EC-A225000490" u="1"/>
        <s v="EC-16202130830" u="1"/>
        <s v="EC-12532508360" u="1"/>
        <s v="EC-V205000400" u="1"/>
        <s v="SU-0211140020" u="1"/>
        <s v="EURO-40365" u="1"/>
        <s v="EC-A021000742" u="1"/>
        <s v="SU-X85-10615-81" u="1"/>
        <s v="EC-9242440000" u="1"/>
        <s v="EURO-00021" u="1"/>
        <s v="EURO-39151" u="1"/>
        <s v="EC-SRM-4300R" u="1"/>
        <s v="EURO-EMPAQUE" u="1"/>
        <s v="EC-P022007050" u="1"/>
        <s v="EC-83003" u="1"/>
        <s v="EURO-36048" u="1"/>
        <s v="EC-P022006910" u="1"/>
        <s v="EC-90016205050" u="1"/>
        <s v="EC-A556000021" u="1"/>
        <s v="EC-10101006211" u="1"/>
        <s v="EC-70602003742" u="1"/>
        <s v="EC-70615001951" u="1"/>
        <s v="EC-17723435430" u="1"/>
        <s v="EC-4517530" u="1"/>
        <s v="EC-MKT1330037" u="1"/>
        <s v="EC-A160000242" u="1"/>
        <s v="CR-049" u="1"/>
        <s v="SU-227-31701-03" u="1"/>
        <s v="PTNUCOFLO-500G" u="1"/>
        <s v="EC-P021037700" u="1"/>
        <s v="PT-010" u="1"/>
        <s v="EC-22120101610" u="1"/>
        <s v="EC-43302811030" u="1"/>
        <s v="JF-02.075377" u="1"/>
        <s v="P-005" u="1"/>
        <s v="PTNUAGAGF-LIT" u="1"/>
        <s v="EC-SHP-800RS" u="1"/>
        <s v="EC-99944200535" u="1"/>
        <s v="PTFICOAFX-100CC" u="1"/>
        <s v="SU-20B-11002-21" u="1"/>
        <s v="EURO-39065" u="1"/>
        <s v="EURO-36251" u="1"/>
        <s v="EC-A202000060" u="1"/>
        <s v="SH-90SG-033X" u="1"/>
        <s v="EC-A202000160" u="1"/>
        <s v="EC-P021010260" u="1"/>
        <s v="PTFICOAFX-500CC" u="1"/>
        <s v="EC-V356000720" u="1"/>
        <s v="EC-A411000031" u="1"/>
        <s v="EC-A200000560" u="1"/>
        <s v="EC-9711151" u="1"/>
        <s v="EC-P022024750" u="1"/>
        <s v="EURO-41016" u="1"/>
        <s v="EC-P021010574" u="1"/>
        <s v="SU-277-15011-03" u="1"/>
        <s v="EC-70615086060" u="1"/>
        <s v="EC-C044000882" u="1"/>
        <s v="EC-V203000110" u="1"/>
        <s v="BCS-92248720" u="1"/>
        <s v="EC-12312318330" u="1"/>
        <s v="EC-V100000490" u="1"/>
        <s v="JF-02.045369" u="1"/>
        <s v="JF-02.045379" u="1"/>
        <s v="SANYO-0438" u="1"/>
        <s v="EC-V204000410" u="1"/>
        <s v="SU-277-11002-31" u="1"/>
        <s v="EC-V203000610" u="1"/>
        <s v="EURO-40565" u="1"/>
        <s v="JF-02.093647" u="1"/>
        <s v="PTNUFFBOR-250CC" u="1"/>
        <s v="JF-05.003018" u="1"/>
        <s v="EC-V490000720" u="1"/>
        <s v="EC-61041307130" u="1"/>
        <s v="EC-V103000890" u="1"/>
        <s v="EC-15680032631" u="1"/>
        <s v="SU-279-35902-J3" u="1"/>
        <s v="SU-001-05084-00" u="1"/>
        <s v="EC-C400000211" u="1"/>
        <s v="EC-P022007060" u="1"/>
        <s v="EURO-36248" u="1"/>
        <s v="EC-P022007160" u="1"/>
        <s v="IKRA-11021218 (7100)" u="1"/>
        <s v="EURO-40116" u="1"/>
        <s v="EC-P022007260" u="1"/>
        <s v="SU-282-36002-H3" u="1"/>
        <s v="EC-12214000230" u="1"/>
        <s v="OT-585" u="1"/>
        <s v="EC-V471002660" u="1"/>
        <s v="EURO-40302" u="1"/>
        <s v="EC-99909-55133" u="1"/>
        <s v="SU-227-32901-13" u="1"/>
        <s v="EC-P022007460" u="1"/>
        <s v="EC-P021033182" u="1"/>
        <s v="EC-22169-96580" u="1"/>
        <s v="EC-C022000052" u="1"/>
        <s v="SU-044-02502-00" u="1"/>
        <s v="SU-279-22501-20" u="1"/>
        <s v="EC-70617051631" u="1"/>
        <s v="SU-20B-32610-J7" u="1"/>
        <s v="EC-35791100111" u="1"/>
        <s v="EURO-36079" u="1"/>
        <s v="EC-13001038330" u="1"/>
        <s v="SU-279-23401-H3" u="1"/>
        <s v="EURO-39079" u="1"/>
        <s v="EC-V358000130" u="1"/>
        <s v="EC-8130A" u="1"/>
        <s v="EC-12312203660" u="1"/>
        <s v="EC-V353000430" u="1"/>
        <s v="EC-17851600830" u="1"/>
        <s v="SU-279-42510-23" u="1"/>
        <s v="EC-C450000000" u="1"/>
        <s v="SH-20000-96104" u="1"/>
        <s v="EC-A200000470" u="1"/>
        <s v="IKRA-11020080" u="1"/>
        <s v="EC-35111119830" u="1"/>
        <s v="EC-P021038950" u="1"/>
        <s v="EC-P022024760" u="1"/>
        <s v="EC-A200000670" u="1"/>
        <s v="EURO-77000" u="1"/>
        <s v="EC-A200000870" u="1"/>
        <s v="EURO-39096" u="1"/>
        <s v="EC-P021011013" u="1"/>
        <s v="SU-20B-52704-13" u="1"/>
        <s v="PTNUCOZIN-LIT" u="1"/>
        <s v="EC-36302200510" u="1"/>
        <s v="ARS-UV-32-1" u="1"/>
        <s v="EC-V206000220" u="1"/>
        <s v="SU-20B-32611-J0" u="1"/>
        <s v="EC-61031005730" u="1"/>
        <s v="SU-277-33501-H3" u="1"/>
        <s v="SU-279-33401-H3" u="1"/>
        <s v="EC-99944200904" u="1"/>
        <s v="EC-V216000040" u="1"/>
        <s v="EC-V490000530" u="1"/>
        <s v="EC-8130B" u="1"/>
        <s v="EC-78890-40001B" u="1"/>
        <s v="EC-15663532430" u="1"/>
        <s v="EC-V225000160" u="1"/>
        <s v="EC-12314610631" u="1"/>
        <s v="EC-A052000011" u="1"/>
        <s v="SU-277-79431-11" u="1"/>
        <s v="EC-P022006830" u="1"/>
        <s v="EC-P022007170" u="1"/>
        <s v="EC-17721535632" u="1"/>
        <s v="EURO-40316" u="1"/>
        <s v="EC-V485001650" u="1"/>
        <s v="EC-A057000011" u="1"/>
        <s v="EC-P022007270" u="1"/>
        <s v="EC-C316000010" u="1"/>
        <s v="EURO-36102" u="1"/>
        <s v="EC-P021023230" u="1"/>
        <s v="EURO-36820" u="1"/>
        <s v="EURO-36382" u="1"/>
        <s v="EURO-10069-3.5M" u="1"/>
        <s v="JF-03.100566" u="1"/>
        <s v="ASAB-300H" u="1"/>
        <s v="EC-V352000140" u="1"/>
        <s v="EC-10153430830" u="1"/>
        <s v="EC-13201030830" u="1"/>
        <s v="BCS-55256185" u="1"/>
        <s v="EC-C535000001" u="1"/>
        <s v="EC-V360000060" u="1"/>
        <s v="EC-13051016431" u="1"/>
        <s v="JF-02.046636" u="1"/>
        <s v="EC-V358000140" u="1"/>
        <s v="PA-817202" u="1"/>
        <s v="PTPLFUBOT-250CC" u="1"/>
        <s v="SANYO-3924" u="1"/>
        <s v="EC-43101330831" u="1"/>
        <s v="EC-A202000180" u="1"/>
        <s v="EC-V450000771" u="1"/>
        <s v="IN-669" u="1"/>
        <s v="EC-17809052632" u="1"/>
        <s v="SE-157" u="1"/>
        <s v="EC-A300000400" u="1"/>
        <s v="EC-13030747533" u="1"/>
        <s v="EC-70602040771" u="1"/>
        <s v="EC-17801005960" u="1"/>
        <s v="EC-P021038960" u="1"/>
        <s v="SU-279-20901-71" u="1"/>
        <s v="EC-4555310" u="1"/>
        <s v="EC-70111106213" u="1"/>
        <s v="EURO-10070-4.6M" u="1"/>
        <s v="EC-A314000020" u="1"/>
        <s v="EC-A200000680" u="1"/>
        <s v="EC-A021003871" u="1"/>
        <s v="EURO-39016" u="1"/>
        <s v="EC-82067A" u="1"/>
        <s v="EC-10001110530" u="1"/>
        <s v="EURO-36202" u="1"/>
        <s v="EC-35110330833" u="1"/>
        <s v="EC-A200000880" u="1"/>
        <s v="ARS-CB-9" u="1"/>
        <s v="EC-P021035261" u="1"/>
        <s v="PTPLFUSCO-250CC" u="1"/>
        <s v="EC-61031421231" u="1"/>
        <s v="EC-12420013220" u="1"/>
        <s v="EC-35110247530" u="1"/>
        <s v="EURO-40350" u="1"/>
        <s v="EC-17504606230" u="1"/>
        <s v="EC-V430002900" u="1"/>
        <s v="EC-V430003240" u="1"/>
        <s v="SU-27736911-03" u="1"/>
        <s v="EC-V206000230" u="1"/>
        <s v="EC-P021005900" u="1"/>
        <s v="SU-279-52711-11" u="1"/>
        <s v="JF-02.116594" u="1"/>
        <s v="EC-C482000070" u="1"/>
        <s v="EC-22015-96500" u="1"/>
        <s v="EURO-36033" u="1"/>
        <s v="SU-215-25004-03" u="1"/>
        <s v="EC-P022022000" u="1"/>
        <s v="PTNUCOOPW-GLN" u="1"/>
        <s v="SU-277-95113-03" u="1"/>
        <s v="EC-70617055030" u="1"/>
        <s v="EC-A440000300" u="1"/>
        <s v="OT-ROD6203" u="1"/>
        <s v="EC-22412713710" u="1"/>
        <s v="OT-584" u="1"/>
        <s v="EC-569028" u="1"/>
        <s v="EC-C209000080" u="1"/>
        <s v="EC-P022007180" u="1"/>
        <s v="EC-P022006940" u="1"/>
        <s v="EC-V485001660" u="1"/>
        <s v="EC-P021002801" u="1"/>
        <s v="EC-13030330831" u="1"/>
        <s v="EC-UN10" u="1"/>
        <s v="EC-A056000221" u="1"/>
        <s v="EC-12314116131" u="1"/>
        <s v="EC-P021002901" u="1"/>
        <s v="EC-30033306160" u="1"/>
        <s v="SU-EX40PR" u="1"/>
        <s v="PTFUCOBUC-LIT" u="1"/>
        <s v="EC-12437455430" u="1"/>
        <s v="EC-43301611031" u="1"/>
        <s v="EC-61029822360" u="1"/>
        <s v="SU-279-23403-H3" u="1"/>
        <s v="EC-C535000011" u="1"/>
        <s v="IN-000127" u="1"/>
        <s v="EC-9242422000" u="1"/>
        <s v="EC-13030516430" u="1"/>
        <s v="PTNUCOPRO-500G" u="1"/>
        <s v="EC-15510" u="1"/>
        <s v="EURO-40095" u="1"/>
        <s v="EURO-00003" u="1"/>
        <s v="ARS-LPB-30-1" u="1"/>
        <s v="EC-70602062012" u="1"/>
        <s v="EURO-10749" u="1"/>
        <s v="EC-A051001861" u="1"/>
        <s v="EC-C535000511" u="1"/>
        <s v="EC-17721805960" u="1"/>
        <s v="SU-480-08010-37" u="1"/>
        <s v="EC-P022024680" u="1"/>
        <s v="EC-A200000590" u="1"/>
        <s v="EC-P021038970" u="1"/>
        <s v="SO-13008-6045" u="1"/>
        <s v="JF-031" u="1"/>
        <s v="EC-99909-12212" u="1"/>
        <s v="EC-69922956830" u="1"/>
        <s v="SU-246-35501-03" u="1"/>
        <s v="EC-P021005410" u="1"/>
        <s v="SU-277-43303-01" u="1"/>
        <s v="EC-90085906900" u="1"/>
        <s v="OT-2356" u="1"/>
        <s v="EURO-00020" u="1"/>
        <s v="EC-V203000140" u="1"/>
        <s v="EC-V430002910" u="1"/>
        <s v="EURO-10766" u="1"/>
        <s v="EURO-14048" u="1"/>
        <s v="EC-A320000650" u="1"/>
        <s v="SH-60035-98061" u="1"/>
        <s v="EURO-40979" u="1"/>
        <s v="EC-4576340" u="1"/>
        <s v="EC-P021036100" u="1"/>
        <s v="BR-CAT-76214-12" u="1"/>
        <s v="EC-22015-96600" u="1"/>
        <s v="JF-02.116629" u="1"/>
        <s v="EC-V204000640" u="1"/>
        <s v="BCS-58002538" u="1"/>
        <s v="EC-10024242030" u="1"/>
        <s v="EC-V204000740" u="1"/>
        <s v="EC-90070600012" u="1"/>
        <s v="JF-152634" u="1"/>
        <s v="EC-A440000310" u="1"/>
        <s v="EC-569020" u="1"/>
        <s v="EURO-400952" u="1"/>
        <s v="EC-17723430830" u="1"/>
        <s v="ERUO-40302" u="1"/>
        <s v="EC-V225000180" u="1"/>
        <s v="EURO-CODOTAN" u="1"/>
        <s v="EC-70604061461" u="1"/>
        <s v="JF-02.046460" u="1"/>
        <s v="EC-10020432435" u="1"/>
        <s v="EC-P022007090" u="1"/>
        <s v="EC-P022006850" u="1"/>
        <s v="EC-C309000110" u="1"/>
        <s v="EC-P022006950" u="1"/>
        <s v="EURO-10783" u="1"/>
        <s v="EC-P021048031" u="1"/>
        <s v="PTNUFFSIL-GAL" u="1"/>
        <s v="SU-279-23404-H3" u="1"/>
        <s v="EC-28D8TW3892" u="1"/>
        <s v="EURO-10082" u="1"/>
        <s v="EC-C334000270" u="1"/>
        <s v="BCS-55256197" u="1"/>
        <s v="EC-15660152131" u="1"/>
        <s v="EC-P021038580" u="1"/>
        <s v="PTFUORBIO-GLN" u="1"/>
        <s v="EC-30511042030" u="1"/>
        <s v="EC-V450001020" u="1"/>
        <s v="EC-C535000521" u="1"/>
        <s v="EC-V420002500" u="1"/>
        <s v="EC-P021038980" u="1"/>
        <s v="EC-17724712331" u="1"/>
        <s v="EC-X411001151" u="1"/>
        <s v="SU-269-32610-08" u="1"/>
        <s v="SU-003-13050-00" u="1"/>
        <s v="EC-12416011120" u="1"/>
        <s v="EC-ET500" u="1"/>
        <s v="SU-003-13060-00" u="1"/>
        <s v="SU-277-35004-03" u="1"/>
        <s v="EC-C450000530" u="1"/>
        <s v="EC-P021005420" u="1"/>
        <s v="PA-809760" u="1"/>
        <s v="SU-277-35902-J3" u="1"/>
        <s v="EC-12412215310" u="1"/>
        <s v="EC-13001655430" u="1"/>
        <s v="EC-14551030830" u="1"/>
        <s v="EC-10010060731" u="1"/>
        <s v="EC-14561030830" u="1"/>
        <s v="EC-V203000350" u="1"/>
        <s v="SU-279-79230-11" u="1"/>
        <s v="SU-279-79430-01" u="1"/>
        <s v="EC-V206000250" u="1"/>
        <s v="EC-V204000450" u="1"/>
        <s v="EURO-40115" u="1"/>
        <s v="EC-A320000760" u="1"/>
        <s v="EURO-41115" u="1"/>
        <s v="EC-15503" u="1"/>
        <s v="EC-12313803930" u="1"/>
        <s v="EURO-40301" u="1"/>
        <s v="EC-CN0113211" u="1"/>
        <s v="EC-13030039730" u="1"/>
        <s v="EC-900302" u="1"/>
        <s v="EURO-0001" u="1"/>
        <s v="EC-CS-303T-30LA" u="1"/>
        <s v="EC-P021022520" u="1"/>
        <s v="EC-99988800722" u="1"/>
        <s v="SU-021-11400-20" u="1"/>
        <s v="EC-P021022720" u="1"/>
        <s v="PTNUAGAGK-10KIL" u="1"/>
        <s v="EURO-39078" u="1"/>
        <s v="EC-12433149930" u="1"/>
        <s v="MPPRFISKK-100G" u="1"/>
        <s v="EC-12212300230" u="1"/>
        <s v="EC-99944900180" u="1"/>
        <s v="EC-P021023260" u="1"/>
        <s v="EC-70617046631" u="1"/>
        <s v="EC-10014312620" u="1"/>
        <s v="PTHECOKEM-GLN" u="1"/>
        <s v="EURO-40850" u="1"/>
        <s v="JF-02.046555" u="1"/>
        <s v="SU-X66-00004-20" u="1"/>
        <s v="ARS-UV-32E" u="1"/>
        <s v="EC-12318139130" u="1"/>
        <s v="SU-277-42510-23" u="1"/>
        <s v="EC-X405000001" u="1"/>
        <s v="JF-02.046575" u="1"/>
        <s v="EC-A570000200" u="1"/>
        <s v="EC-90072000125" u="1"/>
        <s v="EC-91VXL57X" u="1"/>
        <s v="EC-78890-40000" u="1"/>
        <s v="EURO-36001" u="1"/>
        <s v="PTFICOAFX-250CC" u="1"/>
        <s v="EC-A556001300" u="1"/>
        <s v="SU-20B-34201-11" u="1"/>
        <s v="PTHECOGLF-125CC" u="1"/>
        <s v="EC-A575000400" u="1"/>
        <s v="EC-15662652731" u="1"/>
        <s v="EC-61031056933" u="1"/>
        <s v="EURO-39095" u="1"/>
        <s v="EC-V361000290" u="1"/>
        <s v="EURO-36281" u="1"/>
        <s v="EC-A556001600" u="1"/>
        <s v="EC-P021010213" u="1"/>
        <s v="EC-V420002510" u="1"/>
        <s v="SU-044-02501-50" u="1"/>
        <s v="BCS-58056991" u="1"/>
        <s v="EC-P021038990" u="1"/>
        <s v="SU-277-33401-H3" u="1"/>
        <s v="EC-12312509560" u="1"/>
        <s v="EC-17830730830" u="1"/>
        <s v="ROD-20D6 6000" u="1"/>
        <s v="SU-480-05010-21" u="1"/>
        <s v="SU-20B-36101-00" u="1"/>
        <s v="EC-61001122061" u="1"/>
        <s v="EC-SRM-22GESU" u="1"/>
        <s v="EC-V583000181" u="1"/>
        <s v="SU-PTX201HPR" u="1"/>
        <s v="SU-480-05010-22" u="1"/>
        <s v="EC-V805000010" u="1"/>
        <s v="EC-V430002930" u="1"/>
        <s v="BR-CAT-CH4400" u="1"/>
        <s v="EC-C270EMC" u="1"/>
        <s v="EC-12300047533" u="1"/>
        <s v="EC-A300001570" u="1"/>
        <s v="EC-V805000210" u="1"/>
        <s v="BR-CAT-76206-12" u="1"/>
        <s v="EC-4575740" u="1"/>
        <s v="SU-018-60600-20" u="1"/>
        <s v="EC-A320000770" u="1"/>
        <s v="EC-P021022030" u="1"/>
        <s v="EC-15505" u="1"/>
        <s v="EC-10091060030" u="1"/>
        <s v="EC-10024242230" u="1"/>
        <s v="ASAB-2HEADSR" u="1"/>
        <s v="JF-044" u="1"/>
        <s v="BCS-55102678" u="1"/>
        <s v="EC-10101042231" u="1"/>
        <s v="EC-A313001590" u="1"/>
        <s v="EC-P021036520" u="1"/>
        <s v="SU-056-52100-20" u="1"/>
        <s v="EURO-40781" u="1"/>
        <s v="EC-C050001881" u="1"/>
        <s v="EC-4576340E" u="1"/>
        <s v="EC-22492452930" u="1"/>
        <s v="EC-P021022530" u="1"/>
        <s v="JF-03.056705" u="1"/>
        <s v="SU-073-20058-20" u="1"/>
        <s v="EC-C309000030" u="1"/>
        <s v="EC-17500544331" u="1"/>
        <s v="EC-43301903933" u="1"/>
        <s v="EC-A439000510" u="1"/>
        <s v="EC-P022006870" u="1"/>
        <s v="EC-P021012593" u="1"/>
        <s v="EC-43052737333" u="1"/>
        <s v="BCS-53156209" u="1"/>
        <s v="EC-P022006970" u="1"/>
        <s v="EC-C050002510" u="1"/>
        <s v="SU-480-05010-28" u="1"/>
        <s v="PTNUFFBOR-GLN" u="1"/>
        <s v="EC-A556000181" u="1"/>
        <s v="EURO-40864" u="1"/>
        <s v="SU-20B-51302-01" u="1"/>
        <s v="EC-13051030830" u="1"/>
        <s v="EC-12318140630" u="1"/>
        <s v="ASAB-HOSES" u="1"/>
        <s v="SANYO-3923" u="1"/>
        <s v="SU-277-31601-51" u="1"/>
        <s v="EC-A056000451" u="1"/>
        <s v="EC-43301330830" u="1"/>
        <s v="ASAB-1" u="1"/>
        <s v="EC-13211501461" u="1"/>
        <s v="EC-C320000370" u="1"/>
        <s v="IN-2047" u="1"/>
        <s v="EC-X405000011" u="1"/>
        <s v="EC-C328000070" u="1"/>
        <s v="SU-480-05050-29" u="1"/>
        <s v="EC-12314003930" u="1"/>
        <s v="EC-10020416430" u="1"/>
        <s v="PTHECOMSF-15G" u="1"/>
        <s v="EURO-39015" u="1"/>
        <s v="EC-V357000180" u="1"/>
        <s v="EC-10510" u="1"/>
        <s v="EC-V451000500" u="1"/>
        <s v="EC-10530" u="1"/>
        <s v="EC-P021014262" u="1"/>
        <s v="EC-A575000410" u="1"/>
        <s v="EC-V420002320" u="1"/>
        <s v="EC-V356000480" u="1"/>
        <s v="EURO-40881" u="1"/>
        <s v="EC-17851543130" u="1"/>
        <s v="EC-35110022363" u="1"/>
        <s v="EC-V420002520" u="1"/>
        <s v="EC-13-58" u="1"/>
        <s v="EC-C535000641" u="1"/>
        <s v="EC-V420002620" u="1"/>
        <s v="EC-13001606232" u="1"/>
        <s v="EURO-36378" u="1"/>
        <s v="EURO-CAB" u="1"/>
        <s v="PA-804135" u="1"/>
        <s v="EC-V430002540" u="1"/>
        <s v="EC-A320000080" u="1"/>
        <s v="IN-066" u="1"/>
        <s v="EC-43334522460" u="1"/>
        <s v="EC-17722002834" u="1"/>
        <s v="ARS-UV-32E-W" u="1"/>
        <s v="EC-35101052931" u="1"/>
        <s v="EC-A426000000" u="1"/>
        <s v="EC-V592000000" u="1"/>
        <s v="EC-10000060931" u="1"/>
        <s v="EC-21003204110" u="1"/>
        <s v="EC-A427000000" u="1"/>
        <s v="EC-V805000020" u="1"/>
        <s v="EC-A411001020" u="1"/>
        <s v="EC-30511055630" u="1"/>
        <s v="EC-A429000100" u="1"/>
        <s v="EC-P021036030" u="1"/>
        <s v="MPFUCOBEN-25KIL" u="1"/>
        <s v="EC-V470001480" u="1"/>
        <s v="EURO-90009" u="1"/>
        <s v="EC-99944100486" u="1"/>
        <s v="EC-25021011610" u="1"/>
        <s v="BR-CAT-72704-12" u="1"/>
        <s v="EC-C305000040" u="1"/>
        <s v="EC-70604062621" u="1"/>
        <s v="SU-227-45003-01" u="1"/>
        <s v="PUBLI-003" u="1"/>
        <s v="PT-J001" u="1"/>
        <s v="SU-227-13001-13" u="1"/>
        <s v="SU-EX27PR" u="1"/>
        <s v="EC-P022006980" u="1"/>
        <s v="EC-99944900240" u="1"/>
        <s v="EC-C300000740" u="1"/>
        <s v="EC-P021012606" u="1"/>
        <s v="EURO-00002" u="1"/>
        <s v="EC-P021033231" u="1"/>
        <s v="EC-17812314010" u="1"/>
        <s v="EURO-10748" u="1"/>
        <s v="SH-72174-99200" u="1"/>
        <s v="PA-809813" u="1"/>
        <s v="EC-A566000200" u="1"/>
        <s v="EC-C328000080" u="1"/>
        <s v="EURO-36029" u="1"/>
        <s v="EC-4529110" u="1"/>
        <s v="EC-13001316431" u="1"/>
        <s v="EC-70617048971" u="1"/>
        <s v="SU-279-32615-70" u="1"/>
        <s v="EC-V358000090" u="1"/>
        <s v="EC-452009480" u="1"/>
        <s v="EC-4579070" u="1"/>
        <s v="EC-A575000420" u="1"/>
        <s v="EC-V356000390" u="1"/>
        <s v="SU-065-01401-50" u="1"/>
        <s v="EC-V356000490" u="1"/>
        <s v="VIAN-VT12-9" u="1"/>
        <s v="EC-80786" u="1"/>
        <s v="SU-032-30300-10" u="1"/>
        <s v="EC-15262655932" u="1"/>
        <s v="EC-8003009" u="1"/>
        <s v="EC-17720055631" u="1"/>
        <s v="EC-C535000651" u="1"/>
        <s v="EC-V420002630" u="1"/>
        <s v="SU-227-23001-13" u="1"/>
        <s v="JF-01.601250" u="1"/>
        <s v="EC-90081006202" u="1"/>
        <s v="EURO-40978" u="1"/>
        <s v="EC-C450000460" u="1"/>
        <s v="SU-266-42501-13" u="1"/>
        <s v="EC-70103306211" u="1"/>
        <s v="EURO-36232" u="1"/>
        <s v="EC-V471000550" u="1"/>
        <s v="EC-43334522560" u="1"/>
        <s v="EC-V430002650" u="1"/>
        <s v="EC-A300001190" u="1"/>
        <s v="EURO-20101" u="1"/>
        <s v="EC-73LGX105X" u="1"/>
        <s v="EURO-40380" u="1"/>
        <s v="EC-P050000031" u="1"/>
        <s v="EC-13120507321" u="1"/>
        <s v="EC-27001006212" u="1"/>
        <s v="PTPLINSKE-100CC" u="1"/>
        <s v="EC-V805000030" u="1"/>
        <s v="EC-90072000016" u="1"/>
        <s v="EC-12436755430" u="1"/>
        <s v="EC-V312000020" u="1"/>
        <s v="EC-A429000110" u="1"/>
        <s v="JF-043" u="1"/>
        <s v="EURO-36315" u="1"/>
        <s v="EC-V470001490" u="1"/>
        <s v="EC-10101056030" u="1"/>
        <s v="EURO-L02" u="1"/>
        <s v="EC-P021006290" u="1"/>
        <s v="EC-A320000790" u="1"/>
        <s v="EC-V205000480" u="1"/>
        <s v="EC-10503" u="1"/>
        <s v="PTPLINSKE-500CC" u="1"/>
        <s v="SU-060-03003-70" u="1"/>
        <s v="SU-269-16004-03" u="1"/>
        <s v="EC-13100437632" u="1"/>
        <s v="EC-A320000890" u="1"/>
        <s v="EC-P021021910" u="1"/>
        <s v="EC-V322000040" u="1"/>
        <s v="EURO-39063" u="1"/>
        <s v="EC-25093006210" u="1"/>
        <s v="EC-V203000880" u="1"/>
        <s v="EC-21041752730" u="1"/>
        <s v="EC-70615055770" u="1"/>
        <s v="EURO-10013-l" u="1"/>
        <s v="ASAB-3HEADS" u="1"/>
        <s v="PTNUCOIMP-100CC" u="1"/>
        <s v="SU-20A-52711-01" u="1"/>
        <s v="EC-P021022550" u="1"/>
        <s v="EC-99944900200" u="1"/>
        <s v="EC-3014111" u="1"/>
        <s v="EC-X475000050" u="1"/>
        <s v="SU-065-50000-51" u="1"/>
        <s v="EC-9242435000" u="1"/>
        <s v="PA-818355" u="1"/>
        <s v="EC-P022006990" u="1"/>
        <s v="EC-13030252132" u="1"/>
        <s v="EURO-10081" u="1"/>
        <s v="EC-SRAH-205" u="1"/>
        <s v="PTACCOSNX-250CC" u="1"/>
        <s v="EC-80550" u="1"/>
        <s v="EC-70615002781" u="1"/>
        <s v="EC-9250303100" u="1"/>
        <s v="EC-P021018010" u="1"/>
        <s v="EC-A566000210" u="1"/>
        <s v="EC-61001125530" u="1"/>
        <s v="EC-10091730830" u="1"/>
        <s v="EC-P021018110" u="1"/>
        <s v="EC-17721543130" u="1"/>
        <s v="EC-25001708013" u="1"/>
        <s v="P-006" u="1"/>
        <s v="EC-V452000220" u="1"/>
        <s v="PTNUAGABC-100CC" u="1"/>
        <s v="PTNUFFAGT-LIT" u="1"/>
        <s v="SU-279-23001-03" u="1"/>
        <s v="PTNUCOCAL-LIT" u="1"/>
        <s v="EC-A021003120" u="1"/>
        <s v="SU-277-11002-21" u="1"/>
        <s v="EC-V420002240" u="1"/>
        <s v="EC-A575000430" u="1"/>
        <s v="EURO-00033" u="1"/>
        <s v="JACTO-1218612" u="1"/>
        <s v="EURO-39163" u="1"/>
        <s v="PTNUAGABC-500CC" u="1"/>
        <s v="JACTO-1182187" u="1"/>
        <s v="IN-065" u="1"/>
        <s v="EC-10020452133" u="1"/>
        <s v="EC-17801052130" u="1"/>
        <s v="EC-A011000101" u="1"/>
        <s v="EC-A021004060" u="1"/>
        <s v="PA-814212" u="1"/>
        <s v="SU-20B-79430-H1" u="1"/>
        <s v="EC-A416000000" u="1"/>
        <s v="SU-20B-16001-03" u="1"/>
        <s v="EC-V580000100" u="1"/>
        <s v="EURO-36432" u="1"/>
        <s v="EC-43334522660" u="1"/>
        <s v="EC-V582000100" u="1"/>
        <s v="EC-7800120" u="1"/>
        <s v="EURO-40300" u="1"/>
        <s v="EC-V302000010" u="1"/>
        <s v="EC-V582000200" u="1"/>
        <s v="EC-17721560930" u="1"/>
        <s v="EC-90080000608" u="1"/>
        <s v="EC-A411000500" u="1"/>
        <s v="EC-V204000090" u="1"/>
        <s v="EC-V304000010" u="1"/>
        <s v="ARS-VS-9-1" u="1"/>
        <s v="EC-A429000120" u="1"/>
        <s v="EC-C080000020" u="1"/>
        <s v="EC-14581331730" u="1"/>
        <s v="EC-10505" u="1"/>
        <s v="EURO-10450" u="1"/>
        <s v="EC-P021022060" u="1"/>
        <s v="EURO-39077" u="1"/>
        <s v="EC-17811419830" u="1"/>
        <s v="EC-17720006210" u="1"/>
        <s v="BCS-31100451" u="1"/>
        <s v="EC-V203000890" u="1"/>
        <s v="EC-12A0CD3744" u="1"/>
        <s v="PTNUCOTHI-KIL" u="1"/>
        <s v="SU-EX17PR" u="1"/>
        <s v="EC-569023" u="1"/>
        <s v="EC-646901" u="1"/>
        <s v="EURO-10473-A" u="1"/>
        <s v="EC-400806410" u="1"/>
        <s v="EC-A553000000" u="1"/>
        <s v="EC-10010006210" u="1"/>
        <s v="EURO-30000" u="1"/>
        <s v="EC-12411605530" u="1"/>
        <s v="IKRA-12108521" u="1"/>
        <s v="EC-C309000160" u="1"/>
        <s v="EC-12300060131" u="1"/>
        <s v="EC-99944100480" u="1"/>
        <s v="JF-291" u="1"/>
        <s v="SU-277-16001-13" u="1"/>
        <s v="EC-78890-30000" u="1"/>
        <s v="EC-10001212331" u="1"/>
        <s v="PTFICOAFXP-100CC" u="1"/>
        <s v="EC-P021032911" u="1"/>
        <s v="EURO-40494" u="1"/>
        <s v="EURO-39094" u="1"/>
        <s v="EURO-36280" u="1"/>
        <s v="SU-227-50811-20" u="1"/>
        <s v="EC-A566000120" u="1"/>
        <s v="EC-10024255930" u="1"/>
        <s v="EC-A566000220" u="1"/>
        <s v="ARS-EXP-3.3" u="1"/>
        <s v="JF-05.001159" u="1"/>
        <s v="EC-13201326630" u="1"/>
        <s v="EC-V452000130" u="1"/>
        <s v="EC-V430001330" u="1"/>
        <s v="EC-80676" u="1"/>
        <s v="EC-25391310910" u="1"/>
        <s v="JF-008" u="1"/>
        <s v="EC-15660132632" u="1"/>
        <s v="EC-C423000720" u="1"/>
        <s v="ASAB-SUPER25" u="1"/>
        <s v="EC-V420002250" u="1"/>
        <s v="EC-A575000440" u="1"/>
        <s v="PTNUAGARP-100CC" u="1"/>
        <s v="EC-17721510632" u="1"/>
        <s v="SU-226-23001-13" u="1"/>
        <s v="EC-V450000730" u="1"/>
        <s v="IKRA-RT2124" u="1"/>
        <s v="EC-A556001640" u="1"/>
        <s v="EC-SHP-800EUSTD" u="1"/>
        <s v="EC-A410000010" u="1"/>
        <s v="EC-P022004630" u="1"/>
        <s v="PTNUAGARP-500CC" u="1"/>
        <s v="EC-V580000110" u="1"/>
        <s v="EC-17504803920" u="1"/>
        <s v="EC-13160021060" u="1"/>
        <s v="EC-450095060" u="1"/>
        <s v="IKRA-11020077" u="1"/>
        <s v="EC-70617027723" u="1"/>
        <s v="SH-22901-31000" u="1"/>
        <s v="EC-V400000051" u="1"/>
        <s v="EC-12312116130" u="1"/>
        <s v="SH-PBN22301" u="1"/>
        <s v="EC-61020543131" u="1"/>
        <s v="EC-70602070620" u="1"/>
        <s v="EURO-39100" u="1"/>
        <s v="EC-V471000770" u="1"/>
        <s v="EURO-40780" u="1"/>
        <s v="EC-70602030230" u="1"/>
        <s v="EC-C051001210" u="1"/>
        <s v="EC-P021035720" u="1"/>
        <s v="EC-A172002310" u="1"/>
        <s v="EC-A411000910" u="1"/>
        <s v="EC-12532308260" u="1"/>
        <s v="EURO-36277" u="1"/>
        <s v="ASAB-910-LT" u="1"/>
        <s v="PTFUCOBFT-LIT" u="1"/>
        <s v="EC-80677" u="1"/>
        <s v="EC-70602055621" u="1"/>
        <s v="ASAB-2HEADS" u="1"/>
        <s v="EC-9701401" u="1"/>
        <s v="EC-V307000520" u="1"/>
        <s v="SU-277-36201-00" u="1"/>
        <s v="EURO-40863" u="1"/>
        <s v="EC-20091006210" u="1"/>
        <s v="EC-43301119832" u="1"/>
        <s v="SU-277-42201-33" u="1"/>
        <s v="SU-277-42801-03" u="1"/>
        <s v="EC-43706319930" u="1"/>
        <s v="EC-P021002471" u="1"/>
        <s v="EC-16A0ED3757" u="1"/>
        <s v="EURO-LT80" u="1"/>
        <s v="EC-13031305863" u="1"/>
        <s v="ROD 20-6002" u="1"/>
        <s v="EC-C305000370" u="1"/>
        <s v="EC-C050002550" u="1"/>
        <s v="EC-10000052130" u="1"/>
        <s v="PTNUCORFT-LIT" u="1"/>
        <s v="EC-17501230831" u="1"/>
        <s v="EC-10021232430" u="1"/>
        <s v="EC-17501849932" u="1"/>
        <s v="EC-A021002300" u="1"/>
        <s v="SANYO-1221" u="1"/>
        <s v="EC-A566000130" u="1"/>
        <s v="MP-558" u="1"/>
        <s v="EC-V451000040" u="1"/>
        <s v="EC-73LGX72X" u="1"/>
        <s v="EURO-36377" u="1"/>
        <s v="EC-80678" u="1"/>
        <s v="EC-99944100477" u="1"/>
        <s v="FERR-2200016" u="1"/>
        <s v="SU-279-52711-01" u="1"/>
        <s v="EC-C423000730" u="1"/>
        <s v="EC-A021003440" u="1"/>
        <s v="EC-CS-3500-40EUSTD" u="1"/>
        <s v="BR-CAT-76293-00" u="1"/>
        <s v="EC-17500542030" u="1"/>
        <s v="EC-C551000110" u="1"/>
        <s v="EC-V451000940" u="1"/>
        <s v="EC-17720055931" u="1"/>
        <s v="PTFUCOPCHA-250G" u="1"/>
        <s v="EC-C535001010" u="1"/>
        <s v="EC-13031903710" u="1"/>
        <s v="EC-A409000100" u="1"/>
        <s v="PTNUFFSIL-LIT" u="1"/>
        <s v="JF-02.046303" u="1"/>
        <s v="BCS-31312102" u="1"/>
        <s v="SU-278-22501-10" u="1"/>
        <s v="EC-10010055931" u="1"/>
        <s v="EC-12436212710" u="1"/>
        <s v="EC-P021021240" u="1"/>
        <s v="EC-P021035430" u="1"/>
        <s v="EC-V470000880" u="1"/>
        <s v="EC-17510532431" u="1"/>
        <s v="EC-P021021540" u="1"/>
        <s v="BCS-55252413" u="1"/>
        <s v="PTINCODEP-100G" u="1"/>
        <s v="EC-A021000541" u="1"/>
        <s v="EC-V307000230" u="1"/>
        <s v="SU-024-00600-30" u="1"/>
        <s v="EC-A130000292" u="1"/>
        <s v="PTINCODEP-300G" u="1"/>
        <s v="EC-A021000741" u="1"/>
        <s v="EC-70617052970" u="1"/>
        <s v="EC-89750000335" u="1"/>
        <s v="EC-90034540030" u="1"/>
        <s v="EC-A232000312" u="1"/>
        <s v="EC-C400000000" u="1"/>
        <s v="EC-P021016371" u="1"/>
        <s v="EC-17722006310" u="1"/>
        <s v="SU-246-33611-03" u="1"/>
        <s v="SU-277-36202-00" u="1"/>
        <s v="EC-10090536030" u="1"/>
        <s v="EURO-00001" u="1"/>
        <s v="EC-90072200100" u="1"/>
        <s v="EC-13030143130" u="1"/>
        <s v="PTNUCOZIN-19LIT" u="1"/>
        <s v="JF-290" u="1"/>
        <s v="SU-279-32902-H3" u="1"/>
        <s v="EC-C300000480" u="1"/>
        <s v="EC-P021022580" u="1"/>
        <s v="EC-S20A8TW3378" u="1"/>
        <s v="ARS-SS-240" u="1"/>
        <s v="EC-C305000380" u="1"/>
        <s v="PTHECOTOK-100CC" u="1"/>
        <s v="EC-70602066011" u="1"/>
        <s v="EC-A021002010" u="1"/>
        <s v="SU-480-08010-28" u="1"/>
        <s v="EC-P021033071" u="1"/>
        <s v="EC-A555000220" u="1"/>
        <s v="EC-A557000120" u="1"/>
        <s v="EC-15662660930" u="1"/>
        <s v="EC-MKT1330036" u="1"/>
        <s v="BCS-58056843" u="1"/>
        <s v="SU-480-08010-29" u="1"/>
        <s v="EC-90072000007" u="1"/>
        <s v="SU-282-33501-03" u="1"/>
        <s v="EC-P021033471" u="1"/>
        <s v="OT-2316" u="1"/>
        <s v="EC-10101108961" u="1"/>
        <s v="EC-V450000150" u="1"/>
        <s v="EC-757-70INTL" u="1"/>
        <s v="EC-V651000001" u="1"/>
        <s v="JF-01.601140" u="1"/>
        <s v="EC-15660130832" u="1"/>
        <s v="EC-17511412530" u="1"/>
        <s v="EC-21042504110" u="1"/>
        <s v="SU-282-60201-11" u="1"/>
        <s v="EC-HT230/40LA" u="1"/>
        <s v="EURO-36577" u="1"/>
        <s v="EC-17721544430" u="1"/>
        <s v="BCS-55157212" u="1"/>
        <s v="EC-P021034100" u="1"/>
        <s v="IN-0016" u="1"/>
        <s v="BCS-92190797" u="1"/>
        <s v="JF-342115" u="1"/>
        <s v="EURO-36231" u="1"/>
        <s v="PTNUCOCIT-LIT" u="1"/>
        <s v="ARS-160R-1.8" u="1"/>
        <s v="EC-V452000550" u="1"/>
        <s v="IN-0019" u="1"/>
        <s v="EC-99946400023" u="1"/>
        <s v="EC-43021113432" u="1"/>
        <s v="EC-315105055" u="1"/>
        <s v="EC-P021034400" u="1"/>
        <s v="SU-279-52702-03" u="1"/>
        <s v="EC-89770819835" u="1"/>
        <s v="EC-13031103710" u="1"/>
        <s v="EC-35160660831" u="1"/>
        <s v="EC-A410000030" u="1"/>
        <s v="EC-X411001010" u="1"/>
        <s v="EC-17500543130" u="1"/>
        <s v="EC-A412000030" u="1"/>
        <s v="EC-V452000950" u="1"/>
        <s v="BCS-55242528" u="1"/>
        <s v="EC-A411000130" u="1"/>
        <s v="EC-12312009560" u="1"/>
        <s v="IKRA-11020083" u="1"/>
        <s v="JF-041" u="1"/>
        <s v="EC-C535000891" u="1"/>
        <s v="EC-P022034800" u="1"/>
        <s v="EC-13031006230" u="1"/>
        <s v="IN-378" u="1"/>
        <s v="EC-C063000010" u="1"/>
        <s v="BR-CAT-71132-12" u="1"/>
        <s v="IKRA-11020097" u="1"/>
        <s v="EURO-36251-1.5M" u="1"/>
        <s v="OT-531" u="1"/>
        <s v="EC-P021035340" u="1"/>
        <s v="EC-10024232430" u="1"/>
        <s v="EC-P022019680" u="1"/>
        <s v="EC-P021035440" u="1"/>
        <s v="EC-10101032431" u="1"/>
        <s v="EC-A426000050" u="1"/>
        <s v="JF-9401058" u="1"/>
        <s v="EC-C051001130" u="1"/>
        <s v="EC-35701102410" u="1"/>
        <s v="EC-90060500006" u="1"/>
        <s v="EC-A427000150" u="1"/>
        <s v="EC-V805000170" u="1"/>
        <s v="PTACCOAST-LIT" u="1"/>
        <s v="PTNUCOINI-KIL" u="1"/>
        <s v="EC-99909-450" u="1"/>
        <s v="EC-V309000040" u="1"/>
        <s v="EC-10101055430" u="1"/>
        <s v="EC-CS-680S-70LA" u="1"/>
        <s v="EC-V307000240" u="1"/>
        <s v="EC-61023904130" u="1"/>
        <s v="SH-22155-96531" u="1"/>
        <s v="EC-13030243132" u="1"/>
        <s v="BR-CAT-31498-00" u="1"/>
        <s v="SU-279-32607-17" u="1"/>
        <s v="EC-61031056832" u="1"/>
        <s v="SU-279-62362-20" u="1"/>
        <s v="BCS-56356840" u="1"/>
        <s v="EC-21BPX72X" u="1"/>
        <s v="EC-10091716430" u="1"/>
        <s v="PTNUCORFT-KIL" u="1"/>
        <s v="EC-P021032441" u="1"/>
        <s v="EC-17722107060" u="1"/>
        <s v="EC-38301312621" u="1"/>
        <s v="EC-P021022590" u="1"/>
        <s v="SU-20B-22501-00" u="1"/>
        <s v="PTPLACSNX-100CC" u="1"/>
        <s v="EURO-31162" u="1"/>
        <s v="JF-05.000520" u="1"/>
        <s v="EC-P021002791" u="1"/>
        <s v="EC-13002151530" u="1"/>
        <s v="EC-A555000130" u="1"/>
        <s v="EC-70604041870" u="1"/>
        <s v="EC-P021012742" u="1"/>
        <s v="SU-277-23001-03" u="1"/>
        <s v="EURO-40376" u="1"/>
        <s v="EC-A021002120" u="1"/>
        <s v="EC-99909-55123" u="1"/>
        <s v="EC-P021017410" u="1"/>
        <s v="ARS LPB-20M" u="1"/>
        <s v="BCS-58056844" u="1"/>
        <s v="EURO-00032" u="1"/>
        <s v="PTPLACSNX-500CC" u="1"/>
        <s v="EC-80578" u="1"/>
        <s v="EC-A021002520" u="1"/>
        <s v="EC-70602010700" u="1"/>
        <s v="EC-V452000060" u="1"/>
        <s v="EC-V651000011" u="1"/>
        <s v="EC-10000060730" u="1"/>
        <s v="EURO-36059" u="1"/>
        <s v="PTHECOGLF-5GLN" u="1"/>
        <s v="EC-60405105560" u="1"/>
        <s v="EC-P021017910" u="1"/>
        <s v="EC-70602048970" u="1"/>
        <s v="EC-V452000260" u="1"/>
        <s v="EC-A556001170" u="1"/>
        <s v="BCS-55157213" u="1"/>
        <s v="EC-A575000270" u="1"/>
        <s v="EC-A556001270" u="1"/>
        <s v="BCS-92190798" u="1"/>
        <s v="EC-V452000560" u="1"/>
        <s v="EC-12314005560" u="1"/>
        <s v="EC-V450000760" u="1"/>
        <s v="EC-A051002180" u="1"/>
        <s v="EC-80405" u="1"/>
        <s v="BR-CAT-76295-00" u="1"/>
        <s v="EURO-90073" u="1"/>
        <s v="EC-V420002580" u="1"/>
        <s v="EC-V452000960" u="1"/>
        <s v="EC-99944100471" u="1"/>
        <s v="SU-277-22501-10" u="1"/>
        <s v="SU-253-15001-33" u="1"/>
        <s v="EC-P021028901" u="1"/>
        <s v="ROD-20 D6201" u="1"/>
        <s v="EC-201100021" u="1"/>
        <s v="EC-C450000213" u="1"/>
        <s v="EC-P022034810" u="1"/>
        <s v="ASAB-1100" u="1"/>
        <s v="EC-C550000430" u="1"/>
        <s v="EC-70102005510" u="1"/>
        <s v="EC-DM-6110EUSTD" u="1"/>
        <s v="BCS-31112090" u="1"/>
        <s v="EC-C230INTL" u="1"/>
        <s v="EC-A220000012" u="1"/>
        <s v="EC-A409000520" u="1"/>
        <s v="EC-A411000640" u="1"/>
        <s v="EC-70602071920" u="1"/>
        <s v="EC-A409000620" u="1"/>
        <s v="EC-70602072920" u="1"/>
        <s v="BCS-55252405" u="1"/>
        <s v="EC-A411001080" u="1"/>
        <s v="PTPLINSKE-250CC" u="1"/>
        <s v="EC-99909-451" u="1"/>
        <s v="EC-P021036090" u="1"/>
        <s v="EURO-00029" u="1"/>
        <s v="EC-61001106230" u="1"/>
        <s v="SH-108642-24" u="1"/>
        <s v="EC-13001742031" u="1"/>
        <s v="EC-90024205014" u="1"/>
        <s v="EC-35115535430" u="1"/>
        <s v="EC-PPT-2400STD" u="1"/>
        <s v="EC-A130000601" u="1"/>
        <s v="SU-227-42801-03" u="1"/>
        <s v="PA-817218" u="1"/>
        <s v="PTFUCOSTY-KIL" u="1"/>
        <s v="EC-569006" u="1"/>
        <s v="PA-818230" u="1"/>
        <s v="PTNUCOIMP-250CC" u="1"/>
        <s v="EC-PB-755/LA" u="1"/>
        <s v="EC-A056000010" u="1"/>
        <s v="INT-006" u="1"/>
        <s v="EC-P021017220" u="1"/>
        <s v="SU-281-33501-03" u="1"/>
        <s v="SU-282-20301-01" u="1"/>
        <s v="EC-A058000010" u="1"/>
        <s v="EC-17500030832" u="1"/>
        <s v="SU-480-05010-10" u="1"/>
        <s v="EC-13030151730" u="1"/>
        <s v="EC-25001102011" u="1"/>
        <s v="BCS-58056845" u="1"/>
        <s v="EC-V420001250" u="1"/>
        <s v="EC-70602031A13" u="1"/>
        <s v="SU-480-05010-11" u="1"/>
        <s v="EURO-40230" u="1"/>
        <s v="EC-70617050721" u="1"/>
        <s v="EC-10010055430" u="1"/>
        <s v="EC-17721540630" u="1"/>
        <s v="SH-20021-96420" u="1"/>
        <s v="EC-A566000160" u="1"/>
        <s v="EC-13001756431" u="1"/>
        <s v="SU-480-05010-12" u="1"/>
        <s v="EC-V043000351" u="1"/>
        <s v="SH-80771" u="1"/>
        <s v="JF-05.000581" u="1"/>
        <s v="EC-P021048010" u="1"/>
        <s v="EC-V652000021" u="1"/>
        <s v="EC-17500056831" u="1"/>
        <s v="EC-P021017920" u="1"/>
        <s v="EURO-40127" u="1"/>
        <s v="EC-314105055" u="1"/>
        <s v="BCS-55157214" u="1"/>
        <s v="EURO-40845" u="1"/>
        <s v="PTNUAGABC-250CC" u="1"/>
        <s v="BCS-92190799" u="1"/>
        <s v="EC-A575000380" u="1"/>
        <s v="BR-CAT-36268-00" u="1"/>
        <s v="SU-480-05010-15" u="1"/>
        <s v="EC-V420002390" u="1"/>
        <s v="EC-70617038722" u="1"/>
        <s v="JF-040" u="1"/>
        <s v="PTFUCORID-LIT" u="1"/>
        <s v="SU-277-15001-43" u="1"/>
        <s v="EC-P021028811" u="1"/>
        <s v="EC-A411000050" u="1"/>
        <s v="EC-C551000140" u="1"/>
        <s v="EC-70602061760" u="1"/>
        <s v="SU-480-05010-17" u="1"/>
        <s v="ROD-20 D6202" u="1"/>
        <s v="EC-901018" u="1"/>
        <s v="EC-17501805533" u="1"/>
        <s v="EC-90PX44CQ" u="1"/>
        <s v="EC-C063000030" u="1"/>
        <s v="JF-02.046292" u="1"/>
        <s v="EC-A411000264" u="1"/>
        <s v="EC-A411000450" u="1"/>
        <s v="BCS-31312125" u="1"/>
        <s v="EURO-40862" u="1"/>
        <s v="EC-14551206211" u="1"/>
        <s v="EC-A411000550" u="1"/>
        <s v="EC-A051002890" u="1"/>
        <s v="EC-C062000330" u="1"/>
        <s v="EC-A411000650" u="1"/>
        <s v="EC-17722042030" u="1"/>
        <s v="EC-35701401110" u="1"/>
        <s v="SU-277-42501-13" u="1"/>
        <s v="EC-C062000430" u="1"/>
        <s v="EC-13201202960" u="1"/>
        <s v="EC-V505000011" u="1"/>
        <s v="EC-17501232430" u="1"/>
        <s v="EC-PB-252LA" u="1"/>
        <s v="EC-A409000730" u="1"/>
        <s v="EC-A130000111" u="1"/>
        <s v="PTINCOSDF-100CC" u="1"/>
        <s v="BR-CAT-16319" u="1"/>
        <s v="EC-80250" u="1"/>
        <s v="EURO-36013" u="1"/>
        <s v="EC-C050001550" u="1"/>
        <s v="EC-P021006153" u="1"/>
        <s v="EC-90016205014" u="1"/>
        <s v="EC-P022002100" u="1"/>
        <s v="EURO-39013" u="1"/>
        <s v="EC-10010043130" u="1"/>
        <s v="EC-HC-152/LA" u="1"/>
        <s v="ARS-CB-9-2" u="1"/>
        <s v="EC-70602034770" u="1"/>
        <s v="SANYO-1220" u="1"/>
        <s v="SU-281-62301-H0" u="1"/>
        <s v="EC-569026" u="1"/>
        <s v="SU-060-02501-70" u="1"/>
        <s v="EC-C403000330" u="1"/>
        <s v="EC-10401606410" u="1"/>
        <s v="EC-17721532330" u="1"/>
        <s v="EC-A055000020" u="1"/>
        <s v="SU-281-42302-H1" u="1"/>
        <s v="BCS-58056816" u="1"/>
        <s v="PTNUCOFOS-500CC" u="1"/>
        <s v="EURO-36376" u="1"/>
        <s v="IN-128" u="1"/>
        <s v="SU-056-51800-10" u="1"/>
        <s v="EURO-40776" u="1"/>
        <s v="SANYO-0397" u="1"/>
        <s v="EC-A021002140" u="1"/>
        <s v="EC-12431749930" u="1"/>
        <s v="BCS-58056846" u="1"/>
        <s v="EC-C412000450" u="1"/>
        <s v="SU-279-51202-01" u="1"/>
        <s v="EC-A565000070" u="1"/>
        <s v="EC-A566000070" u="1"/>
        <s v="EC-21001304111" u="1"/>
        <s v="EC-A056000520" u="1"/>
        <s v="EC-17721538330" u="1"/>
        <s v="EC-A556000550" u="1"/>
        <s v="EC-P021003540" u="1"/>
        <s v="EC-15680144731" u="1"/>
        <s v="EC-43301910631" u="1"/>
        <s v="EC-A021002540" u="1"/>
        <s v="BR-CAT-73060" u="1"/>
        <s v="EC-A556000650" u="1"/>
        <s v="EC-81630" u="1"/>
        <s v="EC-80221" u="1"/>
        <s v="EC-3013172" u="1"/>
        <s v="EURO-40859" u="1"/>
        <s v="EC-V553000100" u="1"/>
        <s v="EC-C532000210" u="1"/>
        <s v="BCS-55157215" u="1"/>
        <s v="EC-13100455530" u="1"/>
        <s v="EC-V558000000" u="1"/>
        <s v="EC-A021003180" u="1"/>
        <s v="SU-2771501103" u="1"/>
        <s v="EC-A575000390" u="1"/>
        <s v="EC-13002019830" u="1"/>
        <s v="EC-1001141" u="1"/>
        <s v="EC-A051001660" u="1"/>
        <s v="EC-99944100485" u="1"/>
        <s v="PTNUAGARP-250CC" u="1"/>
        <s v="EC-15901201620" u="1"/>
        <s v="PTPLINANI-LIT" u="1"/>
        <s v="EC-C531000710" u="1"/>
        <s v="EC-C051000120" u="1"/>
        <s v="EC-17721832631" u="1"/>
        <s v="EC-65001" u="1"/>
        <s v="EC-17851051730" u="1"/>
        <s v="EC-A160002240" u="1"/>
        <s v="EC-X640000011" u="1"/>
        <s v="SU-024-00700-21" u="1"/>
        <s v="EC-10001108360" u="1"/>
        <s v="PTINCOFUL-50G" u="1"/>
        <s v="EC-17510530831" u="1"/>
        <s v="EC-15662639130" u="1"/>
        <s v="EC-C062000340" u="1"/>
        <s v="EC-A409000640" u="1"/>
        <s v="EC-P021021380" u="1"/>
        <s v="EC-10092230830" u="1"/>
        <s v="EC-A130000021" u="1"/>
        <s v="SU-277-32902-H3" u="1"/>
        <s v="EC-P021015771" u="1"/>
        <s v="EC-P021031631" u="1"/>
        <s v="EC-C050001560" u="1"/>
        <s v="INCO-033" u="1"/>
        <s v="EC-P004003010" u="1"/>
        <s v="EURO-41175" u="1"/>
        <s v="EC-V419000010" u="1"/>
        <s v="EC-43301616430" u="1"/>
        <s v="EURO-40361" u="1"/>
        <s v="BR-CAT-72780" u="1"/>
        <s v="EC-80794A" u="1"/>
        <s v="SU-282-33401-03" u="1"/>
        <s v="SU-281-20301-01" u="1"/>
        <s v="EC-A052000030" u="1"/>
        <s v="BR-CAT-71381" u="1"/>
        <s v="EC-72005-92630" u="1"/>
        <s v="EC-P004003410" u="1"/>
        <s v="BR-CAT-74548-00" u="1"/>
        <s v="EC-A553000060" u="1"/>
        <s v="PTNUCOAGV-500CC" u="1"/>
        <s v="EC-V420000530" u="1"/>
        <s v="EC-65002" u="1"/>
        <s v="EC-12435550130" u="1"/>
        <s v="EC-90081006201" u="1"/>
        <s v="PTNUCOCRE-500G" u="1"/>
        <s v="EC-A052000430" u="1"/>
        <s v="EC-70602047412" u="1"/>
        <s v="BCS-58056837" u="1"/>
        <s v="EC-C412000360" u="1"/>
        <s v="EURO-1X2-2000" u="1"/>
        <s v="EC-A056000330" u="1"/>
        <s v="BCS-58056847" u="1"/>
        <s v="EC-P021033200" u="1"/>
        <s v="EC-13192443130" u="1"/>
        <s v="EC-313105055" u="1"/>
        <s v="SU-060-02500-10" u="1"/>
        <s v="SU-277-52702-03" u="1"/>
        <s v="EC-A556000660" u="1"/>
        <s v="EC-27001006211" u="1"/>
        <s v="EC-A056000730" u="1"/>
        <s v="EC-A556000760" u="1"/>
        <s v="EC-V555000010" u="1"/>
        <s v="JF-141565" u="1"/>
        <s v="EC-A021003090" u="1"/>
        <s v="EC-80253" u="1"/>
        <s v="ARS-VS-9Z" u="1"/>
        <s v="EC-17721844330" u="1"/>
        <s v="EURO-10780" u="1"/>
        <s v="EC-10021300310" u="1"/>
        <s v="SU-040-11400-30" u="1"/>
        <s v="EC-P021018680" u="1"/>
        <s v="EC-20F8LS3378" u="1"/>
        <s v="EC-V452000690" u="1"/>
        <s v="EC-A021003490" u="1"/>
        <s v="EC-17724230830" u="1"/>
        <s v="PTHECOGLF-500CC" u="1"/>
        <s v="SU-X50-51200-20" u="1"/>
        <s v="EC-C551000060" u="1"/>
        <s v="IKRA-62006000" u="1"/>
        <s v="SU-227-22501-10" u="1"/>
        <s v="EC-C040000610" u="1"/>
        <s v="EC-C044000410" u="1"/>
        <s v="SU-277-16010-01" u="1"/>
        <s v="EC-65003" u="1"/>
        <s v="EC-10014230830" u="1"/>
        <s v="EC-10024230830" u="1"/>
        <s v="EC-14564200760" u="1"/>
        <s v="EURO-00014" u="1"/>
        <s v="BCS-92243685" u="1"/>
        <s v="EC-30511703360" u="1"/>
        <s v="EC-70602067820" u="1"/>
        <s v="SU-279-63601-23" u="1"/>
        <s v="EC-C044000910" u="1"/>
        <s v="EC-A021000291" u="1"/>
        <s v="EC-A409000650" u="1"/>
        <s v="EC-C055000630" u="1"/>
        <s v="EC-A427000090" u="1"/>
        <s v="EC-V304000180" u="1"/>
        <s v="EC-27000006311" u="1"/>
        <s v="SU-20A-32636-00" u="1"/>
        <s v="EC-V309000080" u="1"/>
        <s v="EC-V592000290" u="1"/>
        <s v="EC-9400236001" u="1"/>
        <s v="EC-17500555930" u="1"/>
        <s v="EC-A037000000" u="1"/>
        <s v="EC-17501235630" u="1"/>
        <s v="PTNUAGAGF-100CC" u="1"/>
        <s v="EC-E137000021" u="1"/>
        <s v="BCS-59056672" u="1"/>
        <s v="EC-A021000991" u="1"/>
        <s v="EC-P005003120" u="1"/>
        <s v="EC-V104000732" u="1"/>
        <s v="EC-13001744331" u="1"/>
        <s v="EURO-00031" u="1"/>
        <s v="EURO-39161" u="1"/>
        <s v="PTNUCOKPL-LIT" u="1"/>
        <s v="PTNUAGAGF-500CC" u="1"/>
        <s v="EC-70616035770" u="1"/>
        <s v="EC-A050000240" u="1"/>
        <s v="EC-WP-1000" u="1"/>
        <s v="EC-V420000540" u="1"/>
        <s v="EURO-36058" u="1"/>
        <s v="EC-A130001371" u="1"/>
        <s v="EC-12415905530" u="1"/>
        <s v="EC-450103060" u="1"/>
        <s v="EC-18F8LS3372" u="1"/>
        <s v="EC-P022033110" u="1"/>
        <s v="BCS-58056848" u="1"/>
        <s v="EC-C412000470" u="1"/>
        <s v="EC-13051630830" u="1"/>
        <s v="EC-A056000640" u="1"/>
        <s v="EC-70616006062" u="1"/>
        <s v="EC-C531000030" u="1"/>
        <s v="EC-P021003474" u="1"/>
        <s v="EURO-90072" u="1"/>
        <s v="EC-P021048040" u="1"/>
        <s v="ARS-VS-9R" u="1"/>
        <s v="PTFUCOFEG-LIT" u="1"/>
        <s v="EC-10091532530" u="1"/>
        <s v="EC-P021018290" u="1"/>
        <s v="EC-V556000020" u="1"/>
        <s v="EC-80255" u="1"/>
        <s v="EC-A175000200" u="1"/>
        <s v="EC-C536000030" u="1"/>
        <s v="INCO-036" u="1"/>
        <s v="EC-C423000790" u="1"/>
        <s v="EC-A202000012" u="1"/>
        <s v="SU-20B-32640-H8" u="1"/>
        <s v="EC-C535000530" u="1"/>
        <s v="EC-A172001140" u="1"/>
        <s v="EC-C551000070" u="1"/>
        <s v="EC-C535000630" u="1"/>
        <s v="EC-17723412220" u="1"/>
        <s v="EC-17851047530" u="1"/>
        <s v="EURO-40558" u="1"/>
        <s v="PTNUFFVIG-LIT" u="1"/>
        <s v="EURO-00028" u="1"/>
        <s v="EC-90072230112" u="1"/>
        <s v="P-0014" u="1"/>
        <s v="EC-13031306230" u="1"/>
        <s v="ARS-GR18L" u="1"/>
        <s v="SU-20B-15501-01" u="1"/>
        <s v="EC-15262660730" u="1"/>
        <s v="EC-P021045341" u="1"/>
        <s v="EC-P021035490" u="1"/>
        <s v="EC-15680142230" u="1"/>
        <s v="SU-227-42501-13" u="1"/>
        <s v="SU-227-42701-03" u="1"/>
        <s v="IMP-271" u="1"/>
        <s v="PTINCOKAR-LIT" u="1"/>
        <s v="EC-A411000780" u="1"/>
        <s v="EC-A411000880" u="1"/>
        <s v="IN-32" u="1"/>
        <s v="EC-10101055930" u="1"/>
        <s v="EC-A409000960" u="1"/>
        <s v="EC-X047000381" u="1"/>
        <s v="EC-80256" u="1"/>
        <s v="EC-P021031651" u="1"/>
        <s v="SU-281-33401-03" u="1"/>
        <s v="SU-282-63601-H1" u="1"/>
        <s v="EC-J420000080" u="1"/>
        <s v="EC-C350INTL" u="1"/>
        <s v="EURO-90069" u="1"/>
        <s v="EURO-900" u="1"/>
        <s v="EC-17720030831" u="1"/>
        <s v="EC-G186000010" u="1"/>
        <s v="EC-22190003311" u="1"/>
        <s v="EC-A030000610" u="1"/>
        <s v="EC-A232000472" u="1"/>
        <s v="EC-16201055630" u="1"/>
        <s v="EC-43311760930" u="1"/>
        <s v="EC-P004003230" u="1"/>
        <s v="SU-281-60101-11" u="1"/>
        <s v="EC-P021032391" u="1"/>
        <s v="SH-64007-67011" u="1"/>
        <s v="EC-12311605160" u="1"/>
        <s v="SU-20B-50301-20" u="1"/>
        <s v="EC-9114206016" u="1"/>
        <s v="EC-A056000050" u="1"/>
        <s v="IKRA-43224700" u="1"/>
        <s v="PTACCOYOG-LIT" u="1"/>
        <s v="EC-A130001381" u="1"/>
        <s v="EC-A052000350" u="1"/>
        <s v="EC-C415000080" u="1"/>
        <s v="IKRA-RT2107" u="1"/>
        <s v="EC-P021007312" u="1"/>
        <s v="EC-12214100230" u="1"/>
        <s v="SU-X66-00003-61" u="1"/>
        <s v="EC-P021033320" u="1"/>
        <s v="EC-V541000210" u="1"/>
        <s v="EC-A130002010" u="1"/>
        <s v="EC-A556000480" u="1"/>
        <s v="EC-61001122460" u="1"/>
        <s v="EC-10020456232" u="1"/>
        <s v="EC-A021002470" u="1"/>
        <s v="EC-A056000650" u="1"/>
        <s v="EC-A021002570" u="1"/>
        <s v="SU-279-15001-33" u="1"/>
        <s v="IN-375" u="1"/>
        <s v="EC-P021048050" u="1"/>
        <s v="EC-P021013621" u="1"/>
        <s v="EURO-36089" u="1"/>
        <s v="EC-99944100505" u="1"/>
        <s v="SU-27963601-23" u="1"/>
        <s v="EC-A175000210" u="1"/>
        <s v="PTNUCOZIN-500CC" u="1"/>
        <s v="SU-226-22501-10" u="1"/>
        <s v="EC-90028605025" u="1"/>
        <s v="SH-20035-21100" u="1"/>
        <s v="SU-20B-62430-08" u="1"/>
        <s v="EC-9403536201" u="1"/>
        <s v="EC-EDR-210" u="1"/>
        <s v="SU-269-33701-03" u="1"/>
        <s v="EC-P021000371" u="1"/>
        <s v="EC-P021034560" u="1"/>
        <s v="BR-CAT-SC3265" u="1"/>
        <s v="OT-442" u="1"/>
        <s v="JF-02.066265" u="1"/>
        <s v="EC-A510000110" u="1"/>
        <s v="IN-62" u="1"/>
        <s v="EC-P022034760" u="1"/>
        <s v="SANYO-0379" u="1"/>
        <s v="EC-C535000840" u="1"/>
        <s v="EC-15262655430" u="1"/>
        <s v="EURO-40226" u="1"/>
        <s v="EC-70602019230" u="1"/>
        <s v="EC-A511000210" u="1"/>
        <s v="PTNUCOCAL-19LIT" u="1"/>
        <s v="EC-4037771" u="1"/>
        <s v="SU-20B-35101-21" u="1"/>
        <s v="EC-90SG-39X" u="1"/>
        <s v="EC-C044000830" u="1"/>
        <s v="EC-E103001021" u="1"/>
        <s v="EC-A409000570" u="1"/>
        <s v="EC-C051000564" u="1"/>
        <s v="ARS-CB-9-1" u="1"/>
        <s v="EC-90060000006" u="1"/>
        <s v="EC-P004002200" u="1"/>
        <s v="EC-70615050520" u="1"/>
        <s v="EC-A411000790" u="1"/>
        <s v="EC-81593" u="1"/>
        <s v="EC-A030000120" u="1"/>
        <s v="EC-C050001290" u="1"/>
        <s v="EC-P021031461" u="1"/>
        <s v="EC-4527270" u="1"/>
        <s v="EC-4574920" u="1"/>
        <s v="EC-22400010610" u="1"/>
        <s v="BCS-92248332" u="1"/>
        <s v="EC-13000739932" u="1"/>
        <s v="EC-10000039130" u="1"/>
        <s v="EC-61031352932" u="1"/>
        <s v="EC-A039000020" u="1"/>
        <s v="EC-P003003140" u="1"/>
        <s v="EC-17801202061" u="1"/>
        <s v="EC-V423000060" u="1"/>
        <s v="EC-12436721330" u="1"/>
        <s v="SU-277-51202-01" u="1"/>
        <s v="EC-P004002900" u="1"/>
        <s v="SU-20B-37001-11" u="1"/>
        <s v="EC-A045000340" u="1"/>
        <s v="EC-A052000160" u="1"/>
        <s v="EC-17501842230" u="1"/>
        <s v="EC-C511000110" u="1"/>
        <s v="EC-A350000342" u="1"/>
        <s v="EC-12901152131" u="1"/>
        <s v="EC-90085506901" u="1"/>
        <s v="EURO-36392" u="1"/>
        <s v="EC-10014212330" u="1"/>
        <s v="SU-480-08010-11" u="1"/>
        <s v="EC-P021033430" u="1"/>
        <s v="EC-A051000960" u="1"/>
        <s v="SU-480-08010-12" u="1"/>
        <s v="G-001" u="1"/>
        <s v="EC-10153530830" u="1"/>
        <s v="BR-CAT-70089" u="1"/>
        <s v="EC-A172000320" u="1"/>
        <s v="EC-A556000890" u="1"/>
        <s v="PTPLINSMT-LIT" u="1"/>
        <s v="OT-107" u="1"/>
        <s v="EC-A175000220" u="1"/>
        <s v="EC-V555000140" u="1"/>
        <s v="EURO-36475" u="1"/>
        <s v="EC-10102360930" u="1"/>
        <s v="SU-481-00001-14" u="1"/>
        <s v="EC-43700239130" u="1"/>
        <s v="EC-4502640" u="1"/>
        <s v="SU-480-08010-15" u="1"/>
        <s v="EC-P021010232" u="1"/>
        <s v="SU-481-00001-15" u="1"/>
        <s v="EC-89541006961" u="1"/>
        <s v="EC-A160001640" u="1"/>
        <s v="P-0013" u="1"/>
        <s v="SU-480-08010-16" u="1"/>
        <s v="EC-569019" u="1"/>
        <s v="EC-X411000940" u="1"/>
        <s v="EC-C044000540" u="1"/>
        <s v="PTNUFFROO-LIT" u="1"/>
        <s v="EC-C535000850" u="1"/>
        <s v="SU-480-08010-17" u="1"/>
        <s v="SHDW-051" u="1"/>
        <s v="EC-C044000640" u="1"/>
        <s v="SU-226-42501-13" u="1"/>
        <s v="EC-13201119831" u="1"/>
        <s v="EC-A514000120" u="1"/>
        <s v="SU-252-62354-10" u="1"/>
        <s v="EC-17801335631" u="1"/>
        <s v="ROD 20 D6 629" u="1"/>
        <s v="EC-70602068010" u="1"/>
        <s v="EC-12311240630" u="1"/>
        <s v="EC-P003002210" u="1"/>
        <s v="MPPRFISTY-100G" u="1"/>
        <s v="PTFUCOBUC-100CC" u="1"/>
        <s v="EC-73LGX84X" u="1"/>
        <s v="EC-A011001030" u="1"/>
        <s v="SU-0401140030" u="1"/>
        <s v="SU-277-73101-H1" u="1"/>
        <s v="EC-17722601110" u="1"/>
        <s v="EC-V401000430" u="1"/>
        <s v="JF-003" u="1"/>
        <s v="JF-02.045823" u="1"/>
        <s v="BCS-55256835" u="1"/>
        <s v="PTINCOSDF-250CC" u="1"/>
        <s v="SU-X56-11100-60" u="1"/>
        <s v="EC-A033000230" u="1"/>
        <s v="PTFUCOBUC-500CC" u="1"/>
        <s v="EC-70602056411" u="1"/>
        <s v="EC-A033000330" u="1"/>
        <s v="EC-P021016254" u="1"/>
        <s v="EURO-39043" u="1"/>
        <s v="EC-A038000330" u="1"/>
        <s v="EC-A038000430" u="1"/>
        <s v="EC-A051000070" u="1"/>
        <s v="PTNUCOFOS-250CC" u="1"/>
        <s v="SU-011-00803-10" u="1"/>
        <s v="SU-277-46002-01" u="1"/>
        <s v="EC-A051000170" u="1"/>
        <s v="EC-P021032500" u="1"/>
        <s v="SHDW-012" u="1"/>
        <s v="EC-P021027031" u="1"/>
        <s v="EC-C510000120" u="1"/>
        <s v="PA-818353" u="1"/>
        <s v="EC-C506000200" u="1"/>
        <s v="SU-282-23521-H7" u="1"/>
        <s v="EC-12300057731" u="1"/>
        <s v="EC-C510000220" u="1"/>
        <s v="OT-74-02-331" u="1"/>
        <s v="EC-A052000370" u="1"/>
        <s v="EC-A056000170" u="1"/>
        <s v="EC-10021227930" u="1"/>
        <s v="EC-CS-620P-60LA" u="1"/>
        <s v="EC-C020000010" u="1"/>
        <s v="EC-C504000500" u="1"/>
        <s v="EC-A052000470" u="1"/>
        <s v="EC-A021002190" u="1"/>
        <s v="EC-C022000010" u="1"/>
        <s v="MOT-53" u="1"/>
        <s v="JF-03.100094" u="1"/>
        <s v="EC-SHP-800-2" u="1"/>
        <s v="EC-17720360930" u="1"/>
        <s v="ASAB-300A" u="1"/>
        <s v="EC-E164000100" u="1"/>
        <s v="EC-C504000700" u="1"/>
        <s v="OT-VANG18HP" u="1"/>
        <s v="EC-80187" u="1"/>
        <s v="BR-CAT-31238-00" u="1"/>
        <s v="EC-A021002690" u="1"/>
        <s v="EC-28820-08000" u="1"/>
        <s v="F-007" u="1"/>
        <s v="PTNUFFAGR-LIT" u="1"/>
        <s v="EC-V043000600" u="1"/>
        <s v="EC-10024216430" u="1"/>
        <s v="EC-V555000150" u="1"/>
        <s v="EC-E165000600" u="1"/>
        <s v="SU-282-79401-11" u="1"/>
        <s v="EC-9242432000" u="1"/>
        <s v="EC-10101016431" u="1"/>
        <s v="SH-20010-41330" u="1"/>
        <s v="EURO-00013" u="1"/>
        <s v="EURO-40011" u="1"/>
        <s v="INCO-9511900" u="1"/>
        <s v="SU-277-63601-23" u="1"/>
        <s v="EC-E105000001" u="1"/>
        <s v="EC-A504000110" u="1"/>
        <s v="PTINCOGGB-10G" u="1"/>
        <s v="EC-90003150100" u="1"/>
        <s v="EC-A160001650" u="1"/>
        <s v="EC-A172001270" u="1"/>
        <s v="EC-P033000000" u="1"/>
        <s v="SHDW-013" u="1"/>
        <s v="EC-C044000450" u="1"/>
        <s v="EC-C531000960" u="1"/>
        <s v="EC-C535000760" u="1"/>
        <s v="EC-X411000950" u="1"/>
        <s v="EC-P022034780" u="1"/>
        <s v="EC-C057000070" u="1"/>
        <s v="EC-C535000860" u="1"/>
        <s v="EC-C534000960" u="1"/>
        <s v="EC-P021010642" u="1"/>
        <s v="EC-A514000130" u="1"/>
        <s v="EC-A506000410" u="1"/>
        <s v="EC-A514000230" u="1"/>
        <s v="JF-05.00133" u="1"/>
        <s v="CO-006" u="1"/>
        <s v="SO-21171-2157" u="1"/>
        <s v="EC-73LGX98X" u="1"/>
        <s v="EC-17722040630" u="1"/>
        <s v="EC-A020000220" u="1"/>
        <s v="EC-A021000220" u="1"/>
        <s v="EURO-00030" u="1"/>
        <s v="EC-17500549930" u="1"/>
        <s v="EC-4036722" u="1"/>
        <s v="EC-10103456532" u="1"/>
        <s v="BCS-55256836" u="1"/>
        <s v="PTNUFFSIL-19LIT" u="1"/>
        <s v="EC-P004002520" u="1"/>
        <s v="BCS-92248334" u="1"/>
        <s v="EC-70602028970" u="1"/>
        <s v="EC-20091603210" u="1"/>
        <s v="BCS-58150313" u="1"/>
        <s v="JF-05.032192" u="1"/>
        <s v="EC-P003003160" u="1"/>
        <s v="EC-P004002820" u="1"/>
        <s v="EC-C501000010" u="1"/>
        <s v="EC-7061702772E" u="1"/>
        <s v="PTNUCOAGV-250CC" u="1"/>
        <s v="EC-A130001000" u="1"/>
        <s v="IN-039" u="1"/>
        <s v="EC-P021036463" u="1"/>
        <s v="EC-569021" u="1"/>
        <s v="SU-021-70600-30" u="1"/>
        <s v="PTPLFULET-LIT" u="1"/>
        <s v="EC-A052000180" u="1"/>
        <s v="SHDW-014" u="1"/>
        <s v="EC-12411405530" u="1"/>
        <s v="EC-A021001660" u="1"/>
        <s v="EC-16340032430" u="1"/>
        <s v="EC-A052000380" u="1"/>
        <s v="EC-A056000180" u="1"/>
        <s v="EC-12300038832" u="1"/>
        <s v="EC-A162000020" u="1"/>
        <s v="PTNUCOOPW-LIT" u="1"/>
        <s v="EC-90080006000" u="1"/>
        <s v="EC-C022000020" u="1"/>
        <s v="EC-17721835430" u="1"/>
        <s v="EC-16340035430" u="1"/>
        <s v="EC-P021033250" u="1"/>
        <s v="EC-C022000120" u="1"/>
        <s v="IN-139" u="1"/>
        <s v="EC-30011114010" u="1"/>
        <s v="PTACCOABM-LIT" u="1"/>
        <s v="IN-00102" u="1"/>
        <s v="EC-P021017990" u="1"/>
        <s v="EC-43021531733" u="1"/>
        <s v="EURO-00027" u="1"/>
        <s v="EC-22200001110" u="1"/>
        <s v="PTHECOGLF-250CC" u="1"/>
        <s v="EURO-36343" u="1"/>
        <s v="INCO-9031910" u="1"/>
        <s v="EC-61032052130" u="1"/>
        <s v="P-0012" u="1"/>
        <s v="EC-21560056" u="1"/>
        <s v="EURO-40211" u="1"/>
        <s v="SU-064-13600-10" u="1"/>
        <s v="EC-13030020960" u="1"/>
        <s v="PTNUCOFER-LIT" u="1"/>
        <s v="EC-99944200595" u="1"/>
        <s v="EC-61042606560" u="1"/>
        <s v="EC-12310052130" u="1"/>
        <s v="EC-17722827030" u="1"/>
        <s v="JACTO-1182196" u="1"/>
        <s v="EURO-39091" u="1"/>
        <s v="SHDW-015" u="1"/>
        <s v="EC-C535000770" u="1"/>
        <s v="JF-265" u="1"/>
        <s v="SU-X85-10613-52" u="1"/>
        <s v="EC-X411000960" u="1"/>
        <s v="EC-32D8PS3805" u="1"/>
        <s v="SHDW-045" u="1"/>
        <s v="EC-70617019061" u="1"/>
        <s v="EC-17720016431" u="1"/>
        <s v="EC-A509000320" u="1"/>
        <s v="EC-V401000050" u="1"/>
        <s v="EURO-700" u="1"/>
        <s v="JF-002" u="1"/>
        <s v="ASAB-W-2D-3" u="1"/>
        <s v="EC-C670000070" u="1"/>
        <s v="SU-480-05010-01" u="1"/>
        <s v="EC-A023000230" u="1"/>
        <s v="EC-70617050720" u="1"/>
        <s v="SU-263-23301-33" u="1"/>
        <s v="EC-V401000350" u="1"/>
        <s v="EC-A011000810" u="1"/>
        <s v="EURO-40909" u="1"/>
        <s v="PTNUCOFLO-KIL" u="1"/>
        <s v="EC-14571130830" u="1"/>
        <s v="SU-480-05010-02" u="1"/>
        <s v="IN-00103" u="1"/>
        <s v="EC-V401000450" u="1"/>
        <s v="EC-SRM-2305/ULA" u="1"/>
        <s v="EC-A030000250" u="1"/>
        <s v="EC-P004002730" u="1"/>
        <s v="PTNUAGAGF-250CC" u="1"/>
        <s v="EURO-40843" u="1"/>
        <s v="EC-21250101111" u="1"/>
        <s v="EC-43301116430" u="1"/>
        <s v="SU-480-05010-04" u="1"/>
        <s v="EURO-40311" u="1"/>
        <s v="SU-281-23521-H7" u="1"/>
        <s v="JF-03.046449" u="1"/>
        <s v="EC-70617038721" u="1"/>
        <s v="SU-277-15001-33" u="1"/>
        <s v="SHDW-016" u="1"/>
        <s v="EC-108636-10" u="1"/>
        <s v="EC-A052000290" u="1"/>
        <s v="SHDW-036" u="1"/>
        <s v="JF-03.046499" u="1"/>
        <s v="EURO-39088" u="1"/>
        <s v="EURO-36274" u="1"/>
        <s v="EC-C504000620" u="1"/>
        <s v="EC-C022000130" u="1"/>
        <s v="EC-C504000720" u="1"/>
        <s v="PTNUFFAGB-LIT" u="1"/>
        <s v="SU-480-05010-09" u="1"/>
        <s v="SU-277-36913-13" u="1"/>
        <s v="SU-281-79401-11" u="1"/>
        <s v="EC-89757005560" u="1"/>
        <s v="SU-279-50301-20" u="1"/>
        <s v="EC-V043000420" u="1"/>
        <s v="EC-12313419730" u="1"/>
        <s v="EC-70602049A20" u="1"/>
        <s v="EC-43021530833" u="1"/>
        <s v="EC-A175000150" u="1"/>
        <s v="EC-43710038832" u="1"/>
        <s v="BR-CAT-70973" u="1"/>
        <s v="INCO-9051910" u="1"/>
        <s v="SU-277-20901-51" u="1"/>
        <s v="EC-13192311120" u="1"/>
        <s v="EC-43302116430" u="1"/>
        <s v="SU-20B-62434-08" u="1"/>
        <s v="EC-38201312620" u="1"/>
        <s v="EC-C535000480" u="1"/>
        <s v="EC-13001743130" u="1"/>
        <s v="ARS-SH-VSZ" u="1"/>
        <s v="EC-70616015430" u="1"/>
        <s v="EC-C534000680" u="1"/>
        <s v="EURO-10069-2M" u="1"/>
        <s v="EC-69621206032" u="1"/>
        <s v="EC-P004001300" u="1"/>
        <s v="SU-20B-35201-13" u="1"/>
        <s v="CO-005" u="1"/>
        <s v="EC-A011000120" u="1"/>
        <s v="EC-13031703710" u="1"/>
        <s v="EC-C531000980" u="1"/>
        <s v="EC-C535000780" u="1"/>
        <s v="EC-A506000230" u="1"/>
        <s v="SHDW-037" u="1"/>
        <s v="EC-A511000250" u="1"/>
        <s v="EC-17722035430" u="1"/>
        <s v="01-00102" u="1"/>
        <s v="EC-A518000050" u="1"/>
        <s v="SU-056-51600-10" u="1"/>
        <s v="SANYO-0395" u="1"/>
        <s v="EC-C044000870" u="1"/>
        <s v="EC-A520000170" u="1"/>
        <s v="PTFUORBIO-LIT" u="1"/>
        <s v="PTFUCOSKK-100G" u="1"/>
        <s v="EC-A011000720" u="1"/>
        <s v="EC-70613005230" u="1"/>
        <s v="PA-809981" u="1"/>
        <s v="EURO-001-F" u="1"/>
        <s v="EC-A011001060" u="1"/>
        <s v="PTFUCOSKK-200G" u="1"/>
        <s v="EC-V401000360" u="1"/>
        <s v="IKRA-77033951-EC" u="1"/>
        <s v="EC-V510000000" u="1"/>
        <s v="EURO-40139" u="1"/>
        <s v="EURO-36989" u="1"/>
        <s v="EC-V152002340" u="1"/>
        <s v="EC-V513000000" u="1"/>
        <s v="SH-20021-81920" u="1"/>
        <s v="PTFUCOSKK-500G" u="1"/>
        <s v="EC-BOM-PRUEBA" u="1"/>
        <s v="EC-P004002640" u="1"/>
        <s v="PTNUCOEPG-LIT" u="1"/>
        <s v="IN-038" u="1"/>
        <s v="EC-27001806210" u="1"/>
        <s v="EC-P022002080" u="1"/>
        <s v="EC-X047000520" u="1"/>
        <s v="INCO-9061910" u="1"/>
        <s v="EC-10101161230" u="1"/>
        <s v="EC-10021219830" u="1"/>
        <s v="SU-20B-35601-H1" u="1"/>
        <s v="JF-064" u="1"/>
        <s v="EC-99944100484" u="1"/>
        <s v="PTFUORBIO-20LIT" u="1"/>
        <s v="EC-A130001020" u="1"/>
        <s v="EC-2216982420" u="1"/>
        <s v="EC-70602041720" u="1"/>
        <s v="EC-A021001580" u="1"/>
        <s v="EC-A021001680" u="1"/>
        <s v="EURO-39008" u="1"/>
        <s v="SHDW-038" u="1"/>
        <s v="SHDW-048" u="1"/>
        <s v="EC-17724214730" u="1"/>
        <s v="EC-P021012831" u="1"/>
        <s v="EURO-36474" u="1"/>
        <s v="EC-C021000040" u="1"/>
        <s v="SU-279-99001-07" u="1"/>
        <s v="SH-713545" u="1"/>
        <s v="EC-X600000111" u="1"/>
        <s v="EC-A171000060" u="1"/>
        <s v="EC-88198-S" u="1"/>
        <s v="EURO-41090" u="1"/>
        <s v="P-0011" u="1"/>
        <s v="EC-V043000530" u="1"/>
        <s v="EC-PPT-266LA" u="1"/>
        <s v="EC-12314103930" u="1"/>
        <s v="EURO-10492" u="1"/>
        <s v="EURO-39025" u="1"/>
        <s v="EC-43700237530" u="1"/>
        <s v="SU-252-23501-17" u="1"/>
        <s v="EC-DMAD-4610EUSTD" u="1"/>
        <s v="PTHECOKEM-LIT" u="1"/>
        <s v="EC-V651000600" u="1"/>
        <s v="EURO-POL5" u="1"/>
        <s v="EC-V651000700" u="1"/>
        <s v="EC-P005001110" u="1"/>
        <s v="EURO-10069-3M" u="1"/>
        <s v="EC-C044000480" u="1"/>
        <s v="EC-P021014700" u="1"/>
        <s v="EC-C535000790" u="1"/>
        <s v="SU-282-23411-H3" u="1"/>
        <s v="PA-818226" u="1"/>
        <s v="SHDW-039" u="1"/>
        <s v="EC-P004001510" u="1"/>
        <s v="EC-C535000990" u="1"/>
        <s v="SU-279-62411-08" u="1"/>
        <s v="EC-A520000080" u="1"/>
        <s v="IN-086" u="1"/>
        <s v="SU-279-42301-60" u="1"/>
        <s v="EC-A500000840" u="1"/>
        <s v="EC-12438012710" u="1"/>
        <s v="BCS-92380270" u="1"/>
        <s v="EC-V401000170" u="1"/>
        <s v="EC-P021029730" u="1"/>
        <s v="EC-90050300006" u="1"/>
        <s v="EC-13001755630" u="1"/>
        <s v="OT-854" u="1"/>
        <s v="EC-A027000150" u="1"/>
        <s v="EC-10010160931" u="1"/>
        <s v="EC-A011000830" u="1"/>
        <s v="EC-V510000010" u="1"/>
        <s v="EC-10020457031" u="1"/>
        <s v="EC-12534107360" u="1"/>
        <s v="EC-A033000070" u="1"/>
        <s v="EC-A021000550" u="1"/>
        <s v="EC-A030000270" u="1"/>
        <s v="EC-E034000060" u="1"/>
        <s v="EC-A011001270" u="1"/>
        <s v="EC-P004002550" u="1"/>
        <s v="EC-B45INTL" u="1"/>
        <s v="EC-13040538332" u="1"/>
        <s v="EC-P022002090" u="1"/>
        <s v="EC-A030000570" u="1"/>
        <s v="JF-278" u="1"/>
        <s v="EC-25021111610" u="1"/>
        <s v="EC-90022006014" u="1"/>
        <s v="AM-001" u="1"/>
        <s v="EC-10091516430" u="1"/>
        <s v="EC-12900643130" u="1"/>
        <s v="EC-12312232630" u="1"/>
        <s v="EC-10020430833" u="1"/>
        <s v="EC-17800151030" u="1"/>
        <s v="JF-05.035274" u="1"/>
        <s v="EC-21002300210" u="1"/>
        <s v="EC-99909-55113" u="1"/>
        <s v="EC-99909-160" u="1"/>
        <s v="EC-12411411120" u="1"/>
        <s v="EURO-00012" u="1"/>
        <s v="EC-C504000740" u="1"/>
        <s v="EC-22010501610" u="1"/>
        <s v="EC-10101030830" u="1"/>
        <s v="EC-38402612620" u="1"/>
        <s v="EURO-41010" u="1"/>
        <s v="EC-P021033480" u="1"/>
        <s v="SUB-EX 17" u="1"/>
        <s v="EC-P021007772" u="1"/>
        <s v="EC-A369000101" u="1"/>
        <s v="EC-STSHINLIT" u="1"/>
        <s v="EC-14586130830" u="1"/>
        <s v="EC-V043000540" u="1"/>
        <s v="PTNUFFBOR-LIT" u="1"/>
        <s v="EC-43721139133" u="1"/>
        <s v="EC-10091035630" u="1"/>
        <s v="SU-252-23502-17" u="1"/>
        <s v="EC-9404506200" u="1"/>
        <s v="EC-17722010631" u="1"/>
        <s v="EC-A160001490" u="1"/>
        <s v="EC-ECHO" u="1"/>
        <s v="EC-PHP-800/B" u="1"/>
        <s v="EURO-10069-4M" u="1"/>
        <s v="JF-05.000260" u="1"/>
        <s v="EURO-40708" u="1"/>
        <s v="EC-70602016970" u="1"/>
        <s v="EC-A014000040" u="1"/>
        <s v="OT-705" u="1"/>
        <s v="EC-15280156530" u="1"/>
        <s v="EC-P021010596" u="1"/>
        <s v="EC-P021015350" u="1"/>
        <s v="EC-70616002061" u="1"/>
        <s v="EURO-DISPLAY" u="1"/>
        <s v="ASAB-AP-1" u="1"/>
        <s v="BCS-92380271" u="1"/>
        <s v="EC-V102000001" u="1"/>
        <s v="EC-13030013411" u="1"/>
        <s v="EC-A023000160" u="1"/>
        <s v="EC-70617047620" u="1"/>
        <s v="EURO-40390" u="1"/>
        <s v="EC-99909-55130" u="1"/>
        <s v="EC-9242428000" u="1"/>
        <s v="PTFUCOBUC-250CC" u="1"/>
        <s v="EC-A011000840" u="1"/>
        <s v="EC-V510000020" u="1"/>
        <s v="JF-02.055600" u="1"/>
        <s v="EC-V509000000" u="1"/>
        <s v="EURO-00009" u="1"/>
        <s v="EC-A033000280" u="1"/>
        <s v="EC-P004002860" u="1"/>
        <s v="PTNUCOPRO-KIL" u="1"/>
        <s v="PA-817216" u="1"/>
        <s v="EC-P004002960" u="1"/>
        <s v="PTNUCOCAL-500CC" u="1"/>
        <s v="EC-17721830830" u="1"/>
        <s v="EC-16340030830" u="1"/>
        <s v="EURO-40808" u="1"/>
        <s v="EC-A130001340" u="1"/>
        <s v="SU-227-14202-03" u="1"/>
        <s v="EC-90010905010" u="1"/>
        <s v="EC-35161638130" u="1"/>
        <s v="SU-253-31701-11" u="1"/>
        <s v="EURO-00026" u="1"/>
        <s v="EURO-40024" u="1"/>
        <s v="EC-C504000550" u="1"/>
        <s v="SU-227-42301-11" u="1"/>
        <s v="EC-12311215030" u="1"/>
        <s v="EC-12312540630" u="1"/>
        <s v="OT-1041" u="1"/>
        <s v="EURO-36239" u="1"/>
        <s v="OT-72LPX" u="1"/>
        <s v="EC-V043000550" u="1"/>
        <s v="EC-20D8TW3872" u="1"/>
        <s v="EC-A175000180" u="1"/>
        <s v="EC-30100156831" u="1"/>
        <s v="EC-S28H8TW3892" u="1"/>
        <s v="EC-10001101110" u="1"/>
        <s v="EC-91101" u="1"/>
        <s v="SU-252-23503-17" u="1"/>
        <s v="EC-V651000520" u="1"/>
        <s v="EC-P021014320" u="1"/>
        <s v="SU-20B-42201-01" u="1"/>
        <s v="SU-281-23411-H3" u="1"/>
        <s v="EC-P021028610" u="1"/>
        <s v="EC-V356000352" u="1"/>
        <s v="JACTO-1200332" u="1"/>
        <s v="EC-P005001130" u="1"/>
        <s v="EC-17722830830" u="1"/>
        <s v="EC-C450000022" u="1"/>
        <s v="EURO-36508" u="1"/>
        <s v="PTPLHEBIS-100CC" u="1"/>
        <s v="EC-A011000150" u="1"/>
        <s v="EC-P004001430" u="1"/>
        <s v="EC-A506000260" u="1"/>
        <s v="EC-13040622360" u="1"/>
        <s v="EC-A011000250" u="1"/>
        <s v="EC-10010030830" u="1"/>
        <s v="EC-70616017870" u="1"/>
        <s v="EURO-CANALIZADO" u="1"/>
        <s v="EC-A514000180" u="1"/>
        <s v="EC-12300060930" u="1"/>
        <s v="BR-CAT-71247" u="1"/>
        <s v="EC-14551006211" u="1"/>
        <s v="EC-61001222361" u="1"/>
        <s v="ARS-GR-17" u="1"/>
        <s v="EC-10152130832" u="1"/>
        <s v="EC-17723661830" u="1"/>
        <s v="EC-E025000260" u="1"/>
        <s v="EC-V401000390" u="1"/>
        <s v="EC-A030000190" u="1"/>
        <s v="EC-V510000030" u="1"/>
        <s v="OR-206045" u="1"/>
        <s v="EC-V508000010" u="1"/>
        <s v="IN-33" u="1"/>
        <s v="EC-E025000560" u="1"/>
        <s v="BCS-92244806" u="1"/>
        <s v="PTPLFUBOT-LIT" u="1"/>
        <s v="EC-17504656030" u="1"/>
        <s v="EC-A021000684" u="1"/>
        <s v="EC-SP40BPS" u="1"/>
        <s v="EC-P004002870" u="1"/>
        <s v="EC-70602037620" u="1"/>
        <s v="EC-569024" u="1"/>
        <s v="EC-A130001150" u="1"/>
        <s v="SU-20B-23401-J3" u="1"/>
        <s v="EC-A130000910" u="1"/>
        <s v="EC-C506000160" u="1"/>
        <s v="SU-277-50301-20" u="1"/>
        <s v="PTPLFUSCO-LIT" u="1"/>
        <s v="EC-43171730230" u="1"/>
        <s v="SANYO-0377" u="1"/>
        <s v="EC-C020000070" u="1"/>
        <s v="EC-C504000560" u="1"/>
        <s v="PTNUCOAGV-GLN" u="1"/>
        <s v="OT-99909-55133" u="1"/>
        <s v="EURO-17011" u="1"/>
        <s v="EC-AP004001950" u="1"/>
        <s v="EC-A130001750" u="1"/>
        <s v="EC-10091030830" u="1"/>
        <s v="EC-A0300001100" u="1"/>
        <s v="EC-36301100210" u="1"/>
        <s v="EC-90050000005" u="1"/>
        <s v="EC-4048451" u="1"/>
        <s v="SU-279-23511-17" u="1"/>
        <s v="EC-V652000030" u="1"/>
        <s v="PTACLUGUL-GAL" u="1"/>
        <s v="JF-02.070822" u="1"/>
        <s v="EC-17800159230" u="1"/>
        <s v="EC-36301900310" u="1"/>
        <s v="EC-V043000560" u="1"/>
        <s v="JF-02.070842" u="1"/>
        <s v="PTFUCOBFT-100CC" u="1"/>
        <s v="EC-10021338330" u="1"/>
        <s v="JA-002" u="1"/>
        <s v="JF-02.070862" u="1"/>
        <s v="EC-99944100475" u="1"/>
        <s v="EC-GP450INTL" u="1"/>
        <s v="EC-P004000700" u="1"/>
        <s v="PTFUCOBFT-500CC" u="1"/>
        <s v="PTFUCOPCHA-500G" u="1"/>
        <s v="EC-P005001140" u="1"/>
        <s v="EC-P004001340" u="1"/>
        <s v="EC-12300055630" u="1"/>
        <s v="IN-63" u="1"/>
        <s v="EC-A506000270" u="1"/>
        <s v="EC-P021045020" u="1"/>
        <s v="PTHECOGLF-GLN" u="1"/>
        <s v="EC-30002906210" u="1"/>
        <s v="SU-279-62414-08" u="1"/>
        <s v="EC-A020000080" u="1"/>
        <s v="EC-P021009461" u="1"/>
        <s v="EC-17504903920" u="1"/>
        <s v="IKRA-11020115" u="1"/>
        <s v="BR-CAT-71248" u="1"/>
        <s v="EURO-90004" u="1"/>
        <s v="EURO-40072" u="1"/>
        <s v="EC-61020643131" u="1"/>
        <s v="EURO-39110" u="1"/>
        <s v="EC-P004001940" u="1"/>
        <s v="EC-12438055430" u="1"/>
        <s v="EC-9311503010" u="1"/>
        <s v="SU-480-08010-01" u="1"/>
        <s v="EC-A011000860" u="1"/>
        <s v="PTNUCORFT-500CC" u="1"/>
        <s v="EC-35810001111" u="1"/>
        <s v="ROD-69002RS" u="1"/>
        <s v="SU-277-43801-01" u="1"/>
        <s v="EC-P004002680" u="1"/>
        <s v="EC-70616029260" u="1"/>
        <s v="EC-P050009310" u="1"/>
        <s v="EC-C501000070" u="1"/>
        <s v="EC-17500660730" u="1"/>
        <s v="EC-43301416430" u="1"/>
        <s v="EC-17500942231" u="1"/>
        <s v="EC-70602038720" u="1"/>
        <s v="SU-20B-32901-K1" u="1"/>
        <s v="SU-282-51260-11" u="1"/>
        <s v="EC-13211556230" u="1"/>
        <s v="EC-17720212220" u="1"/>
        <s v="EC-70602039720" u="1"/>
        <s v="EC-P021032670" u="1"/>
        <s v="BR-CAT-18551-00" u="1"/>
        <s v="EC-4557850" u="1"/>
        <s v="EURO-39024" u="1"/>
        <s v="EC-A162000180" u="1"/>
        <s v="EC-99909-207" u="1"/>
        <s v="EC-C504000770" u="1"/>
        <s v="PTNUFFSIL-500CC" u="1"/>
        <s v="SU-481-00001-08" u="1"/>
        <s v="BCS-38110873" u="1"/>
        <s v="EC-70604003770" u="1"/>
        <s v="SU-480-08010-09" u="1"/>
        <s v="SU-279-23512-17" u="1"/>
        <s v="EC-25000105610" u="1"/>
        <s v="EC-C630000150" u="1"/>
        <s v="EC-14551055932" u="1"/>
        <s v="EC-SRM-3605/ULA" u="1"/>
        <s v="SU-282-23311-H3" u="1"/>
        <s v="EC-43760532430" u="1"/>
        <s v="EC-43301060931" u="1"/>
        <s v="JF-02.081227" u="1"/>
        <s v="SU-268-23301-13" u="1"/>
        <s v="EC-V043000870" u="1"/>
        <s v="EURO-450" u="1"/>
        <s v="EC-V651000540" u="1"/>
        <s v="PTFUCOPLAC-LIT" u="1"/>
        <s v="EC-P021014440" u="1"/>
        <s v="EC-70616009A70" u="1"/>
        <s v="EC-38201612620" u="1"/>
        <s v="EC-12312032631" u="1"/>
        <s v="EC-P005001150" u="1"/>
        <s v="EC-A506000080" u="1"/>
        <s v="EC-C450000042" u="1"/>
        <s v="EC-P021028830" u="1"/>
        <s v="JF-02.081277" u="1"/>
        <s v="EC-10090519830" u="1"/>
        <s v="SU-266-31701-13" u="1"/>
        <s v="SU-277-36911-00" u="1"/>
        <s v="JF-02.051081" u="1"/>
        <s v="SU-277-15503-01" u="1"/>
        <s v="EC-12213700230" u="1"/>
        <s v="EURO-40710" u="1"/>
        <s v="EC-P003002190" u="1"/>
        <s v="EC-12436312710" u="1"/>
        <s v="EC-V105000031" u="1"/>
        <s v="EC-A011000770" u="1"/>
        <s v="EC-6450061" u="1"/>
        <s v="SU-277-36911-03" u="1"/>
        <s v="EC-P021015780" u="1"/>
        <s v="EC-DM-6110-13EUSTD" u="1"/>
        <s v="EC-SRM-4605/ULA" u="1"/>
        <s v="SH-813010" u="1"/>
        <s v="EC-90060500004" u="1"/>
        <s v="EC-91032" u="1"/>
        <s v="EC-A130000430" u="1"/>
        <s v="SU-268-33501-03" u="1"/>
        <s v="EC-10101160730" u="1"/>
        <s v="EC-91116" u="1"/>
        <s v="PTNUCOCIT-100CC" u="1"/>
        <s v="EURO-00011" u="1"/>
        <s v="EC-V299000410" u="1"/>
        <s v="EC-61091051830" u="1"/>
        <s v="CR-115" u="1"/>
        <s v="EC-A130001070" u="1"/>
        <s v="EC-4070981" u="1"/>
        <s v="EC-17720060934" u="1"/>
        <s v="SU-227-32650-H0" u="1"/>
        <s v="EC-99944200540" u="1"/>
        <s v="BR-CAT-12390" u="1"/>
        <s v="EC-12311212330" u="1"/>
        <s v="EC-43301403931" u="1"/>
        <s v="JF-02.045510" u="1"/>
        <s v="EC-V495001201" u="1"/>
        <s v="EC-P021012781" u="1"/>
        <s v="JF-02.045520" u="1"/>
        <s v="JF-02.045530" u="1"/>
        <s v="EC-A162000190" u="1"/>
        <s v="EC-C022000090" u="1"/>
        <s v="BCS-55243340" u="1"/>
        <s v="EC-A130001670" u="1"/>
        <s v="SU-279-35602-H1" u="1"/>
        <s v="SU-EH12-2DPR" u="1"/>
        <s v="EC-4525920" u="1"/>
        <s v="EC-70602004970" u="1"/>
        <s v="JF-027" u="1"/>
        <s v="EC-V652000050" u="1"/>
        <s v="JA-001" u="1"/>
        <s v="EC-12313719830" u="1"/>
        <s v="P-003" u="1"/>
        <s v="EC-V655000050" u="1"/>
        <s v="EC-13031039132" u="1"/>
        <s v="EC-91043" u="1"/>
        <s v="EURO-36055" u="1"/>
        <s v="EC-V651000450" u="1"/>
        <s v="G-0012" u="1"/>
        <s v="EC-V651000550" u="1"/>
        <s v="EC-70602009970" u="1"/>
        <s v="EC-A202000011" u="1"/>
        <s v="EC-10092139131" u="1"/>
        <s v="EC-P005001160" u="1"/>
        <s v="PTNUCOZIN-GLN" u="1"/>
        <s v="EC-A504000190" u="1"/>
        <s v="EC-P021028840" u="1"/>
        <s v="EC-P004001360" u="1"/>
        <s v="EC-61030056930" u="1"/>
        <s v="EC-9711141" u="1"/>
        <s v="EC-A509000190" u="1"/>
        <s v="EC-P021015190" u="1"/>
        <s v="EURO-36324" u="1"/>
        <s v="EC-P021015290" u="1"/>
        <s v="EC-C460000072" u="1"/>
        <s v="EC-E127000010" u="1"/>
        <s v="SU-277-36902-03" u="1"/>
        <s v="EC-P021045540" u="1"/>
        <s v="EC-17501830830" u="1"/>
        <s v="EC-35121452931" u="1"/>
        <s v="EC-V505000140" u="1"/>
        <s v="EC-21003604110" u="1"/>
        <s v="EC-91004" u="1"/>
        <s v="EC-4575700" u="1"/>
        <s v="EC-21560031" u="1"/>
        <s v="SU-276-99001-07" u="1"/>
        <s v="EC-91024" u="1"/>
        <s v="EURO-36049-1M" u="1"/>
        <s v="EC-91044" u="1"/>
        <s v="PTFICOAFX-LIT" u="1"/>
        <s v="EURO-00025" u="1"/>
        <s v="SU-281-51260-11" u="1"/>
        <s v="EC-P050009330" u="1"/>
        <s v="EC-C501000090" u="1"/>
        <s v="EC-90024204012" u="1"/>
        <s v="EC-C503000090" u="1"/>
        <s v="EC-V299000420" u="1"/>
        <s v="EC-A350000131" u="1"/>
        <s v="BCS-38213800" u="1"/>
        <s v="PTNUCOCBI-200G" u="1"/>
        <s v="EURO-40106" u="1"/>
        <s v="EC-A356000031" u="1"/>
        <s v="EC-P021012791" u="1"/>
        <s v="MOT-005" u="1"/>
        <s v="EC-99944900260" u="1"/>
        <s v="EC-470001490" u="1"/>
        <s v="EC-ETISHINXLTB" u="1"/>
        <s v="SU-282-35901-03" u="1"/>
        <s v="EC-C504000690" u="1"/>
        <s v="EC-V641000140" u="1"/>
        <s v="EC-99909-185" u="1"/>
        <s v="EC-A130001780" u="1"/>
        <s v="EURO-2000" u="1"/>
        <s v="EC-V150000030" u="1"/>
        <s v="EC-99909-229" u="1"/>
        <s v="EC-90029204018" u="1"/>
        <s v="EC-17809037930" u="1"/>
        <s v="EURO-330" u="1"/>
        <s v="EC-91015" u="1"/>
        <s v="EC-P021027910" u="1"/>
        <s v="SU-20B-31601-11" u="1"/>
        <s v="EC-P004000430" u="1"/>
        <s v="EC-V353000192" u="1"/>
        <s v="EC-91045" u="1"/>
        <s v="SU-227-62410-08" u="1"/>
        <s v="EC-V651000460" u="1"/>
        <s v="EURO-10070-2M" u="1"/>
        <s v="EC-12435521330" u="1"/>
        <s v="EC-91139" u="1"/>
        <s v="EC-13031303712" u="1"/>
        <s v="SU-065-50000-81" u="1"/>
        <s v="EC-P004000930" u="1"/>
        <s v="EC-P005001170" u="1"/>
        <s v="EC-CS-600-60LA" u="1"/>
        <s v="SU-20B-23501-07" u="1"/>
        <s v="EC-P021028850" u="1"/>
        <s v="EC-70602018220" u="1"/>
        <s v="SU-277-15001-23" u="1"/>
        <s v="EC-P021039241" u="1"/>
        <s v="EC-13001005960" u="1"/>
        <s v="EC-17810009061" u="1"/>
        <s v="EC-70604001A61" u="1"/>
        <s v="EURO-36272" u="1"/>
        <s v="JF-02.055541" u="1"/>
        <s v="JF-012" u="1"/>
        <s v="ARS-SE-45" u="1"/>
        <s v="EC-V508000050" u="1"/>
        <s v="EC-P021031560" u="1"/>
        <s v="EC-61031307132" u="1"/>
        <s v="SU-281-30101-N1" u="1"/>
        <s v="EC-17800143230" u="1"/>
        <s v="EC-A130000550" u="1"/>
        <s v="PTNUCOCAL-250CC" u="1"/>
        <s v="EC-43710019832" u="1"/>
        <s v="EC-10091016430" u="1"/>
        <s v="EC-CS-510-50LA" u="1"/>
        <s v="EC-V299000430" u="1"/>
        <s v="JF-02.043906" u="1"/>
        <s v="PTFUCORID-100CC" u="1"/>
        <s v="EC-99944200600" u="1"/>
        <s v="JACTO-559088" u="1"/>
        <s v="SU-277-23501-17" u="1"/>
        <s v="PTFUCORID-200CC" u="1"/>
        <s v="EC-569007" u="1"/>
        <s v="EC-12415846630" u="1"/>
        <s v="EC-35131122431" u="1"/>
        <s v="EC-A130001390" u="1"/>
        <s v="PTFUCORID-400CC" u="1"/>
        <s v="EC-99909-156" u="1"/>
        <s v="PTFUCORID-500CC" u="1"/>
        <s v="EC-MKT0900214" u="1"/>
        <s v="EC-99988801510" u="1"/>
        <s v="EC-V641000150" u="1"/>
        <s v="SU-056-51400-10" u="1"/>
        <s v="SANYO-0393" u="1"/>
        <s v="SU-279-33601-03" u="1"/>
        <s v="EC-P003000240" u="1"/>
        <s v="PTFUCOPLAC-250CC" u="1"/>
        <s v="BR-CAT-72493" u="1"/>
        <s v="EC-V652000170" u="1"/>
        <s v="EC-P021027920" u="1"/>
        <s v="EC-SHINDAIWA" u="1"/>
        <s v="EC-P004000440" u="1"/>
        <s v="CO-0010" u="1"/>
        <s v="EC-17500955931" u="1"/>
        <s v="EC-90025304014" u="1"/>
        <s v="EC-91077" u="1"/>
        <s v="EC-A101000000" u="1"/>
        <s v="PA-817201" u="1"/>
        <s v="EC-91097" u="1"/>
        <s v="EC-P003000840" u="1"/>
        <s v="EC-P005001080" u="1"/>
        <s v="EC-13101064931" u="1"/>
        <s v="EC-99944100483" u="1"/>
        <s v="EC-A101000300" u="1"/>
        <s v="EC-A101000400" u="1"/>
        <s v="SU-277-35201-13" u="1"/>
        <s v="OT-A90" u="1"/>
        <s v="EC-6450009" u="1"/>
        <s v="EC-10151142230" u="1"/>
        <s v="EURO-10473" u="1"/>
        <s v="EC-10001132431" u="1"/>
        <s v="EC-102922452" u="1"/>
        <s v="EC-13100546831" u="1"/>
        <s v="OT-0010" u="1"/>
        <s v="SH-20021-96601" u="1"/>
        <s v="EC-X640000150" u="1"/>
        <s v="EC-V000000130" u="1"/>
        <s v="EC-12312515030" u="1"/>
        <s v="EC-88521" u="1"/>
        <s v="PA-814716" u="1"/>
        <s v="EC-90080400608" u="1"/>
        <s v="EC-88551" u="1"/>
        <s v="EC-35701501110" u="1"/>
        <s v="SU-277-43501-13" u="1"/>
        <s v="EC-70602032010" u="1"/>
        <s v="EC-450093990" u="1"/>
        <s v="EC-12534408560" u="1"/>
        <s v="SU-277-37101-03" u="1"/>
        <s v="EC-P050009350" u="1"/>
        <s v="PA-817211" u="1"/>
        <s v="PTPLINANI-100CC" u="1"/>
        <s v="IKRA-71206200-CL" u="1"/>
        <s v="EC-V131000010" u="1"/>
        <s v="EC-12411305910" u="1"/>
        <s v="SU-277-23512-17" u="1"/>
        <s v="EC-10494022560" u="1"/>
        <s v="EC-P021027130" u="1"/>
        <s v="PTPLINANI-500CC" u="1"/>
        <s v="EC-10021330830" u="1"/>
        <s v="EC-12314016131" u="1"/>
        <s v="EC-90033040088" u="1"/>
        <s v="EC-61002522361" u="1"/>
        <s v="EC-C624000070" u="1"/>
        <s v="PTPLFULET-50CC" u="1"/>
        <s v="EC-V151000050" u="1"/>
        <s v="EC-V650000080" u="1"/>
        <s v="EC-P003000250" u="1"/>
        <s v="PTINORVRF-250CC" u="1"/>
        <s v="EC-90060300005" u="1"/>
        <s v="BCS-55248379" u="1"/>
        <s v="EC-V652000180" u="1"/>
        <s v="EURO-40869" u="1"/>
        <s v="EURO-99998" u="1"/>
        <s v="EC-70602052950" u="1"/>
        <s v="IB-011" u="1"/>
        <s v="PTFUCOBFT-250CC" u="1"/>
        <s v="EC-A101000010" u="1"/>
        <s v="JF-274" u="1"/>
        <s v="SH-CAB.- BUJIA" u="1"/>
        <s v="EC-P005001090" u="1"/>
        <s v="EC-12310105960" u="1"/>
        <s v="EURO-40271" u="1"/>
        <s v="EC-A101000210" u="1"/>
        <s v="EC-14551042231" u="1"/>
        <s v="EC-6450060" u="1"/>
        <s v="EC-17721511120" u="1"/>
        <s v="SU-060-03003-41" u="1"/>
        <s v="SO-23.00.713" u="1"/>
        <s v="F-013" u="1"/>
        <s v="EC-P021038921" u="1"/>
        <s v="IKRA-11020151" u="1"/>
        <s v="EC-V000000040" u="1"/>
        <s v="EC-17851505060" u="1"/>
        <s v="EC-70604047001" u="1"/>
        <s v="SU-268-33401-03" u="1"/>
        <s v="IKRA-11020079" u="1"/>
        <s v="EC-P004001890" u="1"/>
        <s v="EURO-00010" u="1"/>
        <s v="EC-13211544330" u="1"/>
        <s v="EC-43706333231" u="1"/>
        <s v="EC-P021041831" u="1"/>
        <s v="EC-V224000031" u="1"/>
        <s v="SU-277-35602-H1" u="1"/>
        <s v="EC-V103001200" u="1"/>
        <s v="EC-SRM-4300F" u="1"/>
        <s v="EC-V104001200" u="1"/>
        <s v="PTNUCOSVR-KIL" u="1"/>
        <s v="SU-277-23513-17" u="1"/>
        <s v="EC-P021027040" u="1"/>
        <s v="COR-002" u="1"/>
        <s v="EURO-40706" u="1"/>
        <s v="SU-237-14201-03" u="1"/>
        <s v="EC-A226001410" u="1"/>
        <s v="EC-37030106211" u="1"/>
        <s v="EC-V104001500" u="1"/>
        <s v="EC-P021012810" u="1"/>
        <s v="EC-V138000020" u="1"/>
        <s v="PTNUFFSIL-250CC" u="1"/>
        <s v="OT-701" u="1"/>
        <s v="EURO-39054" u="1"/>
        <s v="EC-36301400310" u="1"/>
        <s v="SU-226-62411-08" u="1"/>
        <s v="EC-V652000090" u="1"/>
        <s v="JF-125" u="1"/>
        <s v="EC-9242426000" u="1"/>
        <s v="EC-V652000190" u="1"/>
        <s v="EC-43331232630" u="1"/>
        <s v="ASAB-TREE" u="1"/>
        <s v="EC-72LPX60CQ" u="1"/>
        <s v="EC-SRM-270/ULA" u="1"/>
        <s v="EC-12533708260" u="1"/>
        <s v="EC-90005300400" u="1"/>
        <s v="EC-P021043800" u="1"/>
        <s v="EC-16202132431" u="1"/>
        <s v="EC-70602035911" u="1"/>
        <s v="EC-10001142230" u="1"/>
        <s v="OR-65789" u="1"/>
        <s v="ARS-LPB-30L" u="1"/>
        <s v="EC-P004000660" u="1"/>
        <s v="EC-10001143230" u="1"/>
        <s v="PTNUCOTHI-500G" u="1"/>
        <s v="EC-V651000590" u="1"/>
        <s v="EC-V651000690" u="1"/>
        <s v="SU-20B-45003-11" u="1"/>
        <s v="EURO-39071" u="1"/>
        <s v="EC-V265000200" u="1"/>
        <s v="JF-039" u="1"/>
        <s v="EC-88421" u="1"/>
        <s v="EC-A101000520" u="1"/>
        <s v="EC-P021030550" u="1"/>
        <s v="EURO-36048-1M" u="1"/>
        <s v="PTNUCOKPL-500CC" u="1"/>
        <s v="EC-12211200230" u="1"/>
        <s v="EURO-00024" u="1"/>
        <s v="IKRA-11020089" u="1"/>
        <s v="EC-P021000803" u="1"/>
        <s v="EC-V475004810" u="1"/>
        <s v="EC-13031013410" u="1"/>
        <s v="EC-V505000080" u="1"/>
        <s v="EC-A230000000" u="1"/>
        <s v="EC-V508000080" u="1"/>
        <s v="EC-38501412620" u="1"/>
        <s v="EURO-36237" u="1"/>
        <s v="PTFUCOFEG-100CC" u="1"/>
        <s v="EC-EB500/EC1" u="1"/>
        <s v="EC-A235000300" u="1"/>
        <s v="EC-V103001010" u="1"/>
        <s v="PTFUCOFEG-500CC" u="1"/>
        <s v="EURO-37171" u="1"/>
        <s v="EURO-10069" u="1"/>
        <s v="EURO-90065" u="1"/>
        <s v="ASAB-5HEADS-30" u="1"/>
        <s v="PTNUCOCIT-250CC" u="1"/>
        <s v="EURO-36251-1M" u="1"/>
        <s v="EC-V103001210" u="1"/>
        <s v="EC-17800147530" u="1"/>
        <s v="ARS-180ZR-3.0-5" u="1"/>
        <s v="EC-A226001220" u="1"/>
        <s v="EC-A130000980" u="1"/>
        <s v="EC-10091019730" u="1"/>
        <s v="EC-P021012620" u="1"/>
        <s v="EC-17722135631" u="1"/>
        <s v="SU-237-14202-03" u="1"/>
        <s v="EC-99909-159" u="1"/>
        <s v="EURO-39068" u="1"/>
        <s v="EC-V104001610" u="1"/>
        <s v="EC-P021012920" u="1"/>
        <s v="JF-05.001544" u="1"/>
        <s v="EC-P021002983" u="1"/>
        <s v="SU-227-33701-03" u="1"/>
        <s v="EC-89541039131" u="1"/>
        <s v="EC-X605000100" u="1"/>
        <s v="EURO-10086" u="1"/>
        <s v="EC-43021330833" u="1"/>
        <s v="SU-001-04083-50" u="1"/>
        <s v="EURO-41019" u="1"/>
        <s v="ARS-180ZR-1" u="1"/>
        <s v="PTINCOKAR-300CC" u="1"/>
        <s v="P-009" u="1"/>
        <s v="EC-P003000570" u="1"/>
        <s v="EC-90024205057" u="1"/>
        <s v="SU-227-62414-08" u="1"/>
        <s v="EC-21BPX78X" u="1"/>
        <s v="PTNUFFRFT-500G" u="1"/>
        <s v="EC-682100" u="1"/>
        <s v="JF-010" u="1"/>
        <s v="SU-044-02500-70" u="1"/>
        <s v="EC-A101000330" u="1"/>
        <s v="EC-P021030360" u="1"/>
        <s v="SU-279-23301-13" u="1"/>
        <s v="EC-70102102910" u="1"/>
        <s v="EC-400851010" u="1"/>
        <s v="SU-279-31601-11" u="1"/>
        <s v="EC-12312512330" u="1"/>
        <s v="PTACCOYOG-100CC" u="1"/>
        <s v="EC-A100000730" u="1"/>
        <s v="PTACCOYOG-200CC" u="1"/>
        <s v="EC-C460000011" u="1"/>
        <s v="EC-17504646430" u="1"/>
        <s v="EC-10101147530" u="1"/>
        <s v="SU-227-43501-13" u="1"/>
        <s v="EC-61022222360" u="1"/>
        <s v="EURO-CODO50" u="1"/>
        <s v="EC-SP53BPE" u="1"/>
        <s v="IN-34" u="1"/>
        <s v="BR-CAT-77022-00" u="1"/>
        <s v="EC-10001139731" u="1"/>
        <s v="EURO-40305" u="1"/>
        <s v="SU-021-70600-70" u="1"/>
        <s v="SU-044-03001-60" u="1"/>
        <s v="EC-A241000030" u="1"/>
        <s v="EC-43301060830" u="1"/>
        <s v="EC-17807819830" u="1"/>
        <s v="EC-V103001020" u="1"/>
        <s v="JF-024" u="1"/>
        <s v="EC-61031507130" u="1"/>
        <s v="EC-V13800020" u="1"/>
        <s v="EC-99944100474" u="1"/>
        <s v="PA-817199" u="1"/>
        <s v="EURO-36251-2M" u="1"/>
        <s v="EC-A232000710" u="1"/>
        <s v="EC-13211555930" u="1"/>
        <s v="EC-12411346630" u="1"/>
        <s v="IKRA-11021614" u="1"/>
        <s v="SU-277-23401-J3" u="1"/>
        <s v="EC-A232001250" u="1"/>
        <s v="EC-V104001620" u="1"/>
        <s v="EC-17720042033" u="1"/>
        <s v="EC-37031606210" u="1"/>
        <s v="EC-PAS-266LA" u="1"/>
        <s v="EC-70101406510" u="1"/>
        <s v="EC-70602050000" u="1"/>
        <s v="EC-43301230830" u="1"/>
        <s v="EURO-90002" u="1"/>
        <s v="EURO-40070" u="1"/>
        <s v="EC-P021027760" u="1"/>
        <s v="EC-X602000210" u="1"/>
        <s v="SU-X641360010" u="1"/>
        <s v="SU-281-34201-J1" u="1"/>
        <s v="EURO-36537" u="1"/>
        <s v="EURO-36099" u="1"/>
        <s v="EC-V252000200" u="1"/>
        <s v="EC-X114000000" u="1"/>
        <s v="EC-61043450031" u="1"/>
        <s v="EC-90016205057" u="1"/>
        <s v="EC-43700037530" u="1"/>
        <s v="SU-227-62415-08" u="1"/>
        <s v="JF-038" u="1"/>
        <s v="PR-002" u="1"/>
        <s v="EURO-10747-A" u="1"/>
        <s v="SU-043-04300-15" u="1"/>
        <s v="BCS-92380177" u="1"/>
        <s v="EC-P004000880" u="1"/>
        <s v="SU-277-45004-K1" u="1"/>
        <s v="SU-044-03500-91" u="1"/>
        <s v="EC-A393000050" u="1"/>
        <s v="EC-10001146430" u="1"/>
        <s v="EC-13120519832" u="1"/>
        <s v="EC-17531320430" u="1"/>
        <s v="SU-227-43302-20" u="1"/>
        <s v="EC-10001130831" u="1"/>
        <s v="IKRA-11020081" u="1"/>
        <s v="IN-64" u="1"/>
        <s v="EC-P021030570" u="1"/>
        <s v="EC-43301402830" u="1"/>
        <s v="OR-238337" u="1"/>
        <s v="EC-A200000771" u="1"/>
        <s v="EC-10151144630" u="1"/>
        <s v="EC-90080406001" u="1"/>
        <s v="SU-20B-42701-23" u="1"/>
        <s v="EC-4562530" u="1"/>
        <s v="BORALSAN-1120" u="1"/>
        <s v="SU-480-05010-43" u="1"/>
        <s v="BR-CAT-12273" u="1"/>
        <s v="SU-20B-36501-03" u="1"/>
        <s v="BR-CAT-70738" u="1"/>
        <s v="EC-A226000300" u="1"/>
        <s v="EC-A225000400" u="1"/>
        <s v="EURO-40067" u="1"/>
        <s v="EC-P050009190" u="1"/>
        <s v="PTPLINSMT-100CC" u="1"/>
        <s v="SU-20B-1600-03" u="1"/>
        <s v="OT-113" u="1"/>
        <s v="EC-P050009290" u="1"/>
        <s v="EC-A235000220" u="1"/>
        <s v="EC-17801022560" u="1"/>
        <s v="EC-22090106211" u="1"/>
        <s v="EC-A226000600" u="1"/>
        <s v="EC-12311347530" u="1"/>
        <s v="EC-V103001030" u="1"/>
        <s v="EC-43331060930" u="1"/>
        <s v="EURO-36251-3M" u="1"/>
        <s v="PTPLINSMT-500CC" u="1"/>
        <s v="OT-00404" u="1"/>
        <s v="PUBLI-002" u="1"/>
        <s v="PTFUCORID-250CC" u="1"/>
        <s v="EC-A232000820" u="1"/>
        <s v="EC-P021007071" u="1"/>
        <s v="EC-V104001330" u="1"/>
        <s v="EC-V495001171" u="1"/>
        <s v="EURO-40868" u="1"/>
        <s v="#N/A" u="1"/>
        <s v="OT-1131" u="1"/>
        <s v="JF-086" u="1"/>
        <s v="BR-CAT-SC2170" u="1"/>
        <s v="EC-P003000090" u="1"/>
        <s v="EC-X602000020" u="1"/>
        <s v="EURO-40270" u="1"/>
        <s v="PTNUCOINI-500G" u="1"/>
        <s v="EC-P021027770" u="1"/>
        <s v="PTINCOKAR-120CC" u="1"/>
        <s v="EC-X602000220" u="1"/>
        <s v="EC-10020455430" u="1"/>
        <s v="EC-90081200626" u="1"/>
        <s v="EC-4573060" u="1"/>
        <s v="EC-13000039131" u="1"/>
        <s v="EC-4575060" u="1"/>
        <s v="EURO-001" u="1"/>
        <s v="SU-X85-10614-91" u="1"/>
        <s v="SU-044-00600-20" u="1"/>
        <s v="SU-044-00800-10" u="1"/>
        <s v="EC-12311824430" u="1"/>
        <s v="EC-A101000150" u="1"/>
        <s v="EC-P005000790" u="1"/>
        <s v="EC-A202000081" u="1"/>
        <s v="EC-P004000890" u="1"/>
        <s v="EC-A101000250" u="1"/>
        <s v="EC-A392000060" u="1"/>
        <s v="EC-V265000230" u="1"/>
        <s v="EC-A101000350" u="1"/>
        <s v="EC-14561062630" u="1"/>
        <s v="EC-82002" u="1"/>
        <s v="EC-17801205960" u="1"/>
        <s v="EC-A101000550" u="1"/>
        <s v="EC-10151442230" u="1"/>
        <s v="EC-82082" u="1"/>
        <s v="EC-V475004640" u="1"/>
        <s v="EC-V103000000" u="1"/>
        <s v="BCS-58056190" u="1"/>
        <s v="IN-380" u="1"/>
        <s v="JF-253046" u="1"/>
        <s v="EC-70602008A43" u="1"/>
        <s v="SANYO-3961" u="1"/>
        <s v="EC-A226000310" u="1"/>
        <s v="EC-P021011610" u="1"/>
        <s v="EURO-36305" u="1"/>
        <s v="EC-61032027430" u="1"/>
        <s v="EC-A238000030" u="1"/>
        <s v="EC-V103000600" u="1"/>
        <s v="PTHECOKEM-5GLN" u="1"/>
        <s v="EC-C300000001" u="1"/>
        <s v="EC-V103001040" u="1"/>
        <s v="EC-V299000390" u="1"/>
        <s v="PA-817214" u="1"/>
        <s v="EURO-39053" u="1"/>
        <s v="EC-12313704260" u="1"/>
        <s v="EC-569002" u="1"/>
        <s v="EC-P021042400" u="1"/>
        <s v="EC-A226001250" u="1"/>
        <s v="MP-7881" u="1"/>
        <s v="PTPLINANI-250CC" u="1"/>
        <s v="SU-277-23403-J3" u="1"/>
        <s v="EC-82003" u="1"/>
        <s v="EC-P022007081" u="1"/>
        <s v="PTPLFUBOT-50CC" u="1"/>
        <s v="PA-818354" u="1"/>
        <s v="PTPLINKSHI-150G" u="1"/>
        <s v="EC-V136000060" u="1"/>
        <s v="EURO-41098" u="1"/>
        <s v="EC-99988802000" u="1"/>
        <s v="EC-09510" u="1"/>
        <s v="EC-09530" u="1"/>
        <s v="EC-A350001030" u="1"/>
        <s v="SH-9214D-24" u="1"/>
        <s v="PTPLINSKE-LIT" u="1"/>
        <s v="EC-X602000230" u="1"/>
        <s v="SU-226-50711-50" u="1"/>
        <s v="PTPLFUSCO-50CC" u="1"/>
        <s v="EC-90023805018" u="1"/>
        <s v="PTFUCOSTY-100G" u="1"/>
        <s v="EC-24D8TW3884" u="1"/>
        <s v="ASAB-1HEADSW-2" u="1"/>
        <s v="EC-13051039932" u="1"/>
        <s v="EC-43021531731" u="1"/>
        <s v="EURO-00023" u="1"/>
        <s v="SU-227-42201-01" u="1"/>
        <s v="FUM-010" u="1"/>
        <s v="EC-A101000160" u="1"/>
        <s v="PTFUCOSTY-500G" u="1"/>
        <s v="FERRR-6010277" u="1"/>
        <s v="PTNUCOIMP-LIT" u="1"/>
        <s v="EC-V265000240" u="1"/>
        <s v="EC-A101000360" u="1"/>
        <s v="EC-P021039000" u="1"/>
        <s v="IN-045" u="1"/>
        <s v="EC-70602017920" u="1"/>
        <s v="PTPLFULET-100CC" u="1"/>
        <s v="SU-227-42201-03" u="1"/>
        <s v="EC-A101000560" u="1"/>
        <s v="EURO-36236" u="1"/>
        <s v="3982-000-1640" u="1"/>
        <s v="BORALSAN-1140" u="1"/>
        <s v="PTNUCOCRE-KIL" u="1"/>
        <s v="PTPLFULET-500CC" u="1"/>
        <s v="EC-A100000960" u="1"/>
        <s v="EC-C460000241" u="1"/>
        <s v="IKRA-11020118" u="1"/>
        <s v="EC-ETISHINXLTA" u="1"/>
        <s v="BCS-58056191" u="1"/>
        <s v="BCS-58048009" u="1"/>
        <s v="EC-BP35INTL" u="1"/>
        <s v="EC-A320000251" u="1"/>
        <s v="EC-35701001110" u="1"/>
        <s v="EC-43721031730" u="1"/>
        <s v="EC-A226000020" u="1"/>
        <s v="PTACCOABM-100CC" u="1"/>
        <s v="EC-61028222360" u="1"/>
        <s v="EURO-36319" u="1"/>
        <s v="EC-P021009950" u="1"/>
        <s v="EC-V100000410" u="1"/>
        <s v="EC-V104000210" u="1"/>
        <s v="PTNUCOOPW-500CC" u="1"/>
        <s v="EC-35131128330" u="1"/>
        <s v="EC-90051600005" u="1"/>
        <s v="EURO-1022-45" u="1"/>
        <s v="SU-282-99001-17" u="1"/>
        <s v="PTNUAGABC-LIT" u="1"/>
        <s v="EC-P021005911" u="1"/>
        <s v="EC-A226000520" u="1"/>
        <s v="EC-3002433" u="1"/>
        <s v="EC-17500539133" u="1"/>
        <s v="EC-17722005730" u="1"/>
        <s v="EC-A226000620" u="1"/>
        <s v="PTNUCORFT-GLN" u="1"/>
        <s v="BCS-TCLY40B0" u="1"/>
        <s v="EURO-40121" u="1"/>
        <s v="EC-10020442230" u="1"/>
        <s v="EC-C302000011" u="1"/>
        <s v="SU-277-62302-50" u="1"/>
        <s v="SU-20B-20901-21" u="1"/>
        <s v="EC-569022" u="1"/>
        <s v="EC-V104000910" u="1"/>
        <s v="SU-227-33601-03" u="1"/>
        <s v="EURO-1022AX" u="1"/>
        <s v="IKRA-78001060-EC" u="1"/>
        <s v="EC-A226001260" u="1"/>
        <s v="EC-A232000840" u="1"/>
        <s v="EC-P021027090" u="1"/>
        <s v="SU-277-23404-J3" u="1"/>
        <s v="EC-P021012660" u="1"/>
        <s v="EC-13001606211" u="1"/>
        <s v="EC-17722811120" u="1"/>
        <s v="EC-A232000940" u="1"/>
        <s v="EC-12411505530" u="1"/>
        <s v="EURO-41018" u="1"/>
        <s v="EC-P021002612" u="1"/>
        <s v="EC-70602042040" u="1"/>
        <s v="PTNUCOFER-500CC" u="1"/>
      </sharedItems>
    </cacheField>
    <cacheField name="CODIGO_GENERICO" numFmtId="0" sqlType="12">
      <sharedItems containsBlank="1" count="3">
        <m u="1"/>
        <s v="#N/A" u="1"/>
        <s v="0" u="1"/>
      </sharedItems>
    </cacheField>
    <cacheField name="FECHA" numFmtId="0" sqlType="9">
      <sharedItems containsSemiMixedTypes="0" containsNonDate="0" containsDate="1" containsString="0" minDate="1905-01-01T00:00:00" maxDate="1905-01-01T00:00:00"/>
      <fieldGroup par="15" base="7">
        <rangePr groupBy="days" startDate="1905-01-01T00:00:00" endDate="1905-01-01T00:00:00"/>
        <groupItems count="368">
          <s v="&lt;01/01/1905"/>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01/01/1905"/>
        </groupItems>
      </fieldGroup>
    </cacheField>
    <cacheField name="BUFFER" numFmtId="0" sqlType="3">
      <sharedItems containsSemiMixedTypes="0" containsString="0"/>
    </cacheField>
    <cacheField name="ZONA_AMARILLA" numFmtId="0" sqlType="3">
      <sharedItems containsSemiMixedTypes="0" containsString="0"/>
    </cacheField>
    <cacheField name="ZONA_ROJA" numFmtId="0" sqlType="3">
      <sharedItems containsSemiMixedTypes="0" containsString="0"/>
    </cacheField>
    <cacheField name="INVENTARIO_FISICO" numFmtId="0" sqlType="3">
      <sharedItems containsSemiMixedTypes="0" containsString="0"/>
    </cacheField>
    <cacheField name="INVENTARIO_PROYECTADO" numFmtId="0" sqlType="3">
      <sharedItems containsSemiMixedTypes="0" containsString="0"/>
    </cacheField>
    <cacheField name="CAUSA" numFmtId="0" sqlType="12">
      <sharedItems count="1">
        <s v="" u="1"/>
      </sharedItems>
    </cacheField>
    <cacheField name="Meses" numFmtId="0" databaseField="0">
      <fieldGroup base="7">
        <rangePr groupBy="months" startDate="1905-01-01T00:00:00" endDate="1905-01-01T00:00:00"/>
        <groupItems count="14">
          <s v="&lt;01/01/1905"/>
          <s v="ene"/>
          <s v="feb"/>
          <s v="mar"/>
          <s v="abr"/>
          <s v="may"/>
          <s v="jun"/>
          <s v="jul"/>
          <s v="ago"/>
          <s v="sep"/>
          <s v="oct"/>
          <s v="nov"/>
          <s v="dic"/>
          <s v="&gt;01/01/1905"/>
        </groupItems>
      </fieldGroup>
    </cacheField>
    <cacheField name="Años" numFmtId="0" databaseField="0">
      <fieldGroup base="7">
        <rangePr groupBy="years" startDate="1905-01-01T00:00:00" endDate="1905-01-01T00:00:00"/>
        <groupItems count="3">
          <s v="&lt;01/01/1905"/>
          <s v="1905"/>
          <s v="&gt;01/01/1905"/>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RAMCAS" refreshedDate="43229.441156712965" createdVersion="3" refreshedVersion="5" minRefreshableVersion="3" recordCount="45">
  <cacheSource type="worksheet">
    <worksheetSource name="Tabla_Buffers_Historicos"/>
  </cacheSource>
  <cacheFields count="13">
    <cacheField name="Bodega" numFmtId="0">
      <sharedItems containsBlank="1" count="5">
        <s v="Bodega Central Agrota"/>
        <s v="BP-MATRIZ" u="1"/>
        <m u="1"/>
        <s v="BDG. DE PRODUCTO TERMI PLANTA" u="1"/>
        <s v="Bodega ECU" u="1"/>
      </sharedItems>
    </cacheField>
    <cacheField name="Codigo" numFmtId="0">
      <sharedItems containsBlank="1" count="7796">
        <s v="10000000974"/>
        <m u="1"/>
        <s v="H710C858" u="1"/>
        <s v="H710G000" u="1"/>
        <s v="01.018.0016" u="1"/>
        <s v="03.013.0036" u="1"/>
        <s v="06.166.0003" u="1"/>
        <s v="SH-20018-31260" u="1"/>
        <s v="EC-12312338330" u="1"/>
        <s v="H710C868" u="1"/>
        <s v="H710C878" u="1"/>
        <s v="01.018.0017" u="1"/>
        <s v="03.013.0037" u="1"/>
        <s v="06.166.0004" u="1"/>
        <s v="H710C888" u="1"/>
        <s v="H710C898" u="1"/>
        <s v="T614A100" u="1"/>
        <s v="01.018.0018" u="1"/>
        <s v="03.013.0038" u="1"/>
        <s v="06.166.0005" u="1"/>
        <s v="01.018.0019" u="1"/>
        <s v="03.013.0039" u="1"/>
        <s v="06.166.0006" u="1"/>
        <s v="SH-22035-13140" u="1"/>
        <s v="SH-22104-75420" u="1"/>
        <s v="SH-20000-81340" u="1"/>
        <s v="06.072.0040" u="1"/>
        <s v="06.166.0007" u="1"/>
        <s v="06.072.0041" u="1"/>
        <s v="06.166.0008" u="1"/>
        <s v="SH-62035-83111" u="1"/>
        <s v="ZM-064" u="1"/>
        <s v="H710C601" u="1"/>
        <s v="SH-68501-81010" u="1"/>
        <s v="CR-0100" u="1"/>
        <s v="06.072.0042" u="1"/>
        <s v="06.166.0009" u="1"/>
        <s v="SH-20016-81180" u="1"/>
        <s v="H710C611" u="1"/>
        <s v="H710C621" u="1"/>
        <s v="06.072.0043" u="1"/>
        <s v="H710C631" u="1"/>
        <s v="H710C1082" u="1"/>
        <s v="H316A000" u="1"/>
        <s v="H710C641" u="1"/>
        <s v="H710C1182" u="1"/>
        <s v="EC-13192055430" u="1"/>
        <s v="H336A000" u="1"/>
        <s v="H710C651" u="1"/>
        <s v="H710C1282" u="1"/>
        <s v="H710C661" u="1"/>
        <s v="06.042.0090" u="1"/>
        <s v="EC-V265000250" u="1"/>
        <s v="01.024.0050" u="1"/>
        <s v="01.028.0030" u="1"/>
        <s v="03.023.0050" u="1"/>
        <s v="H710C1382" u="1"/>
        <s v="H710C671" u="1"/>
        <s v="EC-A101000370" u="1"/>
        <s v="H710C705" u="1"/>
        <s v="H710C1482" u="1"/>
        <s v="H710C681" u="1"/>
        <s v="T615A100" u="1"/>
        <s v="06.042.0091" u="1"/>
        <s v="01.024.0051" u="1"/>
        <s v="01.028.0031" u="1"/>
        <s v="03.023.0051" u="1"/>
        <s v="H710C715" u="1"/>
        <s v="H710C1582" u="1"/>
        <s v="EC-SP30BPE" u="1"/>
        <s v="02.001.0021" u="1"/>
        <s v="06.003.0001" u="1"/>
        <s v="H710C691" u="1"/>
        <s v="H710C725" u="1"/>
        <s v="H710C1682" u="1"/>
        <s v="06.042.0092" u="1"/>
        <s v="01.024.0052" u="1"/>
        <s v="01.028.0032" u="1"/>
        <s v="03.023.0052" u="1"/>
        <s v="SH-99909-229" u="1"/>
        <s v="H710C735" u="1"/>
        <s v="H710C1782" u="1"/>
        <s v="06.003.0002" u="1"/>
        <s v="JF-285" u="1"/>
        <s v="H710C745" u="1"/>
        <s v="H710C1882" u="1"/>
        <s v="06.042.0093" u="1"/>
        <s v="EC-A100000670" u="1"/>
        <s v="H710C2025" u="1"/>
        <s v="01.024.0053" u="1"/>
        <s v="03.023.0053" u="1"/>
        <s v="H710C755" u="1"/>
        <s v="H710C1982" u="1"/>
        <s v="04.004.0003" u="1"/>
        <s v="06.003.0003" u="1"/>
        <s v="H710C2125" u="1"/>
        <s v="H710C765" u="1"/>
        <s v="CR-024" u="1"/>
        <s v="06.042.0094" u="1"/>
        <s v="01.024.0054" u="1"/>
        <s v="03.023.0054" u="1"/>
        <s v="H710C775" u="1"/>
        <s v="04.004.0004" u="1"/>
        <s v="06.003.0004" u="1"/>
        <s v="H710C809" u="1"/>
        <s v="H710C785" u="1"/>
        <s v="H710C819" u="1"/>
        <s v="06.042.0095" u="1"/>
        <s v="01.024.0055" u="1"/>
        <s v="03.023.0055" u="1"/>
        <s v="H710C795" u="1"/>
        <s v="06.003.0005" u="1"/>
        <s v="06.094.0100" u="1"/>
        <s v="H710C829" u="1"/>
        <s v="EC-13191043130" u="1"/>
        <s v="H710C839" u="1"/>
        <s v="06.042.0096" u="1"/>
        <s v="01.024.0056" u="1"/>
        <s v="03.023.0056" u="1"/>
        <s v="06.094.0101" u="1"/>
        <s v="EC-13040652131" u="1"/>
        <s v="H710C849" u="1"/>
        <s v="JF-022" u="1"/>
        <s v="EC-400442310" u="1"/>
        <s v="EC-17722138330" u="1"/>
        <s v="H710C859" u="1"/>
        <s v="06.042.0097" u="1"/>
        <s v="01.024.0057" u="1"/>
        <s v="03.023.0057" u="1"/>
        <s v="02.001.0027" u="1"/>
        <s v="06.094.0102" u="1"/>
        <s v="H710C869" u="1"/>
        <s v="H710C879" u="1"/>
        <s v="06.042.0098" u="1"/>
        <s v="03.023.0058" u="1"/>
        <s v="02.001.0028" u="1"/>
        <s v="06.094.0103" u="1"/>
        <s v="SH-62035-75120" u="1"/>
        <s v="H710C889" u="1"/>
        <s v="10.008.0001" u="1"/>
        <s v="H710C899" u="1"/>
        <s v="T616A100" u="1"/>
        <s v="06.042.0099" u="1"/>
        <s v="01.024.0059" u="1"/>
        <s v="03.023.0059" u="1"/>
        <s v="10000000980" u="1"/>
        <s v="02.001.0029" u="1"/>
        <s v="06.094.0104" u="1"/>
        <s v="06.103.0001" u="1"/>
        <s v="10.008.0002" u="1"/>
        <s v="06.080.0070" u="1"/>
        <s v="SH-62022-15100" u="1"/>
        <s v="06.094.0105" u="1"/>
        <s v="06.103.0002" u="1"/>
        <s v="SH-22169-72220" u="1"/>
        <s v="10.008.0003" u="1"/>
        <s v="06.080.0071" u="1"/>
        <s v="06.088.0031" u="1"/>
        <s v="06.094.0106" u="1"/>
        <s v="06.103.0003" u="1"/>
        <s v="SH-70210-41110" u="1"/>
        <s v="EC-CS 1201-90EU" u="1"/>
        <s v="06.080.0072" u="1"/>
        <s v="06.088.0032" u="1"/>
        <s v="06.094.0107" u="1"/>
        <s v="10.008.0005" u="1"/>
        <s v="H710C602" u="1"/>
        <s v="06.094.0108" u="1"/>
        <s v="06.103.0005" u="1"/>
        <s v="H224A000" u="1"/>
        <s v="H710C612" u="1"/>
        <s v="10.008.0006" u="1"/>
        <s v="H710C622" u="1"/>
        <s v="06.094.0109" u="1"/>
        <s v="06.103.0006" u="1"/>
        <s v="H710C632" u="1"/>
        <s v="H710C1092" u="1"/>
        <s v="10.008.0007" u="1"/>
        <s v="H710C642" u="1"/>
        <s v="01.018.0150" u="1"/>
        <s v="H710C1192" u="1"/>
        <s v="06.103.0007" u="1"/>
        <s v="H710C652" u="1"/>
        <s v="EC-10092138330" u="1"/>
        <s v="H710C1292" u="1"/>
        <s v="10.008.0008" u="1"/>
        <s v="H710C662" u="1"/>
        <s v="01.018.0151" u="1"/>
        <s v="H710C1392" u="1"/>
        <s v="06.017.0001" u="1"/>
        <s v="H710C672" u="1"/>
        <s v="H710C706" u="1"/>
        <s v="H710C1492" u="1"/>
        <s v="10.008.0009" u="1"/>
        <s v="H710C682" u="1"/>
        <s v="01.018.0152" u="1"/>
        <s v="H710C716" u="1"/>
        <s v="H710C1592" u="1"/>
        <s v="06.017.0002" u="1"/>
        <s v="H710C692" u="1"/>
        <s v="H710C726" u="1"/>
        <s v="H710C1692" u="1"/>
        <s v="01.018.0153" u="1"/>
        <s v="06.088.0038" u="1"/>
        <s v="H710C736" u="1"/>
        <s v="H710C1792" u="1"/>
        <s v="06.017.0003" u="1"/>
        <s v="H710C746" u="1"/>
        <s v="H710C1892" u="1"/>
        <s v="CR-038" u="1"/>
        <s v="H710C2035" u="1"/>
        <s v="01.018.0154" u="1"/>
        <s v="H710C756" u="1"/>
        <s v="H710C1992" u="1"/>
        <s v="H710C766" u="1"/>
        <s v="01.018.0155" u="1"/>
        <s v="H710C776" u="1"/>
        <s v="H710C786" u="1"/>
        <s v="01.018.0156" u="1"/>
        <s v="H710C796" u="1"/>
        <s v="T620A000" u="1"/>
        <s v="PRO-001" u="1"/>
        <s v="06.115.0010" u="1"/>
        <s v="EC-CS600" u="1"/>
        <s v="06.115.0011" u="1"/>
        <s v="06.117.0001" u="1"/>
        <s v="EC-CS600       " u="1"/>
        <s v="06.115.0012" u="1"/>
        <s v="06.117.0002" u="1"/>
        <s v="06.094.0071" u="1"/>
        <s v="06.115.0013" u="1"/>
        <s v="06.117.0003" u="1"/>
        <s v="SH-20020-75180" u="1"/>
        <s v="SH-67000-81010" u="1"/>
        <s v="SH-20016-42002" u="1"/>
        <s v="06.094.0072" u="1"/>
        <s v="06.115.0014" u="1"/>
        <s v="06.117.0004" u="1"/>
        <s v="SH-20140-75100" u="1"/>
        <s v="45ST3018" u="1"/>
        <s v="SH-20021-81171" u="1"/>
        <s v="06.115.0015" u="1"/>
        <s v="EC-43721015130" u="1"/>
        <s v="H710C603" u="1"/>
        <s v="06.094.0074" u="1"/>
        <s v="06.115.0016" u="1"/>
        <s v="H226A000" u="1"/>
        <s v="H710C613" u="1"/>
        <s v="SH-99909-156" u="1"/>
        <s v="H710C623" u="1"/>
        <s v="06.094.0075" u="1"/>
        <s v="SH-22169-54630" u="1"/>
        <s v="06.027.0020" u="1"/>
        <s v="06.029.0010" u="1"/>
        <s v="01.003.0010" u="1"/>
        <s v="05.001.0010" u="1"/>
        <s v="H710C633" u="1"/>
        <s v="H710C643" u="1"/>
        <s v="06.094.0076" u="1"/>
        <s v="06.027.0021" u="1"/>
        <s v="06.029.0011" u="1"/>
        <s v="H710C1005" u="1"/>
        <s v="01.005.0001" u="1"/>
        <s v="03.002.0011" u="1"/>
        <s v="05.001.0011" u="1"/>
        <s v="05.003.0001" u="1"/>
        <s v="09.001.0001" u="1"/>
        <s v="H710C653" u="1"/>
        <s v="ZM-015" u="1"/>
        <s v="H710C1105" u="1"/>
        <s v="H710C663" u="1"/>
        <s v="SH-62035-85351" u="1"/>
        <s v="06.094.0077" u="1"/>
        <s v="06.027.0022" u="1"/>
        <s v="06.029.0012" u="1"/>
        <s v="06.217.0001" u="1"/>
        <s v="H710C1205" u="1"/>
        <s v="01.005.0002" u="1"/>
        <s v="05.003.0002" u="1"/>
        <s v="H710C673" u="1"/>
        <s v="EC-A101000380" u="1"/>
        <s v="H710C707" u="1"/>
        <s v="H710C1305" u="1"/>
        <s v="H710C683" u="1"/>
        <s v="T619A100" u="1"/>
        <s v="SH-70200-71200" u="1"/>
        <s v="06.094.0078" u="1"/>
        <s v="H710C717" u="1"/>
        <s v="06.029.0013" u="1"/>
        <s v="H710C1405" u="1"/>
        <s v="01.005.0003" u="1"/>
        <s v="H710C693" u="1"/>
        <s v="H710C727" u="1"/>
        <s v="H710C1505" u="1"/>
        <s v="EC-A200000500" u="1"/>
        <s v="06.094.0079" u="1"/>
        <s v="H710C737" u="1"/>
        <s v="06.027.0024" u="1"/>
        <s v="EC-61020656930" u="1"/>
        <s v="H710C1605" u="1"/>
        <s v="01.005.0004" u="1"/>
        <s v="H521B200" u="1"/>
        <s v="H710C747" u="1"/>
        <s v="H710C1705" u="1"/>
        <s v="EC-A100000680" u="1"/>
        <s v="H710C2045" u="1"/>
        <s v="H710C757" u="1"/>
        <s v="06.027.0025" u="1"/>
        <s v="06.029.0015" u="1"/>
        <s v="H710C1805" u="1"/>
        <s v="01.005.0005" u="1"/>
        <s v="05.001.0015" u="1"/>
        <s v="05.003.0005" u="1"/>
        <s v="H710C767" u="1"/>
        <s v="H710C1905" u="1"/>
        <s v="H710C777" u="1"/>
        <s v="06.027.0026" u="1"/>
        <s v="06.029.0016" u="1"/>
        <s v="01.005.0006" u="1"/>
        <s v="H710C787" u="1"/>
        <s v="H710C797" u="1"/>
        <s v="06.027.0027" u="1"/>
        <s v="06.029.0017" u="1"/>
        <s v="05.003.0007" u="1"/>
        <s v="06.027.0028" u="1"/>
        <s v="06.029.0018" u="1"/>
        <s v="H277A000" u="1"/>
        <s v="EC-17504805530" u="1"/>
        <s v="06.027.0029" u="1"/>
        <s v="06.029.0019" u="1"/>
        <s v="01.003.0019" u="1"/>
        <s v="05.003.0009" u="1"/>
        <s v="SH-70210-81022" u="1"/>
        <s v="06.061.0020" u="1"/>
        <s v="SV50A" u="1"/>
        <s v="H710C500" u="1"/>
        <s v="06.061.0021" u="1"/>
        <s v="06.065.0001" u="1"/>
        <s v="H710C510" u="1"/>
        <s v="H710C520" u="1"/>
        <s v="H710C530" u="1"/>
        <s v="EC-001107" u="1"/>
        <s v="H710C540" u="1"/>
        <s v="06.061.0023" u="1"/>
        <s v="06.065.0003" u="1"/>
        <s v="SH-70012-31111" u="1"/>
        <s v="H710C550" u="1"/>
        <s v="CR-524" u="1"/>
        <s v="H710C560" u="1"/>
        <s v="EC-A238000060" u="1"/>
        <s v="06.065.0004" u="1"/>
        <s v="H710C570" u="1"/>
        <s v="EC-90072000012" u="1"/>
        <s v="H710C604" u="1"/>
        <s v="H710C580" u="1"/>
        <s v="01.011.0040" u="1"/>
        <s v="01.017.0010" u="1"/>
        <s v="03.012.0030" u="1"/>
        <s v="03.014.0020" u="1"/>
        <s v="03.016.0010" u="1"/>
        <s v="06.065.0005" u="1"/>
        <s v="H710C614" u="1"/>
        <s v="H710C590" u="1"/>
        <s v="H710C624" u="1"/>
        <s v="01.011.0041" u="1"/>
        <s v="01.017.0011" u="1"/>
        <s v="01.019.0001" u="1"/>
        <s v="03.012.0031" u="1"/>
        <s v="03.014.0021" u="1"/>
        <s v="03.016.0011" u="1"/>
        <s v="03.018.0001" u="1"/>
        <s v="06.065.0006" u="1"/>
        <s v="H710C634" u="1"/>
        <s v="EC-A226000740" u="1"/>
        <s v="JF-084" u="1"/>
        <s v="13.002.0029" u="1"/>
        <s v="H710C644" u="1"/>
        <s v="EC-A244000180" u="1"/>
        <s v="H710C1015" u="1"/>
        <s v="01.011.0042" u="1"/>
        <s v="01.017.0012" u="1"/>
        <s v="01.019.0002" u="1"/>
        <s v="03.012.0032" u="1"/>
        <s v="03.014.0022" u="1"/>
        <s v="03.016.0012" u="1"/>
        <s v="03.018.0002" u="1"/>
        <s v="06.061.0027" u="1"/>
        <s v="H710C654" u="1"/>
        <s v="JF-270" u="1"/>
        <s v="H710C1115" u="1"/>
        <s v="H710C664" u="1"/>
        <s v="H710C1215" u="1"/>
        <s v="01.011.0043" u="1"/>
        <s v="01.017.0013" u="1"/>
        <s v="01.019.0003" u="1"/>
        <s v="03.012.0033" u="1"/>
        <s v="03.014.0023" u="1"/>
        <s v="06.061.0028" u="1"/>
        <s v="H710C674" u="1"/>
        <s v="HM750-3020" u="1"/>
        <s v="H710C708" u="1"/>
        <s v="H710C1315" u="1"/>
        <s v="H710C684" u="1"/>
        <s v="H710C718" u="1"/>
        <s v="H710C1415" u="1"/>
        <s v="01.011.0044" u="1"/>
        <s v="01.017.0014" u="1"/>
        <s v="01.019.0004" u="1"/>
        <s v="03.012.0034" u="1"/>
        <s v="03.014.0024" u="1"/>
        <s v="03.018.0004" u="1"/>
        <s v="05.017.0004" u="1"/>
        <s v="06.061.0029" u="1"/>
        <s v="H710C694" u="1"/>
        <s v="SH-70870-98020" u="1"/>
        <s v="H710C728" u="1"/>
        <s v="H710C1515" u="1"/>
        <s v="04.008.0090" u="1"/>
        <s v="H710C738" u="1"/>
        <s v="H710C1615" u="1"/>
        <s v="01.011.0045" u="1"/>
        <s v="01.013.0035" u="1"/>
        <s v="01.017.0015" u="1"/>
        <s v="03.012.0035" u="1"/>
        <s v="03.014.0025" u="1"/>
        <s v="03.018.0005" u="1"/>
        <s v="06.165.0002" u="1"/>
        <s v="EC-P022007100" u="1"/>
        <s v="H710C748" u="1"/>
        <s v="H710C1715" u="1"/>
        <s v="EC-P021012780" u="1"/>
        <s v="H710C2055" u="1"/>
        <s v="04.008.0091" u="1"/>
        <s v="H710C758" u="1"/>
        <s v="H710C1815" u="1"/>
        <s v="01.011.0046" u="1"/>
        <s v="01.013.0036" u="1"/>
        <s v="01.017.0016" u="1"/>
        <s v="03.012.0036" u="1"/>
        <s v="03.014.0026" u="1"/>
        <s v="06.165.0003" u="1"/>
        <s v="H710C768" u="1"/>
        <s v="H710C1915" u="1"/>
        <s v="04.008.0092" u="1"/>
        <s v="H710C778" u="1"/>
        <s v="01.011.0047" u="1"/>
        <s v="01.013.0037" u="1"/>
        <s v="01.017.0017" u="1"/>
        <s v="01.019.0007" u="1"/>
        <s v="03.012.0037" u="1"/>
        <s v="03.014.0027" u="1"/>
        <s v="03.018.0007" u="1"/>
        <s v="06.165.0004" u="1"/>
        <s v="H710C788" u="1"/>
        <s v="04.008.0093" u="1"/>
        <s v="H710C798" u="1"/>
        <s v="06.133.0060" u="1"/>
        <s v="01.011.0048" u="1"/>
        <s v="01.013.0038" u="1"/>
        <s v="01.017.0018" u="1"/>
        <s v="01.019.0008" u="1"/>
        <s v="03.012.0038" u="1"/>
        <s v="03.014.0028" u="1"/>
        <s v="03.018.0008" u="1"/>
        <s v="04.008.0094" u="1"/>
        <s v="06.133.0061" u="1"/>
        <s v="01.011.0049" u="1"/>
        <s v="01.013.0039" u="1"/>
        <s v="01.017.0019" u="1"/>
        <s v="01.019.0009" u="1"/>
        <s v="03.012.0039" u="1"/>
        <s v="03.014.0029" u="1"/>
        <s v="04.008.0095" u="1"/>
        <s v="SH-22021-12400" u="1"/>
        <s v="06.133.0062" u="1"/>
        <s v="06.077.0010" u="1"/>
        <s v="04.008.0096" u="1"/>
        <s v="06.077.0011" u="1"/>
        <s v="06.079.0001" u="1"/>
        <s v="SH-20020-75140" u="1"/>
        <s v="04.008.0097" u="1"/>
        <s v="H710C501" u="1"/>
        <s v="H450B200" u="1"/>
        <s v="06.077.0012" u="1"/>
        <s v="H710C511" u="1"/>
        <s v="04.008.0098" u="1"/>
        <s v="H710C521" u="1"/>
        <s v="06.077.0013" u="1"/>
        <s v="H710C531" u="1"/>
        <s v="04.008.0099" u="1"/>
        <s v="H710C541" u="1"/>
        <s v="H710C551" u="1"/>
        <s v="H710C561" u="1"/>
        <s v="01.025.0040" u="1"/>
        <s v="04.001.0010" u="1"/>
        <s v="H710C571" u="1"/>
        <s v="H710C605" u="1"/>
        <s v="H710C581" u="1"/>
        <s v="T415A100" u="1"/>
        <s v="10000001186" u="1"/>
        <s v="01.025.0041" u="1"/>
        <s v="06.077.0016" u="1"/>
        <s v="H710C615" u="1"/>
        <s v="04.001.0011" u="1"/>
        <s v="H710C591" u="1"/>
        <s v="H710C625" u="1"/>
        <s v="06.077.0017" u="1"/>
        <s v="H710C635" u="1"/>
        <s v="04.003.0002" u="1"/>
        <s v="JF-284" u="1"/>
        <s v="SH-20040-81680" u="1"/>
        <s v="H710C645" u="1"/>
        <s v="EC-P021010210" u="1"/>
        <s v="H710C1025" u="1"/>
        <s v="01.025.0043" u="1"/>
        <s v="06.077.0018" u="1"/>
        <s v="H710C655" u="1"/>
        <s v="02.002.0013" u="1"/>
        <s v="04.003.0003" u="1"/>
        <s v="06.002.0003" u="1"/>
        <s v="H710C1125" u="1"/>
        <s v="H710C665" u="1"/>
        <s v="CR-023" u="1"/>
        <s v="SH-63019-63170" u="1"/>
        <s v="H710C1225" u="1"/>
        <s v="01.025.0044" u="1"/>
        <s v="06.077.0019" u="1"/>
        <s v="06.179.0001" u="1"/>
        <s v="H710C675" u="1"/>
        <s v="04.001.0014" u="1"/>
        <s v="04.003.0004" u="1"/>
        <s v="06.002.0004" u="1"/>
        <s v="H710C709" u="1"/>
        <s v="SH-68501-81490" u="1"/>
        <s v="H710C1325" u="1"/>
        <s v="H710C685" u="1"/>
        <s v="H710C719" u="1"/>
        <s v="H451B200" u="1"/>
        <s v="H710C1425" u="1"/>
        <s v="SH-20142-41110" u="1"/>
        <s v="H710C695" u="1"/>
        <s v="04.001.0015" u="1"/>
        <s v="04.003.0005" u="1"/>
        <s v="06.002.0005" u="1"/>
        <s v="H710C729" u="1"/>
        <s v="H710C1525" u="1"/>
        <s v="H710C739" u="1"/>
        <s v="H710C1625" u="1"/>
        <s v="04.001.0016" u="1"/>
        <s v="04.003.0006" u="1"/>
        <s v="H710C749" u="1"/>
        <s v="JF-021" u="1"/>
        <s v="H710C1725" u="1"/>
        <s v="H710C2065" u="1"/>
        <s v="H710C759" u="1"/>
        <s v="H710C1825" u="1"/>
        <s v="04.001.0017" u="1"/>
        <s v="04.003.0007" u="1"/>
        <s v="06.002.0007" u="1"/>
        <s v="H710C769" u="1"/>
        <s v="H710C1925" u="1"/>
        <s v="H710C779" u="1"/>
        <s v="04.003.0008" u="1"/>
        <s v="SH-20016-12112" u="1"/>
        <s v="H710C789" u="1"/>
        <s v="10.007.0001" u="1"/>
        <s v="EC-V100000040" u="1"/>
        <s v="H710C799" u="1"/>
        <s v="01.025.0049" u="1"/>
        <s v="04.001.0019" u="1"/>
        <s v="04.003.0009" u="1"/>
        <s v="06.102.0001" u="1"/>
        <s v="24604" u="1"/>
        <s v="06.089.0020" u="1"/>
        <s v="06.089.0021" u="1"/>
        <s v="SH-22160-71511" u="1"/>
        <s v="CR-123" u="1"/>
        <s v="06.089.0022" u="1"/>
        <s v="H622B100" u="1"/>
        <s v="H632B100" u="1"/>
        <s v="H710C502" u="1"/>
        <s v="06.089.0023" u="1"/>
        <s v="OR-205963" u="1"/>
        <s v="H710C512" u="1"/>
        <s v="H710C522" u="1"/>
        <s v="06.089.0024" u="1"/>
        <s v="H710C532" u="1"/>
        <s v="EC-13031357030" u="1"/>
        <s v="H710C542" u="1"/>
        <s v="01.019.0140" u="1"/>
        <s v="06.089.0025" u="1"/>
        <s v="06.014.0010" u="1"/>
        <s v="H710C552" u="1"/>
        <s v="H710C562" u="1"/>
        <s v="01.019.0141" u="1"/>
        <s v="06.089.0026" u="1"/>
        <s v="EC-ES726" u="1"/>
        <s v="06.016.0001" u="1"/>
        <s v="SH-20140-12220" u="1"/>
        <s v="H710C572" u="1"/>
        <s v="H710C606" u="1"/>
        <s v="H710C582" u="1"/>
        <s v="T617A000" u="1"/>
        <s v="SH-20011-81680" u="1"/>
        <s v="01.019.0142" u="1"/>
        <s v="H710C616" u="1"/>
        <s v="T427A100" u="1"/>
        <s v="06.014.0012" u="1"/>
        <s v="06.016.0002" u="1"/>
        <s v="06.202.0001" u="1"/>
        <s v="EC-A226000650" u="1"/>
        <s v="H710C592" u="1"/>
        <s v="H710C626" u="1"/>
        <s v="EC-V103001080" u="1"/>
        <s v="01.019.0143" u="1"/>
        <s v="H710C636" u="1"/>
        <s v="06.014.0013" u="1"/>
        <s v="06.202.0002" u="1"/>
        <s v="H710C646" u="1"/>
        <s v="H710C1035" u="1"/>
        <s v="01.019.0144" u="1"/>
        <s v="H710C656" u="1"/>
        <s v="06.014.0014" u="1"/>
        <s v="06.016.0004" u="1"/>
        <s v="H710C1135" u="1"/>
        <s v="H710C666" u="1"/>
        <s v="H710C1235" u="1"/>
        <s v="01.019.0145" u="1"/>
        <s v="H710C676" u="1"/>
        <s v="06.014.0015" u="1"/>
        <s v="06.016.0005" u="1"/>
        <s v="H710C1335" u="1"/>
        <s v="H710C686" u="1"/>
        <s v="EC-P021012590" u="1"/>
        <s v="EC-A232000870" u="1"/>
        <s v="H453B200" u="1"/>
        <s v="H710C1435" u="1"/>
        <s v="01.019.0146" u="1"/>
        <s v="H710C696" u="1"/>
        <s v="06.014.0016" u="1"/>
        <s v="T420A000" u="1"/>
        <s v="JF-035" u="1"/>
        <s v="H710C1535" u="1"/>
        <s v="H710C1635" u="1"/>
        <s v="01.019.0147" u="1"/>
        <s v="06.014.0017" u="1"/>
        <s v="06.016.0007" u="1"/>
        <s v="SH-70131-75100" u="1"/>
        <s v="H710C1735" u="1"/>
        <s v="EC-P021012790" u="1"/>
        <s v="H710C2075" u="1"/>
        <s v="H710C1835" u="1"/>
        <s v="01.019.0148" u="1"/>
        <s v="06.110.0030" u="1"/>
        <s v="06.114.0010" u="1"/>
        <s v="H710C1935" u="1"/>
        <s v="01.019.0149" u="1"/>
        <s v="06.110.0031" u="1"/>
        <s v="06.114.0011" u="1"/>
        <s v="EC-12411511120" u="1"/>
        <s v="06.110.0032" u="1"/>
        <s v="06.114.0012" u="1"/>
        <s v="06.114.0013" u="1"/>
        <s v="EC-43113516431" u="1"/>
        <s v="06.050.0001" u="1"/>
        <s v="06.110.0034" u="1"/>
        <s v="06.110.0035" u="1"/>
        <s v="06.050.0003" u="1"/>
        <s v="H710C503" u="1"/>
        <s v="T411A000" u="1"/>
        <s v="06.110.0036" u="1"/>
        <s v="06.050.0004" u="1"/>
        <s v="H710C513" u="1"/>
        <s v="T421A000" u="1"/>
        <s v="H710C523" u="1"/>
        <s v="04.003.0140" u="1"/>
        <s v="04.005.0130" u="1"/>
        <s v="06.050.0005" u="1"/>
        <s v="H710C533" u="1"/>
        <s v="SH-70210-42001" u="1"/>
        <s v="H710C543" u="1"/>
        <s v="04.003.0141" u="1"/>
        <s v="04.005.0131" u="1"/>
        <s v="03.001.0011" u="1"/>
        <s v="05.002.0001" u="1"/>
        <s v="06.050.0006" u="1"/>
        <s v="H710C553" u="1"/>
        <s v="ZM-014" u="1"/>
        <s v="H710C563" u="1"/>
        <s v="04.003.0142" u="1"/>
        <s v="04.005.0132" u="1"/>
        <s v="06.216.0001" u="1"/>
        <s v="03.001.0012" u="1"/>
        <s v="06.050.0007" u="1"/>
        <s v="H710C573" u="1"/>
        <s v="H710C607" u="1"/>
        <s v="SH-20000-85500" u="1"/>
        <s v="H710C583" u="1"/>
        <s v="T619A000" u="1"/>
        <s v="H710C617" u="1"/>
        <s v="04.003.0143" u="1"/>
        <s v="04.005.0133" u="1"/>
        <s v="06.050.0008" u="1"/>
        <s v="H710C593" u="1"/>
        <s v="H710C627" u="1"/>
        <s v="SH-63019-63130" u="1"/>
        <s v="H710C637" u="1"/>
        <s v="04.003.0144" u="1"/>
        <s v="04.005.0134" u="1"/>
        <s v="06.050.0009" u="1"/>
        <s v="H710C647" u="1"/>
        <s v="H710C1045" u="1"/>
        <s v="H710C657" u="1"/>
        <s v="04.003.0145" u="1"/>
        <s v="04.005.0135" u="1"/>
        <s v="03.001.0015" u="1"/>
        <s v="03.003.0005" u="1"/>
        <s v="06.150.0002" u="1"/>
        <s v="H710C1145" u="1"/>
        <s v="H710C667" u="1"/>
        <s v="H710C1245" u="1"/>
        <s v="H710C677" u="1"/>
        <s v="04.005.0136" u="1"/>
        <s v="03.001.0016" u="1"/>
        <s v="03.003.0006" u="1"/>
        <s v="06.150.0003" u="1"/>
        <s v="SH-72017-14100" u="1"/>
        <s v="H710C1345" u="1"/>
        <s v="H710C687" u="1"/>
        <s v="SH-20016-71601" u="1"/>
        <s v="H710C1445" u="1"/>
        <s v="SH-20142-41210" u="1"/>
        <s v="H710C697" u="1"/>
        <s v="04.005.0137" u="1"/>
        <s v="03.001.0017" u="1"/>
        <s v="03.003.0007" u="1"/>
        <s v="06.150.0004" u="1"/>
        <s v="H710C1545" u="1"/>
        <s v="H710C1645" u="1"/>
        <s v="04.005.0138" u="1"/>
        <s v="03.001.0018" u="1"/>
        <s v="03.003.0008" u="1"/>
        <s v="H710C1745" u="1"/>
        <s v="H710C2085" u="1"/>
        <s v="H710C1845" u="1"/>
        <s v="04.005.0139" u="1"/>
        <s v="03.003.0009" u="1"/>
        <s v="06.150.0006" u="1"/>
        <s v="H710C1945" u="1"/>
        <s v="SH-70162-75100" u="1"/>
        <s v="06.062.0010" u="1"/>
        <s v="06.150.0007" u="1"/>
        <s v="H710C400" u="1"/>
        <s v="SH-20018-31251" u="1"/>
        <s v="06.062.0011" u="1"/>
        <s v="06.150.0008" u="1"/>
        <s v="H710C410" u="1"/>
        <s v="H710C420" u="1"/>
        <s v="06.062.0012" u="1"/>
        <s v="06.150.0009" u="1"/>
        <s v="H710C430" u="1"/>
        <s v="H710C440" u="1"/>
        <s v="H224C700" u="1"/>
        <s v="06.062.0013" u="1"/>
        <s v="H710C450" u="1"/>
        <s v="OT-02030-06202" u="1"/>
        <s v="CR-523" u="1"/>
        <s v="H710C460" u="1"/>
        <s v="06.062.0014" u="1"/>
        <s v="EC-61020623030" u="1"/>
        <s v="H710C470" u="1"/>
        <s v="EC-V100000450" u="1"/>
        <s v="H710C504" u="1"/>
        <s v="CRE-856" u="1"/>
        <s v="H710C480" u="1"/>
        <s v="01.016.0010" u="1"/>
        <s v="03.011.0030" u="1"/>
        <s v="03.015.0010" u="1"/>
        <s v="06.062.0015" u="1"/>
        <s v="H710C514" u="1"/>
        <s v="CRE-857" u="1"/>
        <s v="H710C490" u="1"/>
        <s v="H710C524" u="1"/>
        <s v="SH-22160-51220" u="1"/>
        <s v="01.016.0011" u="1"/>
        <s v="01.018.0001" u="1"/>
        <s v="03.011.0031" u="1"/>
        <s v="03.015.0011" u="1"/>
        <s v="03.017.0001" u="1"/>
        <s v="06.062.0016" u="1"/>
        <s v="H710C534" u="1"/>
        <s v="SH-22035-13271" u="1"/>
        <s v="JF-083" u="1"/>
        <s v="H710C544" u="1"/>
        <s v="SH-67001-62211" u="1"/>
        <s v="01.016.0012" u="1"/>
        <s v="01.018.0002" u="1"/>
        <s v="03.011.0032" u="1"/>
        <s v="03.013.0022" u="1"/>
        <s v="03.015.0012" u="1"/>
        <s v="03.017.0002" u="1"/>
        <s v="H710C554" u="1"/>
        <s v="H710C564" u="1"/>
        <s v="SH-88421" u="1"/>
        <s v="ALEN 6X20" u="1"/>
        <s v="01.016.0013" u="1"/>
        <s v="01.018.0003" u="1"/>
        <s v="03.011.0033" u="1"/>
        <s v="03.013.0023" u="1"/>
        <s v="03.015.0013" u="1"/>
        <s v="03.017.0003" u="1"/>
        <s v="H710C574" u="1"/>
        <s v="H710C608" u="1"/>
        <s v="H710C584" u="1"/>
        <s v="H710C618" u="1"/>
        <s v="EC-A226000660" u="1"/>
        <s v="SH-38500-71110" u="1"/>
        <s v="01.018.0004" u="1"/>
        <s v="03.011.0034" u="1"/>
        <s v="03.013.0024" u="1"/>
        <s v="03.015.0014" u="1"/>
        <s v="H710C594" u="1"/>
        <s v="EC-17812743230" u="1"/>
        <s v="H710C628" u="1"/>
        <s v="H710C638" u="1"/>
        <s v="EC-V103000850" u="1"/>
        <s v="01.018.0005" u="1"/>
        <s v="03.011.0035" u="1"/>
        <s v="03.013.0025" u="1"/>
        <s v="03.015.0015" u="1"/>
        <s v="03.017.0005" u="1"/>
        <s v="06.164.0002" u="1"/>
        <s v="H523B100" u="1"/>
        <s v="H710C648" u="1"/>
        <s v="110106152555374" u="1"/>
        <s v="H710C1055" u="1"/>
        <s v="H710C658" u="1"/>
        <s v="EC-V103000950" u="1"/>
        <s v="01.018.0006" u="1"/>
        <s v="03.013.0026" u="1"/>
        <s v="03.015.0016" u="1"/>
        <s v="03.017.0006" u="1"/>
        <s v="06.164.0003" u="1"/>
        <s v="H710C1155" u="1"/>
        <s v="SH-62113-83010" u="1"/>
        <s v="H710C668" u="1"/>
        <s v="H710C1255" u="1"/>
        <s v="H710C678" u="1"/>
        <s v="01.016.0017" u="1"/>
        <s v="01.018.0007" u="1"/>
        <s v="03.013.0027" u="1"/>
        <s v="03.015.0017" u="1"/>
        <s v="H710C1355" u="1"/>
        <s v="H710C688" u="1"/>
        <s v="H710C1455" u="1"/>
        <s v="EC-P022007020" u="1"/>
        <s v="H710C698" u="1"/>
        <s v="01.016.0018" u="1"/>
        <s v="01.018.0008" u="1"/>
        <s v="03.013.0028" u="1"/>
        <s v="03.015.0018" u="1"/>
        <s v="H710C1555" u="1"/>
        <s v="H710C1655" u="1"/>
        <s v="01.016.0019" u="1"/>
        <s v="01.018.0009" u="1"/>
        <s v="03.013.0029" u="1"/>
        <s v="03.015.0019" u="1"/>
        <s v="03.017.0009" u="1"/>
        <s v="SH-72933-75140" u="1"/>
        <s v="SH-70131-75200" u="1"/>
        <s v="H710C1755" u="1"/>
        <s v="H710C2095" u="1"/>
        <s v="H710C1855" u="1"/>
        <s v="H710C1955" u="1"/>
        <s v="06.072.0031" u="1"/>
        <s v="06.078.0001" u="1"/>
        <s v="EC-488/EMC" u="1"/>
        <s v="H710C401" u="1"/>
        <s v="06.072.0032" u="1"/>
        <s v="H710C411" u="1"/>
        <s v="H710C421" u="1"/>
        <s v="06.072.0033" u="1"/>
        <s v="H710C431" u="1"/>
        <s v="CR-099" u="1"/>
        <s v="H710C441" u="1"/>
        <s v="06.072.0034" u="1"/>
        <s v="H710C451" u="1"/>
        <s v="H710C461" u="1"/>
        <s v="06.042.0080" u="1"/>
        <s v="01.024.0040" u="1"/>
        <s v="03.023.0040" u="1"/>
        <s v="06.072.0035" u="1"/>
        <s v="02.001.0010" u="1"/>
        <s v="H710C471" u="1"/>
        <s v="H710C505" u="1"/>
        <s v="H710C481" u="1"/>
        <s v="T415A000" u="1"/>
        <s v="06.042.0081" u="1"/>
        <s v="01.024.0041" u="1"/>
        <s v="01.028.0021" u="1"/>
        <s v="03.023.0041" u="1"/>
        <s v="06.072.0036" u="1"/>
        <s v="H710C515" u="1"/>
        <s v="T425A000" u="1"/>
        <s v="02.001.0011" u="1"/>
        <s v="02.003.0001" u="1"/>
        <s v="H710C491" u="1"/>
        <s v="H710C525" u="1"/>
        <s v="SH-4551800" u="1"/>
        <s v="06.042.0082" u="1"/>
        <s v="01.028.0022" u="1"/>
        <s v="03.023.0042" u="1"/>
        <s v="06.072.0037" u="1"/>
        <s v="H710C535" u="1"/>
        <s v="02.001.0012" u="1"/>
        <s v="SH-20000-81740" u="1"/>
        <s v="JF-283" u="1"/>
        <s v="H710C545" u="1"/>
        <s v="06.042.0083" u="1"/>
        <s v="01.024.0043" u="1"/>
        <s v="01.028.0023" u="1"/>
        <s v="03.023.0043" u="1"/>
        <s v="06.072.0038" u="1"/>
        <s v="SH-20000-21211" u="1"/>
        <s v="SH-20000-41210" u="1"/>
        <s v="H710C555" u="1"/>
        <s v="02.001.0013" u="1"/>
        <s v="SH-20010-21211" u="1"/>
        <s v="SH-20010-41210" u="1"/>
        <s v="OT-587" u="1"/>
        <s v="H710C565" u="1"/>
        <s v="CR-022" u="1"/>
        <s v="06.042.0084" u="1"/>
        <s v="01.024.0044" u="1"/>
        <s v="01.028.0024" u="1"/>
        <s v="03.023.0044" u="1"/>
        <s v="06.072.0039" u="1"/>
        <s v="06.178.0001" u="1"/>
        <s v="H710C575" u="1"/>
        <s v="02.001.0014" u="1"/>
        <s v="H710C609" u="1"/>
        <s v="H710C585" u="1"/>
        <s v="H710C619" u="1"/>
        <s v="06.042.0085" u="1"/>
        <s v="01.024.0045" u="1"/>
        <s v="01.028.0025" u="1"/>
        <s v="03.023.0045" u="1"/>
        <s v="06.176.0012" u="1"/>
        <s v="06.178.0002" u="1"/>
        <s v="SH-99909-159" u="1"/>
        <s v="H710C595" u="1"/>
        <s v="H710C629" u="1"/>
        <s v="H710C639" u="1"/>
        <s v="06.042.0086" u="1"/>
        <s v="SH-70020-75100" u="1"/>
        <s v="01.024.0046" u="1"/>
        <s v="01.028.0026" u="1"/>
        <s v="03.023.0046" u="1"/>
        <s v="06.176.0013" u="1"/>
        <s v="06.178.0003" u="1"/>
        <s v="H710C649" u="1"/>
        <s v="JF-020" u="1"/>
        <s v="H710C1065" u="1"/>
        <s v="EC-13031002910" u="1"/>
        <s v="H710C659" u="1"/>
        <s v="06.042.0087" u="1"/>
        <s v="01.028.0027" u="1"/>
        <s v="03.023.0047" u="1"/>
        <s v="06.176.0014" u="1"/>
        <s v="06.178.0004" u="1"/>
        <s v="02.001.0017" u="1"/>
        <s v="H710C1165" u="1"/>
        <s v="SH-4042881" u="1"/>
        <s v="H710C669" u="1"/>
        <s v="H710C1265" u="1"/>
        <s v="H710C679" u="1"/>
        <s v="06.042.0088" u="1"/>
        <s v="01.028.0028" u="1"/>
        <s v="03.023.0048" u="1"/>
        <s v="06.176.0015" u="1"/>
        <s v="02.001.0018" u="1"/>
        <s v="H710C1365" u="1"/>
        <s v="SH-72432-13230" u="1"/>
        <s v="H710C689" u="1"/>
        <s v="10.006.0001" u="1"/>
        <s v="H710C1465" u="1"/>
        <s v="H710C699" u="1"/>
        <s v="06.042.0089" u="1"/>
        <s v="01.024.0049" u="1"/>
        <s v="01.028.0029" u="1"/>
        <s v="03.023.0049" u="1"/>
        <s v="02.001.0019" u="1"/>
        <s v="06.101.0001" u="1"/>
        <s v="H710C1565" u="1"/>
        <s v="10.006.0002" u="1"/>
        <s v="H710C1665" u="1"/>
        <s v="06.080.0060" u="1"/>
        <s v="SH-72051-98310" u="1"/>
        <s v="H710C1765" u="1"/>
        <s v="10.006.0003" u="1"/>
        <s v="H710C1865" u="1"/>
        <s v="06.080.0061" u="1"/>
        <s v="06.088.0021" u="1"/>
        <s v="10000000972" u="1"/>
        <s v="H710C2008" u="1"/>
        <s v="H710C1965" u="1"/>
        <s v="H710C2108" u="1"/>
        <s v="10.006.0004" u="1"/>
        <s v="CR-122" u="1"/>
        <s v="EC-13031051730" u="1"/>
        <s v="06.080.0062" u="1"/>
        <s v="06.088.0022" u="1"/>
        <s v="06.101.0004" u="1"/>
        <s v="SH-70210-12111" u="1"/>
        <s v="H710C402" u="1"/>
        <s v="06.080.0063" u="1"/>
        <s v="06.088.0023" u="1"/>
        <s v="H710C412" u="1"/>
        <s v="H710C422" u="1"/>
        <s v="06.080.0064" u="1"/>
        <s v="06.088.0024" u="1"/>
        <s v="H710C432" u="1"/>
        <s v="H710C442" u="1"/>
        <s v="EC-A226000070" u="1"/>
        <s v="01.018.0140" u="1"/>
        <s v="06.080.0065" u="1"/>
        <s v="H710C452" u="1"/>
        <s v="H710C462" u="1"/>
        <s v="01.018.0141" u="1"/>
        <s v="06.080.0066" u="1"/>
        <s v="06.015.0001" u="1"/>
        <s v="SH-62035-33130" u="1"/>
        <s v="H710C472" u="1"/>
        <s v="H710C506" u="1"/>
        <s v="H710C482" u="1"/>
        <s v="01.018.0142" u="1"/>
        <s v="06.080.0067" u="1"/>
        <s v="H710C516" u="1"/>
        <s v="T427A000" u="1"/>
        <s v="06.015.0002" u="1"/>
        <s v="06.201.0001" u="1"/>
        <s v="H710C492" u="1"/>
        <s v="H710C526" u="1"/>
        <s v="01.018.0143" u="1"/>
        <s v="06.080.0068" u="1"/>
        <s v="H710C536" u="1"/>
        <s v="06.201.0002" u="1"/>
        <s v="EC-9103006010" u="1"/>
        <s v="H710C546" u="1"/>
        <s v="3FPAP310218" u="1"/>
        <s v="CR-036" u="1"/>
        <s v="01.018.0144" u="1"/>
        <s v="06.080.0069" u="1"/>
        <s v="H710C556" u="1"/>
        <s v="H710C566" u="1"/>
        <s v="01.018.0145" u="1"/>
        <s v="SH-20021-41210" u="1"/>
        <s v="H710C576" u="1"/>
        <s v="H710C586" u="1"/>
        <s v="SH-108644-30" u="1"/>
        <s v="EC-A226000670" u="1"/>
        <s v="01.018.0146" u="1"/>
        <s v="H710C596" u="1"/>
        <s v="JF-034" u="1"/>
        <s v="01.018.0147" u="1"/>
        <s v="H710C1075" u="1"/>
        <s v="01.018.0148" u="1"/>
        <s v="06.113.0010" u="1"/>
        <s v="H710C1175" u="1"/>
        <s v="H710C1275" u="1"/>
        <s v="01.018.0149" u="1"/>
        <s v="06.113.0011" u="1"/>
        <s v="06.115.0001" u="1"/>
        <s v="H710C1375" u="1"/>
        <s v="H710C1475" u="1"/>
        <s v="EC-P022007030" u="1"/>
        <s v="06.094.0060" u="1"/>
        <s v="06.115.0002" u="1"/>
        <s v="H710C1575" u="1"/>
        <s v="EC-13120519831" u="1"/>
        <s v="H710C1675" u="1"/>
        <s v="06.094.0061" u="1"/>
        <s v="06.115.0003" u="1"/>
        <s v="EC-A356000050" u="1"/>
        <s v="SH-67000-51011" u="1"/>
        <s v="H710C1775" u="1"/>
        <s v="H710C1875" u="1"/>
        <s v="EC-P022007230" u="1"/>
        <s v="06.094.0062" u="1"/>
        <s v="06.098.0042" u="1"/>
        <s v="H710C2018" u="1"/>
        <s v="06.115.0004" u="1"/>
        <s v="H710C1975" u="1"/>
        <s v="H710C2118" u="1"/>
        <s v="06.098.0043" u="1"/>
        <s v="06.115.0005" u="1"/>
        <s v="EC-P022007430" u="1"/>
        <s v="H710C403" u="1"/>
        <s v="06.115.0006" u="1"/>
        <s v="H710C413" u="1"/>
        <s v="SH-02432-32120" u="1"/>
        <s v="H710C423" u="1"/>
        <s v="06.027.0010" u="1"/>
        <s v="06.115.0007" u="1"/>
        <s v="H710C433" u="1"/>
        <s v="EC-17723440630" u="1"/>
        <s v="SH-20011-12220" u="1"/>
        <s v="H710C443" u="1"/>
        <s v="06.027.0011" u="1"/>
        <s v="06.029.0001" u="1"/>
        <s v="06.115.0008" u="1"/>
        <s v="01.003.0001" u="1"/>
        <s v="05.001.0001" u="1"/>
        <s v="SH-22410-13530" u="1"/>
        <s v="H710C453" u="1"/>
        <s v="EC-A369000070" u="1"/>
        <s v="ZM-013" u="1"/>
        <s v="SH-4584160" u="1"/>
        <s v="SH-20024-75240" u="1"/>
        <s v="H710C463" u="1"/>
        <s v="06.094.0067" u="1"/>
        <s v="06.027.0012" u="1"/>
        <s v="06.029.0002" u="1"/>
        <s v="06.115.0009" u="1"/>
        <s v="06.215.0001" u="1"/>
        <s v="01.003.0002" u="1"/>
        <s v="H710C473" u="1"/>
        <s v="H710C507" u="1"/>
        <s v="H710C483" u="1"/>
        <s v="06.094.0068" u="1"/>
        <s v="H710C517" u="1"/>
        <s v="06.027.0013" u="1"/>
        <s v="06.029.0003" u="1"/>
        <s v="06.215.0002" u="1"/>
        <s v="01.003.0003" u="1"/>
        <s v="H710C493" u="1"/>
        <s v="H710C527" u="1"/>
        <s v="H710C537" u="1"/>
        <s v="06.027.0014" u="1"/>
        <s v="06.029.0004" u="1"/>
        <s v="01.003.0004" u="1"/>
        <s v="H710C547" u="1"/>
        <s v="H710C557" u="1"/>
        <s v="06.027.0015" u="1"/>
        <s v="06.029.0005" u="1"/>
        <s v="01.003.0005" u="1"/>
        <s v="05.001.0005" u="1"/>
        <s v="H710C567" u="1"/>
        <s v="H710C577" u="1"/>
        <s v="06.027.0016" u="1"/>
        <s v="06.029.0006" u="1"/>
        <s v="01.003.0006" u="1"/>
        <s v="03.002.0006" u="1"/>
        <s v="H710C587" u="1"/>
        <s v="EC-70602060A22" u="1"/>
        <s v="SH-20016-85400" u="1"/>
        <s v="H710C597" u="1"/>
        <s v="06.027.0017" u="1"/>
        <s v="06.029.0007" u="1"/>
        <s v="01.003.0007" u="1"/>
        <s v="EC-A200000140" u="1"/>
        <s v="06.027.0018" u="1"/>
        <s v="06.029.0008" u="1"/>
        <s v="06.127.0010" u="1"/>
        <s v="SH-M230" u="1"/>
        <s v="01.003.0008" u="1"/>
        <s v="H710C1085" u="1"/>
        <s v="EC-13201035430" u="1"/>
        <s v="SH-72518-91180" u="1"/>
        <s v="06.027.0019" u="1"/>
        <s v="06.029.0009" u="1"/>
        <s v="06.127.0011" u="1"/>
        <s v="06.129.0001" u="1"/>
        <s v="H710C1185" u="1"/>
        <s v="05.001.0009" u="1"/>
        <s v="H710C1285" u="1"/>
        <s v="13.002.0012" u="1"/>
        <s v="CR-DPTECT" u="1"/>
        <s v="06.129.0002" u="1"/>
        <s v="H710C1385" u="1"/>
        <s v="06.061.0010" u="1"/>
        <s v="H710C1485" u="1"/>
        <s v="13.002.0013" u="1"/>
        <s v="EC-P022010440" u="1"/>
        <s v="H710C300" u="1"/>
        <s v="06.129.0003" u="1"/>
        <s v="EC-15262656032" u="1"/>
        <s v="H710C1585" u="1"/>
        <s v="H710C2000" u="1"/>
        <s v="06.061.0011" u="1"/>
        <s v="H710C310" u="1"/>
        <s v="H710C1685" u="1"/>
        <s v="H710C2100" u="1"/>
        <s v="H710C320" u="1"/>
        <s v="H710C1785" u="1"/>
        <s v="06.061.0012" u="1"/>
        <s v="06.063.0002" u="1"/>
        <s v="EC-A200000640" u="1"/>
        <s v="H710C330" u="1"/>
        <s v="H710C1885" u="1"/>
        <s v="13.002.0015" u="1"/>
        <s v="H710C340" u="1"/>
        <s v="H710C2028" u="1"/>
        <s v="H710C1985" u="1"/>
        <s v="06.061.0013" u="1"/>
        <s v="06.063.0003" u="1"/>
        <s v="H710C350" u="1"/>
        <s v="13.002.0016" u="1"/>
        <s v="EC-13031051830" u="1"/>
        <s v="CR-084" u="1"/>
        <s v="H710C360" u="1"/>
        <s v="06.061.0014" u="1"/>
        <s v="06.063.0004" u="1"/>
        <s v="H710C370" u="1"/>
        <s v="H710C404" u="1"/>
        <s v="H710C380" u="1"/>
        <s v="01.011.0030" u="1"/>
        <s v="01.013.0020" u="1"/>
        <s v="06.061.0015" u="1"/>
        <s v="06.063.0005" u="1"/>
        <s v="H710C414" u="1"/>
        <s v="H710C390" u="1"/>
        <s v="SH-70005-86131" u="1"/>
        <s v="H710C424" u="1"/>
        <s v="01.011.0031" u="1"/>
        <s v="01.017.0001" u="1"/>
        <s v="03.012.0021" u="1"/>
        <s v="03.014.0011" u="1"/>
        <s v="06.061.0016" u="1"/>
        <s v="06.063.0006" u="1"/>
        <s v="H710C434" u="1"/>
        <s v="JF-082" u="1"/>
        <s v="H710C444" u="1"/>
        <s v="A518000010" u="1"/>
        <s v="01.011.0032" u="1"/>
        <s v="01.017.0002" u="1"/>
        <s v="03.012.0022" u="1"/>
        <s v="06.061.0017" u="1"/>
        <s v="H710C454" u="1"/>
        <s v="H710C464" u="1"/>
        <s v="01.011.0033" u="1"/>
        <s v="01.017.0003" u="1"/>
        <s v="03.012.0023" u="1"/>
        <s v="03.016.0003" u="1"/>
        <s v="06.061.0018" u="1"/>
        <s v="SH-22015-14331" u="1"/>
        <s v="H710C474" u="1"/>
        <s v="EC-V100000470" u="1"/>
        <s v="H710C508" u="1"/>
        <s v="H710C484" u="1"/>
        <s v="H710C518" u="1"/>
        <s v="01.011.0034" u="1"/>
        <s v="03.012.0024" u="1"/>
        <s v="03.014.0014" u="1"/>
        <s v="03.016.0004" u="1"/>
        <s v="06.061.0019" u="1"/>
        <s v="06.163.0001" u="1"/>
        <s v="H710C494" u="1"/>
        <s v="SH-20021-81700" u="1"/>
        <s v="H710C528" u="1"/>
        <s v="04.008.0080" u="1"/>
        <s v="H710C538" u="1"/>
        <s v="01.011.0035" u="1"/>
        <s v="01.017.0005" u="1"/>
        <s v="03.012.0025" u="1"/>
        <s v="03.014.0015" u="1"/>
        <s v="03.016.0005" u="1"/>
        <s v="06.163.0002" u="1"/>
        <s v="SH-18500-90000" u="1"/>
        <s v="H710C548" u="1"/>
        <s v="EC-P021006200" u="1"/>
        <s v="SH-20019-81440" u="1"/>
        <s v="04.008.0081" u="1"/>
        <s v="H710C558" u="1"/>
        <s v="01.011.0036" u="1"/>
        <s v="01.017.0006" u="1"/>
        <s v="03.012.0026" u="1"/>
        <s v="03.016.0006" u="1"/>
        <s v="06.163.0003" u="1"/>
        <s v="H710C568" u="1"/>
        <s v="EC-A226000580" u="1"/>
        <s v="04.008.0082" u="1"/>
        <s v="H710C578" u="1"/>
        <s v="01.011.0037" u="1"/>
        <s v="01.017.0007" u="1"/>
        <s v="03.012.0027" u="1"/>
        <s v="03.016.0007" u="1"/>
        <s v="06.163.0004" u="1"/>
        <s v="H710C588" u="1"/>
        <s v="04.008.0083" u="1"/>
        <s v="H710C598" u="1"/>
        <s v="06.133.0050" u="1"/>
        <s v="01.011.0038" u="1"/>
        <s v="01.013.0028" u="1"/>
        <s v="01.017.0008" u="1"/>
        <s v="03.012.0028" u="1"/>
        <s v="03.016.0008" u="1"/>
        <s v="04.008.0084" u="1"/>
        <s v="06.133.0051" u="1"/>
        <s v="01.011.0039" u="1"/>
        <s v="01.013.0029" u="1"/>
        <s v="01.017.0009" u="1"/>
        <s v="03.012.0029" u="1"/>
        <s v="03.014.0019" u="1"/>
        <s v="03.016.0009" u="1"/>
        <s v="JF-05001498" u="1"/>
        <s v="SH-4562530" u="1"/>
        <s v="H710C1095" u="1"/>
        <s v="04.008.0085" u="1"/>
        <s v="06.133.0052" u="1"/>
        <s v="SH-70157-51101" u="1"/>
        <s v="H710C1195" u="1"/>
        <s v="SH-22157-41112" u="1"/>
        <s v="EC-B450/AUS" u="1"/>
        <s v="H710C1295" u="1"/>
        <s v="04.008.0086" u="1"/>
        <s v="06.133.0053" u="1"/>
        <s v="H410B000" u="1"/>
        <s v="H710C1395" u="1"/>
        <s v="06.077.0001" u="1"/>
        <s v="ZM-061" u="1"/>
        <s v="H710C1495" u="1"/>
        <s v="SH-63880-62390" u="1"/>
        <s v="04.008.0087" u="1"/>
        <s v="H710C301" u="1"/>
        <s v="06.133.0054" u="1"/>
        <s v="H710C1595" u="1"/>
        <s v="H710C2010" u="1"/>
        <s v="H460B000" u="1"/>
        <s v="H710C311" u="1"/>
        <s v="H710C1695" u="1"/>
        <s v="H710C2110" u="1"/>
        <s v="04.008.0088" u="1"/>
        <s v="H710C321" u="1"/>
        <s v="06.133.0055" u="1"/>
        <s v="H710C1795" u="1"/>
        <s v="06.077.0003" u="1"/>
        <s v="H710C331" u="1"/>
        <s v="H710C1895" u="1"/>
        <s v="CR-098" u="1"/>
        <s v="04.008.0089" u="1"/>
        <s v="H710C341" u="1"/>
        <s v="H710C2038" u="1"/>
        <s v="06.133.0056" u="1"/>
        <s v="H710C1995" u="1"/>
        <s v="06.077.0004" u="1"/>
        <s v="EC-89852017130" u="1"/>
        <s v="H710C351" u="1"/>
        <s v="H710C361" u="1"/>
        <s v="06.133.0057" u="1"/>
        <s v="SH-72451-14570" u="1"/>
        <s v="01.025.0030" u="1"/>
        <s v="06.077.0005" u="1"/>
        <s v="H710C371" u="1"/>
        <s v="H710C405" u="1"/>
        <s v="H710C381" u="1"/>
        <s v="06.133.0058" u="1"/>
        <s v="01.025.0031" u="1"/>
        <s v="06.077.0006" u="1"/>
        <s v="H710C415" u="1"/>
        <s v="H710C391" u="1"/>
        <s v="H710C425" u="1"/>
        <s v="06.133.0059" u="1"/>
        <s v="01.025.0032" u="1"/>
        <s v="06.077.0007" u="1"/>
        <s v="H710C435" u="1"/>
        <s v="JF-282" u="1"/>
        <s v="H710C445" u="1"/>
        <s v="01.025.0033" u="1"/>
        <s v="06.077.0008" u="1"/>
        <s v="06.175.0010" u="1"/>
        <s v="H710C455" u="1"/>
        <s v="04.001.0003" u="1"/>
        <s v="H710C465" u="1"/>
        <s v="CR-021" u="1"/>
        <s v="ALEN 5X30" u="1"/>
        <s v="01.025.0034" u="1"/>
        <s v="06.077.0009" u="1"/>
        <s v="EC-70602046780" u="1"/>
        <s v="H710C475" u="1"/>
        <s v="H710C509" u="1"/>
        <s v="H710C485" u="1"/>
        <s v="H710C519" u="1"/>
        <s v="01.025.0035" u="1"/>
        <s v="PAL60" u="1"/>
        <s v="H710C495" u="1"/>
        <s v="H461B000" u="1"/>
        <s v="H710C529" u="1"/>
        <s v="H710C539" u="1"/>
        <s v="01.025.0036" u="1"/>
        <s v="06.177.0003" u="1"/>
        <s v="04.001.0006" u="1"/>
        <s v="H710C549" u="1"/>
        <s v="SH-P230/EC1" u="1"/>
        <s v="H710C559" u="1"/>
        <s v="01.025.0037" u="1"/>
        <s v="04.001.0007" u="1"/>
        <s v="H710C569" u="1"/>
        <s v="SH-20024-41210" u="1"/>
        <s v="H710C579" u="1"/>
        <s v="01.025.0038" u="1"/>
        <s v="04.001.0008" u="1"/>
        <s v="H710C589" u="1"/>
        <s v="SH-22155-97610" u="1"/>
        <s v="10.005.0001" u="1"/>
        <s v="H710C599" u="1"/>
        <s v="01.025.0039" u="1"/>
        <s v="06.177.0006" u="1"/>
        <s v="04.001.0009" u="1"/>
        <s v="06.100.0001" u="1"/>
        <s v="06.089.0010" u="1"/>
        <s v="06.100.0002" u="1"/>
        <s v="CR-999" u="1"/>
        <s v="10.005.0003" u="1"/>
        <s v="06.089.0011" u="1"/>
        <s v="H710C1008" u="1"/>
        <s v="H710C1108" u="1"/>
        <s v="10.005.0004" u="1"/>
        <s v="CR-121" u="1"/>
        <s v="06.089.0012" u="1"/>
        <s v="H710C1208" u="1"/>
        <s v="H710C1308" u="1"/>
        <s v="H710C302" u="1"/>
        <s v="H710C2020" u="1"/>
        <s v="H710C1408" u="1"/>
        <s v="H462B000" u="1"/>
        <s v="H710C312" u="1"/>
        <s v="H710C2120" u="1"/>
        <s v="H710C1508" u="1"/>
        <s v="H710C322" u="1"/>
        <s v="06.089.0014" u="1"/>
        <s v="H710C1608" u="1"/>
        <s v="H710C332" u="1"/>
        <s v="H710C1708" u="1"/>
        <s v="H710C342" u="1"/>
        <s v="H710C2048" u="1"/>
        <s v="01.019.0130" u="1"/>
        <s v="06.089.0015" u="1"/>
        <s v="H710C1808" u="1"/>
        <s v="EC-P022025180" u="1"/>
        <s v="SH-4573060" u="1"/>
        <s v="H710C352" u="1"/>
        <s v="H710C1908" u="1"/>
        <s v="SH-99909-34570" u="1"/>
        <s v="H710C362" u="1"/>
        <s v="01.019.0131" u="1"/>
        <s v="06.089.0016" u="1"/>
        <s v="06.014.0001" u="1"/>
        <s v="SH-4575060" u="1"/>
        <s v="H710C372" u="1"/>
        <s v="H710C406" u="1"/>
        <s v="H710C382" u="1"/>
        <s v="01.019.0132" u="1"/>
        <s v="H710C416" u="1"/>
        <s v="06.014.0002" u="1"/>
        <s v="06.200.0001" u="1"/>
        <s v="H710C392" u="1"/>
        <s v="H710C426" u="1"/>
        <s v="01.019.0133" u="1"/>
        <s v="06.089.0018" u="1"/>
        <s v="H710C436" u="1"/>
        <s v="SH-20035-75200" u="1"/>
        <s v="SH-20016-12120" u="1"/>
        <s v="H710C446" u="1"/>
        <s v="CR-035" u="1"/>
        <s v="01.019.0134" u="1"/>
        <s v="06.089.0019" u="1"/>
        <s v="SH-62035-32330" u="1"/>
        <s v="H710C456" u="1"/>
        <s v="SH-70210-15311" u="1"/>
        <s v="H710C466" u="1"/>
        <s v="EC-V107000080" u="1"/>
        <s v="H403B000" u="1"/>
        <s v="ALEN 5X40" u="1"/>
        <s v="01.019.0135" u="1"/>
        <s v="H710C476" u="1"/>
        <s v="06.014.0005" u="1"/>
        <s v="H710C486" u="1"/>
        <s v="EC-SRM 4300R" u="1"/>
        <s v="01.019.0136" u="1"/>
        <s v="H710C496" u="1"/>
        <s v="06.014.0006" u="1"/>
        <s v="SH-22150-51520" u="1"/>
        <s v="JF-033" u="1"/>
        <s v="01.019.0137" u="1"/>
        <s v="SH-18500-50102" u="1"/>
        <s v="06.014.0007" u="1"/>
        <s v="EC-A225000490" u="1"/>
        <s v="EC-12532508360" u="1"/>
        <s v="SH-20010-81771" u="1"/>
        <s v="SH-82002" u="1"/>
        <s v="01.019.0138" u="1"/>
        <s v="06.014.0008" u="1"/>
        <s v="06.110.0020" u="1"/>
        <s v="10.019.0001" u="1"/>
        <s v="01.019.0139" u="1"/>
        <s v="06.014.0009" u="1"/>
        <s v="06.110.0021" u="1"/>
        <s v="06.114.0001" u="1"/>
        <s v="SH-72547-91100" u="1"/>
        <s v="06.110.0022" u="1"/>
        <s v="06.114.0002" u="1"/>
        <s v="10.019.0003" u="1"/>
        <s v="06.110.0023" u="1"/>
        <s v="06.114.0003" u="1"/>
        <s v="H710C1018" u="1"/>
        <s v="06.110.0024" u="1"/>
        <s v="06.114.0004" u="1"/>
        <s v="H710C1118" u="1"/>
        <s v="H710C1218" u="1"/>
        <s v="06.110.0025" u="1"/>
        <s v="06.114.0005" u="1"/>
        <s v="H224B100" u="1"/>
        <s v="H710C1318" u="1"/>
        <s v="H710C303" u="1"/>
        <s v="H710C2030" u="1"/>
        <s v="SH-22175-82310" u="1"/>
        <s v="H710C1418" u="1"/>
        <s v="06.110.0026" u="1"/>
        <s v="06.114.0006" u="1"/>
        <s v="SH-20016-71200" u="1"/>
        <s v="H710C313" u="1"/>
        <s v="H710C1518" u="1"/>
        <s v="H710C323" u="1"/>
        <s v="EC-P022006910" u="1"/>
        <s v="H710C1618" u="1"/>
        <s v="04.003.0130" u="1"/>
        <s v="04.005.0120" u="1"/>
        <s v="06.026.0010" u="1"/>
        <s v="06.110.0027" u="1"/>
        <s v="06.114.0007" u="1"/>
        <s v="SH-20016-72200" u="1"/>
        <s v="H710C333" u="1"/>
        <s v="EC-90016205050" u="1"/>
        <s v="EC-A556000021" u="1"/>
        <s v="H710C1718" u="1"/>
        <s v="H710C343" u="1"/>
        <s v="H710C2058" u="1"/>
        <s v="H710C1818" u="1"/>
        <s v="04.003.0131" u="1"/>
        <s v="04.005.0121" u="1"/>
        <s v="06.026.0011" u="1"/>
        <s v="06.028.0001" u="1"/>
        <s v="06.110.0028" u="1"/>
        <s v="06.114.0008" u="1"/>
        <s v="EC-10101006211" u="1"/>
        <s v="01.002.0001" u="1"/>
        <s v="03.001.0001" u="1"/>
        <s v="H710C353" u="1"/>
        <s v="ZM-012" u="1"/>
        <s v="H710C1918" u="1"/>
        <s v="H710C363" u="1"/>
        <s v="T427B300" u="1"/>
        <s v="04.003.0132" u="1"/>
        <s v="04.005.0122" u="1"/>
        <s v="06.026.0012" u="1"/>
        <s v="06.028.0002" u="1"/>
        <s v="06.110.0029" u="1"/>
        <s v="06.114.0009" u="1"/>
        <s v="01.002.0002" u="1"/>
        <s v="03.001.0002" u="1"/>
        <s v="H710C373" u="1"/>
        <s v="H710C407" u="1"/>
        <s v="H710C383" u="1"/>
        <s v="H710C417" u="1"/>
        <s v="04.003.0133" u="1"/>
        <s v="04.005.0123" u="1"/>
        <s v="06.026.0013" u="1"/>
        <s v="06.028.0003" u="1"/>
        <s v="06.214.0002" u="1"/>
        <s v="01.002.0003" u="1"/>
        <s v="03.001.0003" u="1"/>
        <s v="H710C393" u="1"/>
        <s v="H710C427" u="1"/>
        <s v="CR-049" u="1"/>
        <s v="H710C437" u="1"/>
        <s v="04.003.0134" u="1"/>
        <s v="06.028.0004" u="1"/>
        <s v="H710C447" u="1"/>
        <s v="H710C457" u="1"/>
        <s v="04.003.0135" u="1"/>
        <s v="04.005.0125" u="1"/>
        <s v="03.001.0005" u="1"/>
        <s v="H710C467" u="1"/>
        <s v="H710C477" u="1"/>
        <s v="04.003.0136" u="1"/>
        <s v="04.005.0126" u="1"/>
        <s v="06.028.0006" u="1"/>
        <s v="03.001.0006" u="1"/>
        <s v="H710C487" u="1"/>
        <s v="H710C497" u="1"/>
        <s v="04.003.0137" u="1"/>
        <s v="04.005.0127" u="1"/>
        <s v="06.028.0007" u="1"/>
        <s v="03.001.0007" u="1"/>
        <s v="JF-233" u="1"/>
        <s v="04.003.0138" u="1"/>
        <s v="04.005.0128" u="1"/>
        <s v="SH-82003" u="1"/>
        <s v="04.003.0139" u="1"/>
        <s v="04.005.0129" u="1"/>
        <s v="06.128.0001" u="1"/>
        <s v="03.001.0009" u="1"/>
        <s v="SH-60035-98070" u="1"/>
        <s v="SH-22169-53120" u="1"/>
        <s v="06.042.0100" u="1"/>
        <s v="SH-20056-81740" u="1"/>
        <s v="H710C200" u="1"/>
        <s v="EC-A202000060" u="1"/>
        <s v="H710C1000" u="1"/>
        <s v="06.042.0101" u="1"/>
        <s v="06.062.0001" u="1"/>
        <s v="SH-90SG-033X" u="1"/>
        <s v="H710C210" u="1"/>
        <s v="H710C1100" u="1"/>
        <s v="H710C220" u="1"/>
        <s v="SH-70036-75100" u="1"/>
        <s v="H710C1200" u="1"/>
        <s v="06.042.0102" u="1"/>
        <s v="06.062.0002" u="1"/>
        <s v="H710C230" u="1"/>
        <s v="SH-09510" u="1"/>
        <s v="H710C1300" u="1"/>
        <s v="SH-4044231" u="1"/>
        <s v="H342B000" u="1"/>
        <s v="H352B000" u="1"/>
        <s v="H710C240" u="1"/>
        <s v="H710C1028" u="1"/>
        <s v="H710C1400" u="1"/>
        <s v="06.062.0003" u="1"/>
        <s v="H710C250" u="1"/>
        <s v="H710C1128" u="1"/>
        <s v="H710C1500" u="1"/>
        <s v="H710C260" u="1"/>
        <s v="H710C1228" u="1"/>
        <s v="H710C1600" u="1"/>
        <s v="06.062.0004" u="1"/>
        <s v="H710C270" u="1"/>
        <s v="H710C1328" u="1"/>
        <s v="EC-SHP 800" u="1"/>
        <s v="H710C1700" u="1"/>
        <s v="H710C304" u="1"/>
        <s v="H710C2040" u="1"/>
        <s v="EC-A411000031" u="1"/>
        <s v="H710C280" u="1"/>
        <s v="H710C1428" u="1"/>
        <s v="H710C1800" u="1"/>
        <s v="03.011.0020" u="1"/>
        <s v="06.062.0005" u="1"/>
        <s v="H710C314" u="1"/>
        <s v="H710C290" u="1"/>
        <s v="H710C1528" u="1"/>
        <s v="H710C1900" u="1"/>
        <s v="H710C324" u="1"/>
        <s v="H710C1628" u="1"/>
        <s v="01.016.0001" u="1"/>
        <s v="03.011.0021" u="1"/>
        <s v="03.013.0011" u="1"/>
        <s v="03.015.0001" u="1"/>
        <s v="06.062.0006" u="1"/>
        <s v="H710C334" u="1"/>
        <s v="JF-081" u="1"/>
        <s v="H710C1728" u="1"/>
        <s v="H710C344" u="1"/>
        <s v="H710C2068" u="1"/>
        <s v="EC-P021010574" u="1"/>
        <s v="H710C1828" u="1"/>
        <s v="01.016.0002" u="1"/>
        <s v="03.011.0022" u="1"/>
        <s v="03.015.0002" u="1"/>
        <s v="06.062.0007" u="1"/>
        <s v="H710C354" u="1"/>
        <s v="SH-90SG-039X" u="1"/>
        <s v="H710C1928" u="1"/>
        <s v="H710C364" u="1"/>
        <s v="ALEN 4X20" u="1"/>
        <s v="01.016.0003" u="1"/>
        <s v="03.011.0023" u="1"/>
        <s v="03.013.0013" u="1"/>
        <s v="03.015.0003" u="1"/>
        <s v="06.062.0008" u="1"/>
        <s v="H710C374" u="1"/>
        <s v="H710C408" u="1"/>
        <s v="H710C384" u="1"/>
        <s v="H710C418" u="1"/>
        <s v="H711C200" u="1"/>
        <s v="01.016.0004" u="1"/>
        <s v="03.011.0024" u="1"/>
        <s v="03.013.0014" u="1"/>
        <s v="03.015.0004" u="1"/>
        <s v="06.062.0009" u="1"/>
        <s v="06.162.0001" u="1"/>
        <s v="H710C394" u="1"/>
        <s v="H710C428" u="1"/>
        <s v="H710C438" u="1"/>
        <s v="01.016.0005" u="1"/>
        <s v="03.013.0015" u="1"/>
        <s v="03.015.0005" u="1"/>
        <s v="06.162.0002" u="1"/>
        <s v="H710C448" u="1"/>
        <s v="04.005.0091" u="1"/>
        <s v="71420544" u="1"/>
        <s v="H710C458" u="1"/>
        <s v="01.016.0006" u="1"/>
        <s v="03.013.0016" u="1"/>
        <s v="03.015.0006" u="1"/>
        <s v="H710C468" u="1"/>
        <s v="SH-62104-32321" u="1"/>
        <s v="SH-20011-35110" u="1"/>
        <s v="04.005.0092" u="1"/>
        <s v="H710C478" u="1"/>
        <s v="01.016.0007" u="1"/>
        <s v="03.013.0017" u="1"/>
        <s v="03.015.0007" u="1"/>
        <s v="H710C488" u="1"/>
        <s v="04.005.0093" u="1"/>
        <s v="H710C498" u="1"/>
        <s v="01.016.0008" u="1"/>
        <s v="03.011.0028" u="1"/>
        <s v="03.013.0018" u="1"/>
        <s v="03.015.0008" u="1"/>
        <s v="04.005.0094" u="1"/>
        <s v="01.016.0009" u="1"/>
        <s v="03.011.0029" u="1"/>
        <s v="03.015.0009" u="1"/>
        <s v="SH-72330-54651" u="1"/>
        <s v="04.005.0095" u="1"/>
        <s v="EC-CS 680S-50" u="1"/>
        <s v="06.072.0020" u="1"/>
        <s v="06.074.0010" u="1"/>
        <s v="04.005.0096" u="1"/>
        <s v="06.074.0011" u="1"/>
        <s v="06.076.0001" u="1"/>
        <s v="ZM-060" u="1"/>
        <s v="SH-20051-83900" u="1"/>
        <s v="04.005.0097" u="1"/>
        <s v="H710C201" u="1"/>
        <s v="H710C1010" u="1"/>
        <s v="06.074.0012" u="1"/>
        <s v="06.076.0002" u="1"/>
        <s v="H710C211" u="1"/>
        <s v="MY-1901-12" u="1"/>
        <s v="H710C1110" u="1"/>
        <s v="04.005.0098" u="1"/>
        <s v="H710C221" u="1"/>
        <s v="H710C1210" u="1"/>
        <s v="06.072.0023" u="1"/>
        <s v="06.074.0013" u="1"/>
        <s v="06.076.0003" u="1"/>
        <s v="H710C231" u="1"/>
        <s v="H710C1310" u="1"/>
        <s v="EC-C400000211" u="1"/>
        <s v="CR-097" u="1"/>
        <s v="04.005.0099" u="1"/>
        <s v="H710C241" u="1"/>
        <s v="H710C1038" u="1"/>
        <s v="H710C1410" u="1"/>
        <s v="06.072.0024" u="1"/>
        <s v="06.074.0014" u="1"/>
        <s v="06.076.0004" u="1"/>
        <s v="H364B000" u="1"/>
        <s v="H374B000" u="1"/>
        <s v="H710C251" u="1"/>
        <s v="H710C1138" u="1"/>
        <s v="H710C1510" u="1"/>
        <s v="H710C261" u="1"/>
        <s v="H710C1238" u="1"/>
        <s v="06.042.0070" u="1"/>
        <s v="H710C1610" u="1"/>
        <s v="01.028.0010" u="1"/>
        <s v="03.023.0030" u="1"/>
        <s v="06.072.0025" u="1"/>
        <s v="06.074.0015" u="1"/>
        <s v="06.076.0005" u="1"/>
        <s v="H710C271" u="1"/>
        <s v="H710C1338" u="1"/>
        <s v="H710C1710" u="1"/>
        <s v="H710C305" u="1"/>
        <s v="SH-4567930" u="1"/>
        <s v="H710C2050" u="1"/>
        <s v="H710C281" u="1"/>
        <s v="H710C1438" u="1"/>
        <s v="06.042.0071" u="1"/>
        <s v="H710C1810" u="1"/>
        <s v="01.028.0011" u="1"/>
        <s v="03.023.0031" u="1"/>
        <s v="06.074.0016" u="1"/>
        <s v="06.076.0006" u="1"/>
        <s v="H710C315" u="1"/>
        <s v="02.001.0001" u="1"/>
        <s v="EC-P022007160" u="1"/>
        <s v="H710C291" u="1"/>
        <s v="H710C1538" u="1"/>
        <s v="SH-70210-51100" u="1"/>
        <s v="H710C1910" u="1"/>
        <s v="H710C325" u="1"/>
        <s v="H710C1638" u="1"/>
        <s v="06.042.0072" u="1"/>
        <s v="01.028.0012" u="1"/>
        <s v="03.023.0032" u="1"/>
        <s v="06.074.0017" u="1"/>
        <s v="H710C335" u="1"/>
        <s v="02.001.0002" u="1"/>
        <s v="JF-281" u="1"/>
        <s v="H710C1738" u="1"/>
        <s v="H710C345" u="1"/>
        <s v="H710C2078" u="1"/>
        <s v="H710C1838" u="1"/>
        <s v="06.042.0073" u="1"/>
        <s v="01.028.0013" u="1"/>
        <s v="03.023.0033" u="1"/>
        <s v="06.072.0028" u="1"/>
        <s v="06.074.0018" u="1"/>
        <s v="06.174.0010" u="1"/>
        <s v="H710C355" u="1"/>
        <s v="02.001.0003" u="1"/>
        <s v="H710C1938" u="1"/>
        <s v="H710C365" u="1"/>
        <s v="EC-V471002660" u="1"/>
        <s v="CR-020" u="1"/>
        <s v="01.028.0014" u="1"/>
        <s v="03.023.0034" u="1"/>
        <s v="06.072.0029" u="1"/>
        <s v="06.074.0019" u="1"/>
        <s v="06.176.0001" u="1"/>
        <s v="SH-64112-66330" u="1"/>
        <s v="H710C375" u="1"/>
        <s v="02.001.0004" u="1"/>
        <s v="EC-P022007460" u="1"/>
        <s v="H710C409" u="1"/>
        <s v="SH-20010-12211" u="1"/>
        <s v="H710C385" u="1"/>
        <s v="H710C419" u="1"/>
        <s v="06.042.0075" u="1"/>
        <s v="01.028.0015" u="1"/>
        <s v="03.023.0035" u="1"/>
        <s v="06.176.0002" u="1"/>
        <s v="H710C395" u="1"/>
        <s v="02.001.0005" u="1"/>
        <s v="H710C429" u="1"/>
        <s v="SH-70210-15102" u="1"/>
        <s v="H315B000" u="1"/>
        <s v="H710C439" u="1"/>
        <s v="06.042.0076" u="1"/>
        <s v="H710H000" u="1"/>
        <s v="01.024.0036" u="1"/>
        <s v="01.028.0016" u="1"/>
        <s v="03.023.0036" u="1"/>
        <s v="H325B000" u="1"/>
        <s v="02.001.0006" u="1"/>
        <s v="H335B000" u="1"/>
        <s v="H710C449" u="1"/>
        <s v="H710C459" u="1"/>
        <s v="06.042.0077" u="1"/>
        <s v="01.024.0037" u="1"/>
        <s v="01.028.0017" u="1"/>
        <s v="03.023.0037" u="1"/>
        <s v="06.176.0004" u="1"/>
        <s v="02.001.0007" u="1"/>
        <s v="H710C469" u="1"/>
        <s v="H395B000" u="1"/>
        <s v="H710C479" u="1"/>
        <s v="06.042.0078" u="1"/>
        <s v="01.028.0018" u="1"/>
        <s v="03.023.0038" u="1"/>
        <s v="06.176.0005" u="1"/>
        <s v="02.001.0008" u="1"/>
        <s v="H710C489" u="1"/>
        <s v="10.004.0001" u="1"/>
        <s v="H710C499" u="1"/>
        <s v="06.042.0079" u="1"/>
        <s v="01.024.0039" u="1"/>
        <s v="03.023.0039" u="1"/>
        <s v="02.001.0009" u="1"/>
        <s v="SH-60035-98030" u="1"/>
        <s v="10.004.0002" u="1"/>
        <s v="EC-13001038330" u="1"/>
        <s v="06.080.0050" u="1"/>
        <s v="06.176.0007" u="1"/>
        <s v="10.004.0003" u="1"/>
        <s v="06.080.0051" u="1"/>
        <s v="06.088.0011" u="1"/>
        <s v="10.004.0004" u="1"/>
        <s v="EC-V358000130" u="1"/>
        <s v="CR-120" u="1"/>
        <s v="06.080.0052" u="1"/>
        <s v="06.088.0012" u="1"/>
        <s v="06.176.0009" u="1"/>
        <s v="EC-12312203660" u="1"/>
        <s v="EC-V353000430" u="1"/>
        <s v="10.004.0005" u="1"/>
        <s v="H710C202" u="1"/>
        <s v="H710C1020" u="1"/>
        <s v="06.080.0053" u="1"/>
        <s v="H710C212" u="1"/>
        <s v="H710C1120" u="1"/>
        <s v="H710C222" u="1"/>
        <s v="H711H000" u="1"/>
        <s v="H710C1220" u="1"/>
        <s v="06.080.0054" u="1"/>
        <s v="H710C232" u="1"/>
        <s v="T531B100" u="1"/>
        <s v="H710C1320" u="1"/>
        <s v="H710C242" u="1"/>
        <s v="H710C1048" u="1"/>
        <s v="H710C1420" u="1"/>
        <s v="01.018.0130" u="1"/>
        <s v="06.080.0055" u="1"/>
        <s v="SH-72080-13013" u="1"/>
        <s v="H710C252" u="1"/>
        <s v="H710C1148" u="1"/>
        <s v="H710C1520" u="1"/>
        <s v="SH-20000-96104" u="1"/>
        <s v="H710C262" u="1"/>
        <s v="H710C1248" u="1"/>
        <s v="H710C1620" u="1"/>
        <s v="01.018.0131" u="1"/>
        <s v="06.080.0056" u="1"/>
        <s v="06.013.0001" u="1"/>
        <s v="H710C272" u="1"/>
        <s v="H710C1348" u="1"/>
        <s v="H710C1720" u="1"/>
        <s v="H710C306" u="1"/>
        <s v="H710C2060" u="1"/>
        <s v="H710C282" u="1"/>
        <s v="H710C1448" u="1"/>
        <s v="H710C1820" u="1"/>
        <s v="01.018.0132" u="1"/>
        <s v="06.080.0057" u="1"/>
        <s v="H710C316" u="1"/>
        <s v="06.013.0002" u="1"/>
        <s v="SH-22169-57360" u="1"/>
        <s v="H710C292" u="1"/>
        <s v="H710C1548" u="1"/>
        <s v="H710C1920" u="1"/>
        <s v="H710C326" u="1"/>
        <s v="H710C1648" u="1"/>
        <s v="01.018.0133" u="1"/>
        <s v="06.080.0058" u="1"/>
        <s v="H710C336" u="1"/>
        <s v="H710C1748" u="1"/>
        <s v="H710C346" u="1"/>
        <s v="H710C2088" u="1"/>
        <s v="H710C1848" u="1"/>
        <s v="01.018.0134" u="1"/>
        <s v="06.080.0059" u="1"/>
        <s v="06.088.0019" u="1"/>
        <s v="H710C356" u="1"/>
        <s v="H710C1948" u="1"/>
        <s v="H710C366" u="1"/>
        <s v="EC-A200000870" u="1"/>
        <s v="01.018.0135" u="1"/>
        <s v="H710C376" u="1"/>
        <s v="H710C386" u="1"/>
        <s v="EC-DM6110-13" u="1"/>
        <s v="01.018.0136" u="1"/>
        <s v="H710C396" u="1"/>
        <s v="SH-1001101" u="1"/>
        <s v="01.018.0137" u="1"/>
        <s v="EC-17720241030" u="1"/>
        <s v="10.012.0030" u="1"/>
        <s v="10.014.0020" u="1"/>
        <s v="01.018.0138" u="1"/>
        <s v="10.014.0021" u="1"/>
        <s v="10.018.0001" u="1"/>
        <s v="01.018.0139" u="1"/>
        <s v="06.111.0011" u="1"/>
        <s v="06.113.0001" u="1"/>
        <s v="SH-22175-71110" u="1"/>
        <s v="10.014.0022" u="1"/>
        <s v="EC-V206000220" u="1"/>
        <s v="06.094.0050" u="1"/>
        <s v="10.014.0023" u="1"/>
        <s v="10.018.0003" u="1"/>
        <s v="EC-61031005730" u="1"/>
        <s v="06.094.0051" u="1"/>
        <s v="06.098.0031" u="1"/>
        <s v="06.111.0013" u="1"/>
        <s v="06.113.0003" u="1"/>
        <s v="10.014.0024" u="1"/>
        <s v="EC-V216000040" u="1"/>
        <s v="EC-V490000530" u="1"/>
        <s v="EC-CS 680S-60" u="1"/>
        <s v="06.098.0032" u="1"/>
        <s v="EC-CS 680S-60  " u="1"/>
        <s v="06.111.0014" u="1"/>
        <s v="06.113.0004" u="1"/>
        <s v="10.014.0025" u="1"/>
        <s v="06.094.0053" u="1"/>
        <s v="06.098.0033" u="1"/>
        <s v="CR-01001" u="1"/>
        <s v="06.113.0005" u="1"/>
        <s v="H224B000" u="1"/>
        <s v="SH-62083-81310" u="1"/>
        <s v="10.014.0026" u="1"/>
        <s v="H710C203" u="1"/>
        <s v="H710C1030" u="1"/>
        <s v="06.098.0034" u="1"/>
        <s v="06.113.0006" u="1"/>
        <s v="H710C213" u="1"/>
        <s v="H710C1130" u="1"/>
        <s v="H710C223" u="1"/>
        <s v="H710C1230" u="1"/>
        <s v="06.094.0055" u="1"/>
        <s v="04.008.0100" u="1"/>
        <s v="06.025.0010" u="1"/>
        <s v="06.113.0007" u="1"/>
        <s v="H710C233" u="1"/>
        <s v="H710C1330" u="1"/>
        <s v="H710C243" u="1"/>
        <s v="H710C1058" u="1"/>
        <s v="H710C1430" u="1"/>
        <s v="06.098.0036" u="1"/>
        <s v="04.008.0101" u="1"/>
        <s v="06.025.0011" u="1"/>
        <s v="06.027.0001" u="1"/>
        <s v="06.113.0008" u="1"/>
        <s v="01.001.0001" u="1"/>
        <s v="H710C253" u="1"/>
        <s v="H710C1158" u="1"/>
        <s v="ZM-011" u="1"/>
        <s v="H710C1530" u="1"/>
        <s v="H710C263" u="1"/>
        <s v="H710C1258" u="1"/>
        <s v="H710C1630" u="1"/>
        <s v="04.008.0102" u="1"/>
        <s v="06.025.0012" u="1"/>
        <s v="06.027.0002" u="1"/>
        <s v="06.113.0009" u="1"/>
        <s v="06.213.0001" u="1"/>
        <s v="01.001.0002" u="1"/>
        <s v="SH-22169-82310" u="1"/>
        <s v="H710C273" u="1"/>
        <s v="H710C1358" u="1"/>
        <s v="H710C1730" u="1"/>
        <s v="H710C307" u="1"/>
        <s v="H710C2070" u="1"/>
        <s v="SH-22175-82510" u="1"/>
        <s v="H710C283" u="1"/>
        <s v="H710C1458" u="1"/>
        <s v="H710C1830" u="1"/>
        <s v="H710C317" u="1"/>
        <s v="04.008.0103" u="1"/>
        <s v="06.027.0003" u="1"/>
        <s v="H710C293" u="1"/>
        <s v="H710C1558" u="1"/>
        <s v="EC-17721535632" u="1"/>
        <s v="H710C1930" u="1"/>
        <s v="H710C327" u="1"/>
        <s v="SH-02432-26120" u="1"/>
        <s v="CR-048" u="1"/>
        <s v="H710C1658" u="1"/>
        <s v="06.094.0059" u="1"/>
        <s v="H710C337" u="1"/>
        <s v="04.008.0104" u="1"/>
        <s v="06.027.0004" u="1"/>
        <s v="EC-A057000011" u="1"/>
        <s v="H710C1758" u="1"/>
        <s v="H710C347" u="1"/>
        <s v="H710C2098" u="1"/>
        <s v="H710C1858" u="1"/>
        <s v="H710C357" u="1"/>
        <s v="04.008.0105" u="1"/>
        <s v="06.027.0005" u="1"/>
        <s v="H710C1958" u="1"/>
        <s v="H710C367" u="1"/>
        <s v="SH-02432-28120" u="1"/>
        <s v="H710C377" u="1"/>
        <s v="04.008.0106" u="1"/>
        <s v="06.027.0006" u="1"/>
        <s v="H710C387" u="1"/>
        <s v="H710C397" u="1"/>
        <s v="06.027.0007" u="1"/>
        <s v="JF-232" u="1"/>
        <s v="06.027.0008" u="1"/>
        <s v="13.002.0001" u="1"/>
        <s v="06.027.0009" u="1"/>
        <s v="06.127.0001" u="1"/>
        <s v="06.127.0002" u="1"/>
        <s v="SH-22150-52411" u="1"/>
        <s v="EC-V352000140" u="1"/>
        <s v="13.002.0003" u="1"/>
        <s v="06.127.0003" u="1"/>
        <s v="06.061.0001" u="1"/>
        <s v="13.002.0004" u="1"/>
        <s v="06.127.0004" u="1"/>
        <s v="06.061.0002" u="1"/>
        <s v="EC-C535000001" u="1"/>
        <s v="06.127.0005" u="1"/>
        <s v="06.061.0003" u="1"/>
        <s v="CR-082" u="1"/>
        <s v="06.127.0006" u="1"/>
        <s v="SH-20087-81531" u="1"/>
        <s v="06.061.0004" u="1"/>
        <s v="SH-22169-52460" u="1"/>
        <s v="H710C204" u="1"/>
        <s v="H710C1040" u="1"/>
        <s v="06.033.0040" u="1"/>
        <s v="06.127.0007" u="1"/>
        <s v="01.011.0020" u="1"/>
        <s v="06.061.0005" u="1"/>
        <s v="EC-43101330831" u="1"/>
        <s v="H710C214" u="1"/>
        <s v="H710C1140" u="1"/>
        <s v="SH-82067" u="1"/>
        <s v="13.002.0008" u="1"/>
        <s v="H710C224" u="1"/>
        <s v="EC-A202000180" u="1"/>
        <s v="H710C1240" u="1"/>
        <s v="06.033.0041" u="1"/>
        <s v="06.127.0008" u="1"/>
        <s v="01.011.0021" u="1"/>
        <s v="03.012.0011" u="1"/>
        <s v="03.014.0001" u="1"/>
        <s v="06.061.0006" u="1"/>
        <s v="H710C234" u="1"/>
        <s v="H710C1340" u="1"/>
        <s v="JF-080" u="1"/>
        <s v="SH-20010-86130" u="1"/>
        <s v="SH-72447-13121" u="1"/>
        <s v="13.002.0009" u="1"/>
        <s v="H710C244" u="1"/>
        <s v="H710C1068" u="1"/>
        <s v="H710C1440" u="1"/>
        <s v="06.127.0009" u="1"/>
        <s v="SH-09026-03001" u="1"/>
        <s v="01.011.0022" u="1"/>
        <s v="01.013.0012" u="1"/>
        <s v="01.015.0002" u="1"/>
        <s v="06.061.0007" u="1"/>
        <s v="H710C254" u="1"/>
        <s v="H710C1168" u="1"/>
        <s v="H710C1540" u="1"/>
        <s v="H710C264" u="1"/>
        <s v="H710C1268" u="1"/>
        <s v="H710C1640" u="1"/>
        <s v="EC-13030747533" u="1"/>
        <s v="SH-09026-04001" u="1"/>
        <s v="01.011.0023" u="1"/>
        <s v="01.013.0013" u="1"/>
        <s v="H710C274" u="1"/>
        <s v="H710C1368" u="1"/>
        <s v="H710C1740" u="1"/>
        <s v="H710C308" u="1"/>
        <s v="H710C2080" u="1"/>
        <s v="H710C284" u="1"/>
        <s v="H710C1468" u="1"/>
        <s v="H710C1840" u="1"/>
        <s v="H710C318" u="1"/>
        <s v="01.011.0024" u="1"/>
        <s v="01.013.0014" u="1"/>
        <s v="03.014.0004" u="1"/>
        <s v="05.013.0004" u="1"/>
        <s v="06.061.0009" u="1"/>
        <s v="06.161.0001" u="1"/>
        <s v="H521C200" u="1"/>
        <s v="H710C294" u="1"/>
        <s v="H710C1568" u="1"/>
        <s v="H710C1940" u="1"/>
        <s v="H710C328" u="1"/>
        <s v="H710C1668" u="1"/>
        <s v="SH-4530130" u="1"/>
        <s v="04.008.0070" u="1"/>
        <s v="H710C338" u="1"/>
        <s v="01.011.0025" u="1"/>
        <s v="01.013.0015" u="1"/>
        <s v="06.161.0002" u="1"/>
        <s v="H710C1768" u="1"/>
        <s v="H710C348" u="1"/>
        <s v="H710C1868" u="1"/>
        <s v="EC-10001110530" u="1"/>
        <s v="H710C358" u="1"/>
        <s v="01.011.0026" u="1"/>
        <s v="01.013.0016" u="1"/>
        <s v="06.161.0003" u="1"/>
        <s v="H710C1968" u="1"/>
        <s v="H710C368" u="1"/>
        <s v="04.008.0072" u="1"/>
        <s v="H710C378" u="1"/>
        <s v="01.011.0027" u="1"/>
        <s v="01.013.0017" u="1"/>
        <s v="06.161.0004" u="1"/>
        <s v="EC-61031421231" u="1"/>
        <s v="H710C388" u="1"/>
        <s v="04.008.0073" u="1"/>
        <s v="H710C398" u="1"/>
        <s v="06.133.0040" u="1"/>
        <s v="01.011.0028" u="1"/>
        <s v="01.013.0018" u="1"/>
        <s v="03.012.0018" u="1"/>
        <s v="06.161.0005" u="1"/>
        <s v="EC-12420013220" u="1"/>
        <s v="EC-35110247530" u="1"/>
        <s v="04.008.0074" u="1"/>
        <s v="EC-17504606230" u="1"/>
        <s v="06.133.0041" u="1"/>
        <s v="01.011.0029" u="1"/>
        <s v="01.013.0019" u="1"/>
        <s v="03.012.0019" u="1"/>
        <s v="04.008.0075" u="1"/>
        <s v="06.133.0042" u="1"/>
        <s v="EC-V430002900" u="1"/>
        <s v="06.073.0010" u="1"/>
        <s v="06.161.0007" u="1"/>
        <s v="04.008.0076" u="1"/>
        <s v="06.073.0011" u="1"/>
        <s v="06.075.0001" u="1"/>
        <s v="EC-V206000230" u="1"/>
        <s v="04.008.0077" u="1"/>
        <s v="06.133.0044" u="1"/>
        <s v="06.073.0012" u="1"/>
        <s v="06.075.0002" u="1"/>
        <s v="H522C200" u="1"/>
        <s v="EC-P021005900" u="1"/>
        <s v="04.008.0078" u="1"/>
        <s v="SH-62035-81310" u="1"/>
        <s v="06.133.0045" u="1"/>
        <s v="06.073.0013" u="1"/>
        <s v="06.075.0003" u="1"/>
        <s v="EC-C482000070" u="1"/>
        <s v="CR-096" u="1"/>
        <s v="04.008.0079" u="1"/>
        <s v="06.133.0046" u="1"/>
        <s v="06.075.0004" u="1"/>
        <s v="SH-22160-33821" u="1"/>
        <s v="SH-64007-64253" u="1"/>
        <s v="SH-9720135" u="1"/>
        <s v="06.133.0047" u="1"/>
        <s v="01.025.0020" u="1"/>
        <s v="01.027.0010" u="1"/>
        <s v="03.022.0030" u="1"/>
        <s v="06.075.0005" u="1"/>
        <s v="H710C205" u="1"/>
        <s v="H710C1050" u="1"/>
        <s v="06.133.0048" u="1"/>
        <s v="01.025.0021" u="1"/>
        <s v="01.027.0011" u="1"/>
        <s v="01.029.0001" u="1"/>
        <s v="03.022.0031" u="1"/>
        <s v="06.075.0006" u="1"/>
        <s v="H710C215" u="1"/>
        <s v="H710C1150" u="1"/>
        <s v="SH-70051-31210" u="1"/>
        <s v="H710C225" u="1"/>
        <s v="H710C1250" u="1"/>
        <s v="06.133.0049" u="1"/>
        <s v="01.025.0022" u="1"/>
        <s v="01.027.0012" u="1"/>
        <s v="01.029.0002" u="1"/>
        <s v="03.022.0032" u="1"/>
        <s v="06.075.0007" u="1"/>
        <s v="H710C235" u="1"/>
        <s v="EC-15660112920" u="1"/>
        <s v="H710C1350" u="1"/>
        <s v="JF-280" u="1"/>
        <s v="H710C245" u="1"/>
        <s v="H710C1078" u="1"/>
        <s v="SH-88102" u="1"/>
        <s v="H710C1450" u="1"/>
        <s v="01.025.0023" u="1"/>
        <s v="01.027.0013" u="1"/>
        <s v="01.029.0003" u="1"/>
        <s v="03.022.0033" u="1"/>
        <s v="06.075.0008" u="1"/>
        <s v="06.173.0010" u="1"/>
        <s v="H710C255" u="1"/>
        <s v="H710C1178" u="1"/>
        <s v="H710C1550" u="1"/>
        <s v="H710C265" u="1"/>
        <s v="H710C1278" u="1"/>
        <s v="H710C1650" u="1"/>
        <s v="01.027.0014" u="1"/>
        <s v="01.029.0004" u="1"/>
        <s v="03.022.0034" u="1"/>
        <s v="06.075.0009" u="1"/>
        <s v="06.173.0011" u="1"/>
        <s v="06.175.0001" u="1"/>
        <s v="H710C275" u="1"/>
        <s v="H710C1378" u="1"/>
        <s v="H710C1750" u="1"/>
        <s v="H710C309" u="1"/>
        <s v="H710C2090" u="1"/>
        <s v="H710C285" u="1"/>
        <s v="H710C1478" u="1"/>
        <s v="H710C1850" u="1"/>
        <s v="H710C319" u="1"/>
        <s v="01.029.0005" u="1"/>
        <s v="03.022.0035" u="1"/>
        <s v="06.173.0012" u="1"/>
        <s v="H523C200" u="1"/>
        <s v="H710C295" u="1"/>
        <s v="H710C1578" u="1"/>
        <s v="H710C1950" u="1"/>
        <s v="H710C329" u="1"/>
        <s v="H710C1678" u="1"/>
        <s v="H710C339" u="1"/>
        <s v="01.029.0006" u="1"/>
        <s v="03.022.0036" u="1"/>
        <s v="H710C1778" u="1"/>
        <s v="H710C349" u="1"/>
        <s v="H710C1878" u="1"/>
        <s v="H710C359" u="1"/>
        <s v="01.025.0027" u="1"/>
        <s v="03.022.0037" u="1"/>
        <s v="06.175.0004" u="1"/>
        <s v="H710C1978" u="1"/>
        <s v="H710C369" u="1"/>
        <s v="H710C379" u="1"/>
        <s v="01.025.0028" u="1"/>
        <s v="03.022.0038" u="1"/>
        <s v="06.175.0005" u="1"/>
        <s v="H710C389" u="1"/>
        <s v="10.003.0001" u="1"/>
        <s v="14.001.0001" u="1"/>
        <s v="SH-72231-54511" u="1"/>
        <s v="H710C399" u="1"/>
        <s v="01.025.0029" u="1"/>
        <s v="03.022.0039" u="1"/>
        <s v="06.175.0006" u="1"/>
        <s v="TB-1715538" u="1"/>
        <s v="10.003.0002" u="1"/>
        <s v="14.001.0002" u="1"/>
        <s v="06.175.0007" u="1"/>
        <s v="EC-V347000030" u="1"/>
        <s v="OT-02002-06001" u="1"/>
        <s v="10.003.0003" u="1"/>
        <s v="14.001.0003" u="1"/>
        <s v="EC-12437455430" u="1"/>
        <s v="06.089.0001" u="1"/>
        <s v="06.175.0008" u="1"/>
        <s v="SH-20011-35141" u="1"/>
        <s v="H450C200" u="1"/>
        <s v="06.089.0002" u="1"/>
        <s v="06.175.0009" u="1"/>
        <s v="06.089.0003" u="1"/>
        <s v="EC-15660106211" u="1"/>
        <s v="SH-70103-86130" u="1"/>
        <s v="06.089.0004" u="1"/>
        <s v="01.019.0120" u="1"/>
        <s v="06.089.0005" u="1"/>
        <s v="01.019.0121" u="1"/>
        <s v="06.089.0006" u="1"/>
        <s v="06.012.0001" u="1"/>
        <s v="H710C206" u="1"/>
        <s v="H710C1060" u="1"/>
        <s v="SH-99909-4" u="1"/>
        <s v="06.089.0007" u="1"/>
        <s v="H710C216" u="1"/>
        <s v="06.012.0002" u="1"/>
        <s v="H710C1160" u="1"/>
        <s v="H710C226" u="1"/>
        <s v="H710C1260" u="1"/>
        <s v="06.089.0008" u="1"/>
        <s v="H710C236" u="1"/>
        <s v="H710C1360" u="1"/>
        <s v="H710C246" u="1"/>
        <s v="H710C1088" u="1"/>
        <s v="H710C1460" u="1"/>
        <s v="CR-033" u="1"/>
        <s v="06.089.0009" u="1"/>
        <s v="06.189.0001" u="1"/>
        <s v="H710C256" u="1"/>
        <s v="H710C1188" u="1"/>
        <s v="H710C1560" u="1"/>
        <s v="H710C266" u="1"/>
        <s v="H710C1288" u="1"/>
        <s v="H710C1660" u="1"/>
        <s v="03.008.0070" u="1"/>
        <s v="H451C200" u="1"/>
        <s v="01.019.0125" u="1"/>
        <s v="H710C276" u="1"/>
        <s v="H710C1388" u="1"/>
        <s v="H710C1760" u="1"/>
        <s v="H710C286" u="1"/>
        <s v="H710C1488" u="1"/>
        <s v="H710C1860" u="1"/>
        <s v="03.008.0071" u="1"/>
        <s v="SH-20010-71631" u="1"/>
        <s v="01.019.0126" u="1"/>
        <s v="H710C296" u="1"/>
        <s v="H710C1588" u="1"/>
        <s v="H710C2003" u="1"/>
        <s v="H710C1960" u="1"/>
        <s v="JF-031" u="1"/>
        <s v="H710C1688" u="1"/>
        <s v="H710C2103" u="1"/>
        <s v="SH-22169-15170" u="1"/>
        <s v="03.008.0072" u="1"/>
        <s v="01.019.0127" u="1"/>
        <s v="H710C1788" u="1"/>
        <s v="EC-CS-420-45EU" u="1"/>
        <s v="H710C1888" u="1"/>
        <s v="SH-22155-21630" u="1"/>
        <s v="03.008.0073" u="1"/>
        <s v="01.019.0128" u="1"/>
        <s v="H710C1988" u="1"/>
        <s v="06.110.0010" u="1"/>
        <s v="10.017.0001" u="1"/>
        <s v="03.008.0074" u="1"/>
        <s v="EC-69922956830" u="1"/>
        <s v="01.019.0129" u="1"/>
        <s v="06.110.0011" u="1"/>
        <s v="06.112.0001" u="1"/>
        <s v="EC-P021005410" u="1"/>
        <s v="03.008.0075" u="1"/>
        <s v="06.110.0012" u="1"/>
        <s v="06.112.0002" u="1"/>
        <s v="OT-2356" u="1"/>
        <s v="06.110.0013" u="1"/>
        <s v="SH-62035-75010" u="1"/>
        <s v="EC-V430002910" u="1"/>
        <s v="06.110.0014" u="1"/>
        <s v="06.110.0015" u="1"/>
        <s v="06.110.0016" u="1"/>
        <s v="SH-60035-98061" u="1"/>
        <s v="SH-22169-53111" u="1"/>
        <s v="04.003.0120" u="1"/>
        <s v="04.005.0110" u="1"/>
        <s v="06.110.0017" u="1"/>
        <s v="04.003.0121" u="1"/>
        <s v="06.026.0001" u="1"/>
        <s v="06.110.0018" u="1"/>
        <s v="06.210.0010" u="1"/>
        <s v="ZM-010" u="1"/>
        <s v="SH-22169-15113" u="1"/>
        <s v="04.003.0122" u="1"/>
        <s v="06.110.0019" u="1"/>
        <s v="06.210.0011" u="1"/>
        <s v="06.212.0001" u="1"/>
        <s v="EC-PPT-2400EUS" u="1"/>
        <s v="H710C207" u="1"/>
        <s v="H710C1070" u="1"/>
        <s v="H710C217" u="1"/>
        <s v="04.003.0123" u="1"/>
        <s v="04.005.0113" u="1"/>
        <s v="06.026.0003" u="1"/>
        <s v="06.210.0012" u="1"/>
        <s v="06.212.0002" u="1"/>
        <s v="H710C1170" u="1"/>
        <s v="H710C227" u="1"/>
        <s v="H710C1270" u="1"/>
        <s v="H710C237" u="1"/>
        <s v="04.003.0124" u="1"/>
        <s v="04.005.0114" u="1"/>
        <s v="06.210.0013" u="1"/>
        <s v="H710C1370" u="1"/>
        <s v="H710C247" u="1"/>
        <s v="H710C1098" u="1"/>
        <s v="EC-V225000180" u="1"/>
        <s v="H710C1470" u="1"/>
        <s v="01.019.0090" u="1"/>
        <s v="H710C257" u="1"/>
        <s v="H710C1198" u="1"/>
        <s v="04.003.0125" u="1"/>
        <s v="04.005.0115" u="1"/>
        <s v="06.026.0005" u="1"/>
        <s v="H710C1570" u="1"/>
        <s v="H710C267" u="1"/>
        <s v="H710C1298" u="1"/>
        <s v="H710C1670" u="1"/>
        <s v="01.019.0091" u="1"/>
        <s v="H453C200" u="1"/>
        <s v="EC-P022007090" u="1"/>
        <s v="H710C277" u="1"/>
        <s v="H710C1398" u="1"/>
        <s v="04.003.0126" u="1"/>
        <s v="04.005.0116" u="1"/>
        <s v="06.026.0006" u="1"/>
        <s v="H710C1770" u="1"/>
        <s v="T420B000" u="1"/>
        <s v="H710C287" u="1"/>
        <s v="H710C1498" u="1"/>
        <s v="H710C1870" u="1"/>
        <s v="01.019.0092" u="1"/>
        <s v="H710C297" u="1"/>
        <s v="H710C1598" u="1"/>
        <s v="H710C2013" u="1"/>
        <s v="04.003.0127" u="1"/>
        <s v="04.005.0117" u="1"/>
        <s v="06.026.0007" u="1"/>
        <s v="H710C1970" u="1"/>
        <s v="H710C1698" u="1"/>
        <s v="H710C2113" u="1"/>
        <s v="SH-22000-12413" u="1"/>
        <s v="01.019.0093" u="1"/>
        <s v="H710C1798" u="1"/>
        <s v="04.003.0128" u="1"/>
        <s v="04.005.0118" u="1"/>
        <s v="06.026.0008" u="1"/>
        <s v="06.124.0010" u="1"/>
        <s v="H710C1898" u="1"/>
        <s v="01.019.0094" u="1"/>
        <s v="H710C1998" u="1"/>
        <s v="04.003.0129" u="1"/>
        <s v="04.005.0119" u="1"/>
        <s v="06.026.0009" u="1"/>
        <s v="06.126.0001" u="1"/>
        <s v="01.019.0095" u="1"/>
        <s v="SH-20016-12211" u="1"/>
        <s v="01.019.0096" u="1"/>
        <s v="06.060.0001" u="1"/>
        <s v="01.019.0097" u="1"/>
        <s v="06.124.0014" u="1"/>
        <s v="SH-A226000650" u="1"/>
        <s v="06.060.0002" u="1"/>
        <s v="EC-10024255430" u="1"/>
        <s v="01.019.0098" u="1"/>
        <s v="06.124.0015" u="1"/>
        <s v="06.060.0003" u="1"/>
        <s v="01.019.0099" u="1"/>
        <s v="CR-081" u="1"/>
        <s v="T411B000" u="1"/>
        <s v="SH-20000-81330" u="1"/>
        <s v="SH-22015-13270" u="1"/>
        <s v="SH-20140-75130" u="1"/>
        <s v="SH-33SL0-72X" u="1"/>
        <s v="H710C208" u="1"/>
        <s v="H710C1080" u="1"/>
        <s v="H511C100" u="1"/>
        <s v="H710C218" u="1"/>
        <s v="H710C1180" u="1"/>
        <s v="03.013.0004" u="1"/>
        <s v="SH-88051" u="1"/>
        <s v="H710C228" u="1"/>
        <s v="H710C1280" u="1"/>
        <s v="04.005.0080" u="1"/>
        <s v="H710C238" u="1"/>
        <s v="06.036.0025" u="1"/>
        <s v="H710C1380" u="1"/>
        <s v="03.013.0005" u="1"/>
        <s v="06.160.0002" u="1"/>
        <s v="H710C248" u="1"/>
        <s v="H710C1480" u="1"/>
        <s v="04.003.0091" u="1"/>
        <s v="04.005.0081" u="1"/>
        <s v="H710C258" u="1"/>
        <s v="H710C1580" u="1"/>
        <s v="06.160.0003" u="1"/>
        <s v="H710C268" u="1"/>
        <s v="H710C1680" u="1"/>
        <s v="04.003.0092" u="1"/>
        <s v="04.005.0082" u="1"/>
        <s v="H710C278" u="1"/>
        <s v="H710C1780" u="1"/>
        <s v="03.011.0017" u="1"/>
        <s v="06.160.0004" u="1"/>
        <s v="H710C288" u="1"/>
        <s v="H710C1880" u="1"/>
        <s v="04.003.0093" u="1"/>
        <s v="SH-20010-716310" u="1"/>
        <s v="H710C298" u="1"/>
        <s v="H710C2023" u="1"/>
        <s v="H710C1980" u="1"/>
        <s v="03.011.0018" u="1"/>
        <s v="06.160.0005" u="1"/>
        <s v="H710C2123" u="1"/>
        <s v="04.003.0094" u="1"/>
        <s v="04.005.0084" u="1"/>
        <s v="03.011.0019" u="1"/>
        <s v="06.160.0006" u="1"/>
        <s v="SH-62035-71110" u="1"/>
        <s v="04.003.0095" u="1"/>
        <s v="04.005.0085" u="1"/>
        <s v="06.160.0007" u="1"/>
        <s v="SH-62035-32112" u="1"/>
        <s v="04.003.0096" u="1"/>
        <s v="04.005.0086" u="1"/>
        <s v="06.074.0001" u="1"/>
        <s v="EC-P021005420" u="1"/>
        <s v="04.003.0097" u="1"/>
        <s v="04.005.0087" u="1"/>
        <s v="H512C100" u="1"/>
        <s v="06.072.0012" u="1"/>
        <s v="06.074.0002" u="1"/>
        <s v="04.003.0098" u="1"/>
        <s v="04.005.0088" u="1"/>
        <s v="06.072.0013" u="1"/>
        <s v="06.074.0003" u="1"/>
        <s v="EC-12412215310" u="1"/>
        <s v="SH-20087-31210" u="1"/>
        <s v="SH-73DP-84X" u="1"/>
        <s v="CR-095" u="1"/>
        <s v="04.003.0099" u="1"/>
        <s v="04.005.0089" u="1"/>
        <s v="06.072.0014" u="1"/>
        <s v="06.074.0004" u="1"/>
        <s v="06.042.0060" u="1"/>
        <s v="03.023.0020" u="1"/>
        <s v="06.072.0015" u="1"/>
        <s v="06.074.0005" u="1"/>
        <s v="06.042.0061" u="1"/>
        <s v="01.028.0001" u="1"/>
        <s v="03.023.0021" u="1"/>
        <s v="05.026.0001" u="1"/>
        <s v="06.072.0016" u="1"/>
        <s v="06.074.0006" u="1"/>
        <s v="06.042.0062" u="1"/>
        <s v="01.028.0002" u="1"/>
        <s v="03.023.0022" u="1"/>
        <s v="06.072.0017" u="1"/>
        <s v="06.074.0007" u="1"/>
        <s v="SH-22155-75410" u="1"/>
        <s v="150220102453393" u="1"/>
        <s v="01.028.0003" u="1"/>
        <s v="03.023.0023" u="1"/>
        <s v="06.072.0018" u="1"/>
        <s v="06.074.0008" u="1"/>
        <s v="SH-72017-13013" u="1"/>
        <s v="06.042.0064" u="1"/>
        <s v="EC-13030039730" u="1"/>
        <s v="01.028.0004" u="1"/>
        <s v="03.023.0024" u="1"/>
        <s v="06.072.0019" u="1"/>
        <s v="06.074.0009" u="1"/>
        <s v="SH-62035-41120" u="1"/>
        <s v="H710C209" u="1"/>
        <s v="H710C1090" u="1"/>
        <s v="H710C219" u="1"/>
        <s v="06.042.0065" u="1"/>
        <s v="H710C1190" u="1"/>
        <s v="01.028.0005" u="1"/>
        <s v="03.023.0025" u="1"/>
        <s v="06.174.0002" u="1"/>
        <s v="H710C229" u="1"/>
        <s v="H710C1290" u="1"/>
        <s v="H710C239" u="1"/>
        <s v="06.042.0066" u="1"/>
        <s v="H710C1390" u="1"/>
        <s v="01.024.0026" u="1"/>
        <s v="03.023.0026" u="1"/>
        <s v="H710C249" u="1"/>
        <s v="H710C1490" u="1"/>
        <s v="H710C259" u="1"/>
        <s v="H710C1590" u="1"/>
        <s v="01.024.0027" u="1"/>
        <s v="01.028.0007" u="1"/>
        <s v="03.023.0027" u="1"/>
        <s v="H710C269" u="1"/>
        <s v="H710C1690" u="1"/>
        <s v="H710C279" u="1"/>
        <s v="06.042.0068" u="1"/>
        <s v="H710C1790" u="1"/>
        <s v="01.024.0028" u="1"/>
        <s v="01.028.0008" u="1"/>
        <s v="03.023.0028" u="1"/>
        <s v="T424B000" u="1"/>
        <s v="EC-22169-53310" u="1"/>
        <s v="H710C289" u="1"/>
        <s v="H710C1890" u="1"/>
        <s v="10.002.0001" u="1"/>
        <s v="12.001.0001" u="1"/>
        <s v="H710C299" u="1"/>
        <s v="H710C2033" u="1"/>
        <s v="06.042.0069" u="1"/>
        <s v="H710C1990" u="1"/>
        <s v="01.028.0009" u="1"/>
        <s v="03.023.0029" u="1"/>
        <s v="10.002.0002" u="1"/>
        <s v="06.080.0040" u="1"/>
        <s v="06.174.0007" u="1"/>
        <s v="SH-22000-13513" u="1"/>
        <s v="10.002.0003" u="1"/>
        <s v="06.080.0041" u="1"/>
        <s v="06.174.0008" u="1"/>
        <s v="SH-4534630" u="1"/>
        <s v="EC-P021023260" u="1"/>
        <s v="06.080.0042" u="1"/>
        <s v="06.088.0002" u="1"/>
        <s v="06.174.0009" u="1"/>
        <s v="06.080.0043" u="1"/>
        <s v="06.088.0003" u="1"/>
        <s v="110126171246694" u="1"/>
        <s v="06.080.0044" u="1"/>
        <s v="06.086.0014" u="1"/>
        <s v="06.088.0004" u="1"/>
        <s v="EC-12318139130" u="1"/>
        <s v="EC-X405000001" u="1"/>
        <s v="01.018.0120" u="1"/>
        <s v="06.080.0045" u="1"/>
        <s v="06.086.0015" u="1"/>
        <s v="06.088.0005" u="1"/>
        <s v="04.010.0010" u="1"/>
        <s v="SH-22015-13230" u="1"/>
        <s v="SH-20011-81021" u="1"/>
        <s v="EC-A570000200" u="1"/>
        <s v="01.018.0121" u="1"/>
        <s v="06.080.0046" u="1"/>
        <s v="06.086.0016" u="1"/>
        <s v="06.088.0006" u="1"/>
        <s v="SH-20021-81021" u="1"/>
        <s v="06.011.0001" u="1"/>
        <s v="01.018.0122" u="1"/>
        <s v="06.080.0047" u="1"/>
        <s v="06.011.0002" u="1"/>
        <s v="SH-4550460" u="1"/>
        <s v="01.018.0123" u="1"/>
        <s v="06.080.0048" u="1"/>
        <s v="06.011.0003" u="1"/>
        <s v="10SW5008N" u="1"/>
        <s v="SH-20040-81430" u="1"/>
        <s v="CR-032" u="1"/>
        <s v="01.018.0124" u="1"/>
        <s v="06.080.0049" u="1"/>
        <s v="06.088.0009" u="1"/>
        <s v="01.018.0125" u="1"/>
        <s v="06.188.0002" u="1"/>
        <s v="06.011.0005" u="1"/>
        <s v="SH-20112-81530" u="1"/>
        <s v="01.018.0126" u="1"/>
        <s v="06.188.0003" u="1"/>
        <s v="EC-A051002010" u="1"/>
        <s v="H710C1003" u="1"/>
        <s v="JF-030" u="1"/>
        <s v="H710C1103" u="1"/>
        <s v="SH-62035-85341" u="1"/>
        <s v="SH-72441-16003" u="1"/>
        <s v="01.018.0127" u="1"/>
        <s v="06.188.0004" u="1"/>
        <s v="H710C1203" u="1"/>
        <s v="H710C1303" u="1"/>
        <s v="10.012.0020" u="1"/>
        <s v="10.014.0010" u="1"/>
        <s v="SH-22150-42002" u="1"/>
        <s v="01.018.0128" u="1"/>
        <s v="06.188.0005" u="1"/>
        <s v="H710C1403" u="1"/>
        <s v="SH-22160-42002" u="1"/>
        <s v="H710C1503" u="1"/>
        <s v="10.012.0021" u="1"/>
        <s v="10.014.0011" u="1"/>
        <s v="10.016.0001" u="1"/>
        <s v="01.018.0129" u="1"/>
        <s v="06.188.0006" u="1"/>
        <s v="H710C1603" u="1"/>
        <s v="06.111.0001" u="1"/>
        <s v="H710C1703" u="1"/>
        <s v="10.012.0022" u="1"/>
        <s v="10.014.0012" u="1"/>
        <s v="10.016.0002" u="1"/>
        <s v="H710C2043" u="1"/>
        <s v="06.098.0020" u="1"/>
        <s v="H710C1803" u="1"/>
        <s v="06.111.0002" u="1"/>
        <s v="H710C1903" u="1"/>
        <s v="10.012.0023" u="1"/>
        <s v="10.014.0013" u="1"/>
        <s v="06.094.0041" u="1"/>
        <s v="06.098.0021" u="1"/>
        <s v="SH-62035-31212" u="1"/>
        <s v="EC-12312509560" u="1"/>
        <s v="10.012.0024" u="1"/>
        <s v="10.014.0014" u="1"/>
        <s v="06.094.0042" u="1"/>
        <s v="06.098.0022" u="1"/>
        <s v="SH-22169-21630" u="1"/>
        <s v="06.111.0004" u="1"/>
        <s v="10.012.0025" u="1"/>
        <s v="10.014.0015" u="1"/>
        <s v="06.094.0043" u="1"/>
        <s v="06.098.0023" u="1"/>
        <s v="06.111.0005" u="1"/>
        <s v="10.012.0026" u="1"/>
        <s v="10.014.0016" u="1"/>
        <s v="SH-73DP-98X" u="1"/>
        <s v="06.094.0044" u="1"/>
        <s v="06.098.0024" u="1"/>
        <s v="06.111.0006" u="1"/>
        <s v="10.012.0027" u="1"/>
        <s v="10.014.0017" u="1"/>
        <s v="06.098.0025" u="1"/>
        <s v="06.021.0020" u="1"/>
        <s v="06.023.0010" u="1"/>
        <s v="06.111.0007" u="1"/>
        <s v="10.012.0028" u="1"/>
        <s v="10.014.0018" u="1"/>
        <s v="06.094.0046" u="1"/>
        <s v="06.021.0021" u="1"/>
        <s v="06.023.0011" u="1"/>
        <s v="06.111.0008" u="1"/>
        <s v="10.012.0029" u="1"/>
        <s v="10.014.0019" u="1"/>
        <s v="06.098.0027" u="1"/>
        <s v="T427B000" u="1"/>
        <s v="06.021.0022" u="1"/>
        <s v="06.023.0012" u="1"/>
        <s v="06.211.0001" u="1"/>
        <s v="06.094.0048" u="1"/>
        <s v="06.098.0028" u="1"/>
        <s v="06.021.0023" u="1"/>
        <s v="06.023.0013" u="1"/>
        <s v="06.211.0002" u="1"/>
        <s v="EC-A320000770" u="1"/>
        <s v="06.094.0049" u="1"/>
        <s v="06.098.0029" u="1"/>
        <s v="06.023.0014" u="1"/>
        <s v="06.211.0003" u="1"/>
        <s v="SH-22150-12152" u="1"/>
        <s v="01.018.0090" u="1"/>
        <s v="06.023.0015" u="1"/>
        <s v="06.211.0004" u="1"/>
        <s v="SH-20037-82130" u="1"/>
        <s v="SH-22175-12121" u="1"/>
        <s v="01.018.0091" u="1"/>
        <s v="EC-10024242230" u="1"/>
        <s v="06.023.0016" u="1"/>
        <s v="SH-4515030" u="1"/>
        <s v="01.018.0092" u="1"/>
        <s v="EC-10101042231" u="1"/>
        <s v="H710C1013" u="1"/>
        <s v="SH-88054" u="1"/>
        <s v="H710C1113" u="1"/>
        <s v="01.018.0093" u="1"/>
        <s v="H710C1213" u="1"/>
        <s v="06.123.0010" u="1"/>
        <s v="H710C1313" u="1"/>
        <s v="01.018.0094" u="1"/>
        <s v="H710C1413" u="1"/>
        <s v="06.025.0009" u="1"/>
        <s v="06.123.0011" u="1"/>
        <s v="06.125.0001" u="1"/>
        <s v="SH-72933-75900" u="1"/>
        <s v="H710C1513" u="1"/>
        <s v="01.018.0095" u="1"/>
        <s v="H710C1613" u="1"/>
        <s v="06.123.0012" u="1"/>
        <s v="H710C1713" u="1"/>
        <s v="H710C2053" u="1"/>
        <s v="01.018.0096" u="1"/>
        <s v="H710C1813" u="1"/>
        <s v="06.121.0023" u="1"/>
        <s v="06.125.0003" u="1"/>
        <s v="EC-43052737333" u="1"/>
        <s v="SH-4573110" u="1"/>
        <s v="EC-P022006970" u="1"/>
        <s v="H710C1913" u="1"/>
        <s v="01.018.0097" u="1"/>
        <s v="06.121.0024" u="1"/>
        <s v="06.123.0014" u="1"/>
        <s v="06.125.0004" u="1"/>
        <s v="SH-20020-51131" u="1"/>
        <s v="EC-A556000181" u="1"/>
        <s v="01.018.0098" u="1"/>
        <s v="06.125.0005" u="1"/>
        <s v="H224C200" u="1"/>
        <s v="01.018.0099" u="1"/>
        <s v="EC-13051030830" u="1"/>
        <s v="CR-080" u="1"/>
        <s v="06.121.0026" u="1"/>
        <s v="06.123.0016" u="1"/>
        <s v="EC-12318140630" u="1"/>
        <s v="SH-22051-11922" u="1"/>
        <s v="06.123.0017" u="1"/>
        <s v="SH-20000-75130" u="1"/>
        <s v="01.011.0010" u="1"/>
        <s v="06.033.0031" u="1"/>
        <s v="06.039.0001" u="1"/>
        <s v="06.123.0018" u="1"/>
        <s v="01.011.0011" u="1"/>
        <s v="01.013.0001" u="1"/>
        <s v="03.012.0001" u="1"/>
        <s v="EC-X405000011" u="1"/>
        <s v="06.039.0002" u="1"/>
        <s v="06.121.0029" u="1"/>
        <s v="01.013.0002" u="1"/>
        <s v="05.011.0002" u="1"/>
        <s v="SH-20021-81121" u="1"/>
        <s v="06.033.0033" u="1"/>
        <s v="06.039.0003" u="1"/>
        <s v="01.013.0003" u="1"/>
        <s v="03.012.0003" u="1"/>
        <s v="05.011.0003" u="1"/>
        <s v="H511C000" u="1"/>
        <s v="06.033.0034" u="1"/>
        <s v="06.039.0004" u="1"/>
        <s v="01.013.0004" u="1"/>
        <s v="05.011.0004" u="1"/>
        <s v="04.008.0060" u="1"/>
        <s v="06.033.0035" u="1"/>
        <s v="06.039.0005" u="1"/>
        <s v="01.013.0005" u="1"/>
        <s v="03.012.0005" u="1"/>
        <s v="EC-ES-255" u="1"/>
        <s v="OT-997" u="1"/>
        <s v="SH-63020-63111" u="1"/>
        <s v="06.033.0036" u="1"/>
        <s v="06.039.0006" u="1"/>
        <s v="01.013.0006" u="1"/>
        <s v="05.011.0006" u="1"/>
        <s v="04.008.0062" u="1"/>
        <s v="06.033.0037" u="1"/>
        <s v="EC-A575000410" u="1"/>
        <s v="01.011.0017" u="1"/>
        <s v="01.013.0007" u="1"/>
        <s v="03.012.0007" u="1"/>
        <s v="SH-68501-81340" u="1"/>
        <s v="04.008.0063" u="1"/>
        <s v="H710C1023" u="1"/>
        <s v="06.033.0038" u="1"/>
        <s v="06.133.0030" u="1"/>
        <s v="01.011.0018" u="1"/>
        <s v="01.013.0008" u="1"/>
        <s v="H710C1123" u="1"/>
        <s v="04.008.0064" u="1"/>
        <s v="H710C1223" u="1"/>
        <s v="06.033.0039" u="1"/>
        <s v="06.139.0001" u="1"/>
        <s v="01.011.0019" u="1"/>
        <s v="H710C1323" u="1"/>
        <s v="EC-V420002520" u="1"/>
        <s v="04.008.0065" u="1"/>
        <s v="H710C1423" u="1"/>
        <s v="06.133.0032" u="1"/>
        <s v="06.139.0002" u="1"/>
        <s v="H710C1523" u="1"/>
        <s v="04.008.0066" u="1"/>
        <s v="H710C1623" u="1"/>
        <s v="06.133.0033" u="1"/>
        <s v="06.139.0003" u="1"/>
        <s v="06.073.0001" u="1"/>
        <s v="H710C1723" u="1"/>
        <s v="H710C2063" u="1"/>
        <s v="04.008.0067" u="1"/>
        <s v="H512C000" u="1"/>
        <s v="H710C1823" u="1"/>
        <s v="06.133.0034" u="1"/>
        <s v="06.073.0002" u="1"/>
        <s v="SH-62809-12111" u="1"/>
        <s v="H710C1923" u="1"/>
        <s v="04.008.0068" u="1"/>
        <s v="06.133.0035" u="1"/>
        <s v="SH-72017-16130" u="1"/>
        <s v="CR-094" u="1"/>
        <s v="04.008.0069" u="1"/>
        <s v="06.133.0036" u="1"/>
        <s v="06.139.0006" u="1"/>
        <s v="06.133.0037" u="1"/>
        <s v="06.139.0007" u="1"/>
        <s v="EC-17722002834" u="1"/>
        <s v="03.022.0020" u="1"/>
        <s v="06.073.0005" u="1"/>
        <s v="06.133.0038" u="1"/>
        <s v="EC-35101052931" u="1"/>
        <s v="03.022.0021" u="1"/>
        <s v="06.073.0006" u="1"/>
        <s v="SH-20055-81004" u="1"/>
        <s v="EC-A426000000" u="1"/>
        <s v="SH-62035-75310" u="1"/>
        <s v="06.133.0039" u="1"/>
        <s v="01.025.0012" u="1"/>
        <s v="03.022.0022" u="1"/>
        <s v="06.073.0007" u="1"/>
        <s v="EC-10000060931" u="1"/>
        <s v="EC-A427000000" u="1"/>
        <s v="03.022.0023" u="1"/>
        <s v="06.073.0008" u="1"/>
        <s v="EC-A427000100" u="1"/>
        <s v="EC-30511055630" u="1"/>
        <s v="03.022.0024" u="1"/>
        <s v="06.073.0009" u="1"/>
        <s v="06.173.0001" u="1"/>
        <s v="03.022.0025" u="1"/>
        <s v="03.022.0026" u="1"/>
        <s v="SH-20140-12210" u="1"/>
        <s v="SH-20142-12110" u="1"/>
        <s v="SH-4552760" u="1"/>
        <s v="01.025.0017" u="1"/>
        <s v="03.022.0027" u="1"/>
        <s v="SH-A200000640" u="1"/>
        <s v="06.149.0020" u="1"/>
        <s v="01.025.0018" u="1"/>
        <s v="01.027.0008" u="1"/>
        <s v="03.022.0028" u="1"/>
        <s v="H710C1033" u="1"/>
        <s v="06.149.0021" u="1"/>
        <s v="SH-88056" u="1"/>
        <s v="01.027.0009" u="1"/>
        <s v="03.022.0029" u="1"/>
        <s v="EC-CS-3000-30EUSTD" u="1"/>
        <s v="H710C1133" u="1"/>
        <s v="10.001.0002" u="1"/>
        <s v="H710C1233" u="1"/>
        <s v="06.081.0030" u="1"/>
        <s v="06.173.0007" u="1"/>
        <s v="H710C1333" u="1"/>
        <s v="10.001.0003" u="1"/>
        <s v="H710C1433" u="1"/>
        <s v="H410C000" u="1"/>
        <s v="06.081.0031" u="1"/>
        <s v="06.173.0008" u="1"/>
        <s v="ZM-071" u="1"/>
        <s v="H710C1533" u="1"/>
        <s v="10.001.0004" u="1"/>
        <s v="H710C1633" u="1"/>
        <s v="06.081.0032" u="1"/>
        <s v="06.087.0002" u="1"/>
        <s v="06.173.0009" u="1"/>
        <s v="H460C000" u="1"/>
        <s v="H710C1733" u="1"/>
        <s v="H710C2073" u="1"/>
        <s v="H710C1833" u="1"/>
        <s v="06.081.0033" u="1"/>
        <s v="06.087.0003" u="1"/>
        <s v="EC-P022006980" u="1"/>
        <s v="H710C1933" u="1"/>
        <s v="10.001.0006" u="1"/>
        <s v="SH-20000-72230" u="1"/>
        <s v="06.081.0034" u="1"/>
        <s v="10.001.0007" u="1"/>
        <s v="01.019.0110" u="1"/>
        <s v="06.081.0035" u="1"/>
        <s v="10.001.0008" u="1"/>
        <s v="01.019.0111" u="1"/>
        <s v="06.081.0036" u="1"/>
        <s v="06.010.0001" u="1"/>
        <s v="01.019.0112" u="1"/>
        <s v="06.081.0037" u="1"/>
        <s v="06.010.0002" u="1"/>
        <s v="SH-72174-99200" u="1"/>
        <s v="SH-8890802" u="1"/>
        <s v="01.019.0113" u="1"/>
        <s v="06.081.0038" u="1"/>
        <s v="06.010.0003" u="1"/>
        <s v="EC-A566000200" u="1"/>
        <s v="IB-009" u="1"/>
        <s v="01.019.0114" u="1"/>
        <s v="06.187.0001" u="1"/>
        <s v="06.010.0004" u="1"/>
        <s v="03.008.0060" u="1"/>
        <s v="06.187.0002" u="1"/>
        <s v="H461C000" u="1"/>
        <s v="SH-22169-54102" u="1"/>
        <s v="SH-22155-91580" u="1"/>
        <s v="03.008.0061" u="1"/>
        <s v="01.019.0116" u="1"/>
        <s v="SH-22169-75101" u="1"/>
        <s v="03.008.0062" u="1"/>
        <s v="01.019.0117" u="1"/>
        <s v="06.187.0004" u="1"/>
        <s v="EC-10000043231" u="1"/>
        <s v="03.008.0063" u="1"/>
        <s v="01.019.0118" u="1"/>
        <s v="10.015.0001" u="1"/>
        <s v="03.008.0064" u="1"/>
        <s v="01.019.0119" u="1"/>
        <s v="06.110.0001" u="1"/>
        <s v="10.015.0002" u="1"/>
        <s v="H710C1043" u="1"/>
        <s v="03.008.0065" u="1"/>
        <s v="SH-88057" u="1"/>
        <s v="06.110.0002" u="1"/>
        <s v="H710C1143" u="1"/>
        <s v="10.015.0003" u="1"/>
        <s v="H710C1243" u="1"/>
        <s v="03.008.0066" u="1"/>
        <s v="06.110.0003" u="1"/>
        <s v="JF-009" u="1"/>
        <s v="H710C1343" u="1"/>
        <s v="10.015.0004" u="1"/>
        <s v="H710C1443" u="1"/>
        <s v="03.008.0067" u="1"/>
        <s v="EC-15262655932" u="1"/>
        <s v="06.110.0004" u="1"/>
        <s v="SH-72451-17203" u="1"/>
        <s v="H710C1543" u="1"/>
        <s v="EC-17720055631" u="1"/>
        <s v="H232C100" u="1"/>
        <s v="H710C1643" u="1"/>
        <s v="03.008.0068" u="1"/>
        <s v="06.110.0005" u="1"/>
        <s v="H462C000" u="1"/>
        <s v="H710C1743" u="1"/>
        <s v="H710C2083" u="1"/>
        <s v="SH-22019-11313" u="1"/>
        <s v="H710C1843" u="1"/>
        <s v="03.008.0069" u="1"/>
        <s v="06.110.0006" u="1"/>
        <s v="H710C1943" u="1"/>
        <s v="CR-TMC4" u="1"/>
        <s v="04.003.0110" u="1"/>
        <s v="04.005.0100" u="1"/>
        <s v="06.020.0020" u="1"/>
        <s v="06.022.0010" u="1"/>
        <s v="06.110.0007" u="1"/>
        <s v="04.003.0111" u="1"/>
        <s v="04.005.0101" u="1"/>
        <s v="06.020.0021" u="1"/>
        <s v="06.024.0001" u="1"/>
        <s v="06.110.0008" u="1"/>
        <s v="04.003.0112" u="1"/>
        <s v="04.005.0102" u="1"/>
        <s v="06.022.0012" u="1"/>
        <s v="06.024.0002" u="1"/>
        <s v="06.110.0009" u="1"/>
        <s v="04.003.0113" u="1"/>
        <s v="04.005.0103" u="1"/>
        <s v="06.210.0002" u="1"/>
        <s v="CRE-454" u="1"/>
        <s v="04.003.0114" u="1"/>
        <s v="04.005.0104" u="1"/>
        <s v="CRE-455" u="1"/>
        <s v="01.019.0080" u="1"/>
        <s v="SH-22169-71510" u="1"/>
        <s v="04.003.0115" u="1"/>
        <s v="04.005.0105" u="1"/>
        <s v="06.210.0004" u="1"/>
        <s v="SH-20016-81021" u="1"/>
        <s v="SH-22015-13261" u="1"/>
        <s v="H233C100" u="1"/>
        <s v="04.003.0116" u="1"/>
        <s v="04.005.0106" u="1"/>
        <s v="06.210.0005" u="1"/>
        <s v="EC-A429000110" u="1"/>
        <s v="01.019.0082" u="1"/>
        <s v="04.003.0117" u="1"/>
        <s v="04.005.0107" u="1"/>
        <s v="06.210.0006" u="1"/>
        <s v="EC-10101056030" u="1"/>
        <s v="EC-P021006290" u="1"/>
        <s v="EC-V205000480" u="1"/>
        <s v="01.019.0083" u="1"/>
        <s v="04.003.0118" u="1"/>
        <s v="04.005.0108" u="1"/>
        <s v="06.210.0007" u="1"/>
        <s v="10.029.0001" u="1"/>
        <s v="01.019.0084" u="1"/>
        <s v="04.003.0119" u="1"/>
        <s v="04.005.0109" u="1"/>
        <s v="06.124.0001" u="1"/>
        <s v="06.210.0008" u="1"/>
        <s v="10.029.0002" u="1"/>
        <s v="EC-V322000040" u="1"/>
        <s v="01.019.0085" u="1"/>
        <s v="06.124.0002" u="1"/>
        <s v="06.210.0009" u="1"/>
        <s v="10.029.0003" u="1"/>
        <s v="H710C1053" u="1"/>
        <s v="01.019.0086" u="1"/>
        <s v="06.124.0003" u="1"/>
        <s v="H710C1153" u="1"/>
        <s v="H710C1253" u="1"/>
        <s v="01.019.0087" u="1"/>
        <s v="06.124.0004" u="1"/>
        <s v="110414092004747" u="1"/>
        <s v="H710C1353" u="1"/>
        <s v="SH-22175-81000" u="1"/>
        <s v="H710C1453" u="1"/>
        <s v="01.019.0088" u="1"/>
        <s v="06.124.0005" u="1"/>
        <s v="H710C1553" u="1"/>
        <s v="H710C1653" u="1"/>
        <s v="06.124.0006" u="1"/>
        <s v="H710C1753" u="1"/>
        <s v="H710C2093" u="1"/>
        <s v="EC-9242435000" u="1"/>
        <s v="H710C1853" u="1"/>
        <s v="06.124.0007" u="1"/>
        <s v="01.010.0010" u="1"/>
        <s v="H710C1953" u="1"/>
        <s v="06.036.0011" u="1"/>
        <s v="06.038.0001" u="1"/>
        <s v="06.124.0008" u="1"/>
        <s v="01.012.0001" u="1"/>
        <s v="EC-SRAH-205" u="1"/>
        <s v="06.038.0002" u="1"/>
        <s v="06.124.0009" u="1"/>
        <s v="01.012.0002" u="1"/>
        <s v="06.038.0003" u="1"/>
        <s v="01.012.0003" u="1"/>
        <s v="CR-059" u="1"/>
        <s v="06.038.0004" u="1"/>
        <s v="SH-20024-75130" u="1"/>
        <s v="04.003.0080" u="1"/>
        <s v="04.005.0070" u="1"/>
        <s v="06.038.0005" u="1"/>
        <s v="EC-61001125530" u="1"/>
        <s v="04.005.0071" u="1"/>
        <s v="06.038.0006" u="1"/>
        <s v="SH-62104-32320" u="1"/>
        <s v="04.005.0072" u="1"/>
        <s v="ALEN 5X16" u="1"/>
        <s v="06.038.0007" u="1"/>
        <s v="SH-02432-35150" u="1"/>
        <s v="04.003.0083" u="1"/>
        <s v="04.003.0084" u="1"/>
        <s v="06.036.0019" u="1"/>
        <s v="06.138.0001" u="1"/>
        <s v="04.003.0085" u="1"/>
        <s v="04.005.0075" u="1"/>
        <s v="06.138.0002" u="1"/>
        <s v="06.070.0010" u="1"/>
        <s v="SH-11022-05160" u="1"/>
        <s v="SH-22155-96540" u="1"/>
        <s v="OT-481" u="1"/>
        <s v="EC-V452000520" u="1"/>
        <s v="EC-SRM 3605" u="1"/>
        <s v="06.138.0003" u="1"/>
        <s v="06.070.0011" u="1"/>
        <s v="06.072.0001" u="1"/>
        <s v="CR-159" u="1"/>
        <s v="H710C1063" u="1"/>
        <s v="SH-70000-75230" u="1"/>
        <s v="SH-4517530" u="1"/>
        <s v="06.138.0004" u="1"/>
        <s v="06.070.0012" u="1"/>
        <s v="06.072.0002" u="1"/>
        <s v="H710C1163" u="1"/>
        <s v="H710C1263" u="1"/>
        <s v="04.003.0088" u="1"/>
        <s v="06.138.0005" u="1"/>
        <s v="H710C1363" u="1"/>
        <s v="H710C1463" u="1"/>
        <s v="CR-093" u="1"/>
        <s v="04.003.0089" u="1"/>
        <s v="71302800" u="1"/>
        <s v="06.138.0006" u="1"/>
        <s v="06.070.0014" u="1"/>
        <s v="06.072.0004" u="1"/>
        <s v="H710C1563" u="1"/>
        <s v="H710C1663" u="1"/>
        <s v="06.042.0050" u="1"/>
        <s v="01.020.0030" u="1"/>
        <s v="01.024.0010" u="1"/>
        <s v="03.023.0010" u="1"/>
        <s v="06.070.0015" u="1"/>
        <s v="06.072.0005" u="1"/>
        <s v="H710C1763" u="1"/>
        <s v="H710C1863" u="1"/>
        <s v="H710C2006" u="1"/>
        <s v="01.024.0011" u="1"/>
        <s v="03.023.0011" u="1"/>
        <s v="05.024.0001" u="1"/>
        <s v="06.070.0016" u="1"/>
        <s v="06.072.0006" u="1"/>
        <s v="H710C1963" u="1"/>
        <s v="H710C2106" u="1"/>
        <s v="EC-A416000000" u="1"/>
        <s v="EC-V580000100" u="1"/>
        <s v="01.024.0012" u="1"/>
        <s v="03.023.0012" u="1"/>
        <s v="05.024.0002" u="1"/>
        <s v="06.070.0017" u="1"/>
        <s v="06.072.0007" u="1"/>
        <s v="OT-B87" u="1"/>
        <s v="01.024.0013" u="1"/>
        <s v="03.023.0013" u="1"/>
        <s v="06.070.0018" u="1"/>
        <s v="06.072.0008" u="1"/>
        <s v="06.042.0054" u="1"/>
        <s v="EC-17721560930" u="1"/>
        <s v="01.024.0014" u="1"/>
        <s v="03.023.0014" u="1"/>
        <s v="06.172.0001" u="1"/>
        <s v="06.042.0055" u="1"/>
        <s v="EC-V304000010" u="1"/>
        <s v="SH-22000-13252" u="1"/>
        <s v="SH-70200-15101" u="1"/>
        <s v="01.024.0015" u="1"/>
        <s v="03.023.0015" u="1"/>
        <s v="SH-22410-13251" u="1"/>
        <s v="06.042.0056" u="1"/>
        <s v="01.024.0016" u="1"/>
        <s v="03.023.0016" u="1"/>
        <s v="06.042.0057" u="1"/>
        <s v="01.024.0017" u="1"/>
        <s v="03.023.0017" u="1"/>
        <s v="SH-20060-12210" u="1"/>
        <s v="SH-22150-51310" u="1"/>
        <s v="EC-A130000172" u="1"/>
        <s v="06.042.0058" u="1"/>
        <s v="EC-A429000120" u="1"/>
        <s v="01.024.0018" u="1"/>
        <s v="03.023.0018" u="1"/>
        <s v="06.042.0059" u="1"/>
        <s v="01.024.0019" u="1"/>
        <s v="03.023.0019" u="1"/>
        <s v="EC-V203000590" u="1"/>
        <s v="SH-9711151" u="1"/>
        <s v="06.080.0030" u="1"/>
        <s v="06.084.0010" u="1"/>
        <s v="06.080.0031" u="1"/>
        <s v="06.086.0001" u="1"/>
        <s v="EC-17720006210" u="1"/>
        <s v="SH-22154-55110" u="1"/>
        <s v="ZM-070" u="1"/>
        <s v="EC-SRM 4605" u="1"/>
        <s v="06.080.0032" u="1"/>
        <s v="H710C1073" u="1"/>
        <s v="06.086.0003" u="1"/>
        <s v="H710C1173" u="1"/>
        <s v="H710C1273" u="1"/>
        <s v="EC-P021002461" u="1"/>
        <s v="06.080.0034" u="1"/>
        <s v="06.086.0004" u="1"/>
        <s v="H710C1373" u="1"/>
        <s v="H710C1473" u="1"/>
        <s v="01.018.0110" u="1"/>
        <s v="06.080.0035" u="1"/>
        <s v="06.086.0005" u="1"/>
        <s v="H710C1573" u="1"/>
        <s v="EC-A553000000" u="1"/>
        <s v="H710C1673" u="1"/>
        <s v="01.018.0111" u="1"/>
        <s v="06.080.0036" u="1"/>
        <s v="H710C1773" u="1"/>
        <s v="04.010.0001" u="1"/>
        <s v="EC-12411605530" u="1"/>
        <s v="H710C1873" u="1"/>
        <s v="H710C2016" u="1"/>
        <s v="01.018.0112" u="1"/>
        <s v="06.080.0037" u="1"/>
        <s v="EC-12300060131" u="1"/>
        <s v="H710C1973" u="1"/>
        <s v="04.010.0002" u="1"/>
        <s v="SH-72930-14210" u="1"/>
        <s v="H710C2116" u="1"/>
        <s v="SH-4571990" u="1"/>
        <s v="01.018.0113" u="1"/>
        <s v="06.080.0038" u="1"/>
        <s v="04.010.0003" u="1"/>
        <s v="IB-008" u="1"/>
        <s v="01.018.0114" u="1"/>
        <s v="06.080.0039" u="1"/>
        <s v="06.186.0001" u="1"/>
        <s v="04.010.0004" u="1"/>
        <s v="01.018.0115" u="1"/>
        <s v="06.186.0002" u="1"/>
        <s v="04.010.0005" u="1"/>
        <s v="H315C000" u="1"/>
        <s v="01.018.0116" u="1"/>
        <s v="SH-20021-12210" u="1"/>
        <s v="04.010.0006" u="1"/>
        <s v="SH-20024-75230" u="1"/>
        <s v="01.018.0117" u="1"/>
        <s v="06.186.0004" u="1"/>
        <s v="04.010.0007" u="1"/>
        <s v="SH-72316-53310" u="1"/>
        <s v="01.018.0118" u="1"/>
        <s v="06.186.0005" u="1"/>
        <s v="10.012.0011" u="1"/>
        <s v="10.014.0001" u="1"/>
        <s v="01.018.0119" u="1"/>
        <s v="04.010.0009" u="1"/>
        <s v="10.014.0002" u="1"/>
        <s v="EC-V430001330" u="1"/>
        <s v="10.014.0003" u="1"/>
        <s v="06.094.0031" u="1"/>
        <s v="JF-008" u="1"/>
        <s v="EC-15660132632" u="1"/>
        <s v="10.014.0004" u="1"/>
        <s v="SH-67000-42010" u="1"/>
        <s v="SH-22155-55110" u="1"/>
        <s v="SH-20036-81670" u="1"/>
        <s v="10.012.0015" u="1"/>
        <s v="10.014.0005" u="1"/>
        <s v="06.094.0033" u="1"/>
        <s v="H710C1083" u="1"/>
        <s v="10.014.0006" u="1"/>
        <s v="SH-99909-55133" u="1"/>
        <s v="H710C1183" u="1"/>
        <s v="H710C1283" u="1"/>
        <s v="10.012.0017" u="1"/>
        <s v="10.014.0007" u="1"/>
        <s v="SH-22169-96580" u="1"/>
        <s v="06.094.0035" u="1"/>
        <s v="H710C1383" u="1"/>
        <s v="06.021.0010" u="1"/>
        <s v="EC-SHP-800EUSTD" u="1"/>
        <s v="H710C1483" u="1"/>
        <s v="10.012.0018" u="1"/>
        <s v="10.014.0008" u="1"/>
        <s v="EC-A410000010" u="1"/>
        <s v="SH-72312-21520" u="1"/>
        <s v="H710C1583" u="1"/>
        <s v="06.021.0011" u="1"/>
        <s v="06.023.0001" u="1"/>
        <s v="H710C1683" u="1"/>
        <s v="10.012.0019" u="1"/>
        <s v="10.014.0009" u="1"/>
        <s v="06.094.0037" u="1"/>
        <s v="H710C1783" u="1"/>
        <s v="06.021.0012" u="1"/>
        <s v="06.023.0002" u="1"/>
        <s v="H710C1883" u="1"/>
        <s v="H710C2026" u="1"/>
        <s v="06.094.0038" u="1"/>
        <s v="06.098.0018" u="1"/>
        <s v="H710C1983" u="1"/>
        <s v="06.021.0013" u="1"/>
        <s v="H710C2126" u="1"/>
        <s v="EC-V580000110" u="1"/>
        <s v="06.098.0019" u="1"/>
        <s v="EC-17504803920" u="1"/>
        <s v="06.021.0014" u="1"/>
        <s v="06.023.0004" u="1"/>
        <s v="EC-450095060" u="1"/>
        <s v="01.018.0080" u="1"/>
        <s v="06.023.0005" u="1"/>
        <s v="SH-22901-31000" u="1"/>
        <s v="01.018.0081" u="1"/>
        <s v="06.021.0016" u="1"/>
        <s v="01.018.0082" u="1"/>
        <s v="06.021.0017" u="1"/>
        <s v="01.018.0083" u="1"/>
        <s v="BC0298" u="1"/>
        <s v="06.021.0018" u="1"/>
        <s v="06.121.0010" u="1"/>
        <s v="10.028.0001" u="1"/>
        <s v="01.018.0084" u="1"/>
        <s v="06.021.0019" u="1"/>
        <s v="06.023.0009" u="1"/>
        <s v="06.121.0011" u="1"/>
        <s v="06.123.0001" u="1"/>
        <s v="01.018.0085" u="1"/>
        <s v="06.123.0002" u="1"/>
        <s v="EC-A411000910" u="1"/>
        <s v="EC-12532308260" u="1"/>
        <s v="01.018.0086" u="1"/>
        <s v="06.121.0013" u="1"/>
        <s v="06.123.0003" u="1"/>
        <s v="EC -9242432000" u="1"/>
        <s v="SH-20011-85112" u="1"/>
        <s v="01.018.0087" u="1"/>
        <s v="06.121.0014" u="1"/>
        <s v="06.123.0004" u="1"/>
        <s v="01.018.0088" u="1"/>
        <s v="06.121.0015" u="1"/>
        <s v="06.123.0005" u="1"/>
        <s v="H224C000" u="1"/>
        <s v="SH-22150-15412" u="1"/>
        <s v="01.018.0089" u="1"/>
        <s v="06.121.0016" u="1"/>
        <s v="06.123.0006" u="1"/>
        <s v="H710C1093" u="1"/>
        <s v="H710C1193" u="1"/>
        <s v="06.033.0020" u="1"/>
        <s v="06.121.0017" u="1"/>
        <s v="06.123.0007" u="1"/>
        <s v="H710C1293" u="1"/>
        <s v="SH-22169-81000" u="1"/>
        <s v="EC-P021002471" u="1"/>
        <s v="H710C1393" u="1"/>
        <s v="06.037.0001" u="1"/>
        <s v="06.123.0008" u="1"/>
        <s v="01.011.0001" u="1"/>
        <s v="H710C1493" u="1"/>
        <s v="H710C1593" u="1"/>
        <s v="06.037.0002" u="1"/>
        <s v="06.121.0019" u="1"/>
        <s v="06.123.0009" u="1"/>
        <s v="01.011.0002" u="1"/>
        <s v="H710C1693" u="1"/>
        <s v="H710C1793" u="1"/>
        <s v="06.033.0023" u="1"/>
        <s v="06.037.0003" u="1"/>
        <s v="H710C1893" u="1"/>
        <s v="CR-058" u="1"/>
        <s v="H710C2036" u="1"/>
        <s v="SH-22175-82340" u="1"/>
        <s v="H710C1993" u="1"/>
        <s v="06.033.0024" u="1"/>
        <s v="06.037.0004" u="1"/>
        <s v="04.008.0050" u="1"/>
        <s v="04.008.0051" u="1"/>
        <s v="06.033.0026" u="1"/>
        <s v="01.011.0006" u="1"/>
        <s v="EC-CS-1201-90EUSTD" u="1"/>
        <s v="JF-056" u="1"/>
        <s v="SH-V216000040" u="1"/>
        <s v="04.008.0052" u="1"/>
        <s v="EC-17501849932" u="1"/>
        <s v="01.011.0007" u="1"/>
        <s v="SH-70196-12110" u="1"/>
        <s v="H275C000" u="1"/>
        <s v="04.008.0053" u="1"/>
        <s v="06.033.0028" u="1"/>
        <s v="06.133.0020" u="1"/>
        <s v="01.011.0008" u="1"/>
        <s v="EC-A566000130" u="1"/>
        <s v="04.008.0054" u="1"/>
        <s v="06.133.0021" u="1"/>
        <s v="06.137.0001" u="1"/>
        <s v="EC-V451000040" u="1"/>
        <s v="01.011.0009" u="1"/>
        <s v="04.008.0055" u="1"/>
        <s v="06.133.0022" u="1"/>
        <s v="06.137.0002" u="1"/>
        <s v="SH-69011-98310" u="1"/>
        <s v="OT-480" u="1"/>
        <s v="04.008.0056" u="1"/>
        <s v="06.133.0023" u="1"/>
        <s v="06.137.0003" u="1"/>
        <s v="04.008.0057" u="1"/>
        <s v="06.133.0024" u="1"/>
        <s v="06.071.0002" u="1"/>
        <s v="04.008.0058" u="1"/>
        <s v="06.133.0025" u="1"/>
        <s v="06.137.0005" u="1"/>
        <s v="SH-22160-75100" u="1"/>
        <s v="CR-092" u="1"/>
        <s v="04.008.0059" u="1"/>
        <s v="06.133.0026" u="1"/>
        <s v="06.137.0006" u="1"/>
        <s v="SH-22175-54210" u="1"/>
        <s v="06.133.0027" u="1"/>
        <s v="03.022.0010" u="1"/>
        <s v="06.133.0028" u="1"/>
        <s v="H710C1006" u="1"/>
        <s v="01.025.0001" u="1"/>
        <s v="03.022.0011" u="1"/>
        <s v="H710C1106" u="1"/>
        <s v="06.133.0029" u="1"/>
        <s v="H710C1206" u="1"/>
        <s v="01.025.0002" u="1"/>
        <s v="03.022.0012" u="1"/>
        <s v="H710C1306" u="1"/>
        <s v="EC-17720055931" u="1"/>
        <s v="H710C1406" u="1"/>
        <s v="01.025.0003" u="1"/>
        <s v="03.022.0013" u="1"/>
        <s v="H710C1506" u="1"/>
        <s v="H710C1606" u="1"/>
        <s v="01.025.0004" u="1"/>
        <s v="03.022.0014" u="1"/>
        <s v="06.171.0001" u="1"/>
        <s v="SH-20010-72221" u="1"/>
        <s v="H710C1706" u="1"/>
        <s v="H710C2046" u="1"/>
        <s v="H710C1806" u="1"/>
        <s v="03.022.0015" u="1"/>
        <s v="06.171.0002" u="1"/>
        <s v="SH-4573040" u="1"/>
        <s v="H710C1906" u="1"/>
        <s v="01.025.0006" u="1"/>
        <s v="03.022.0016" u="1"/>
        <s v="06.171.0003" u="1"/>
        <s v="03.022.0017" u="1"/>
        <s v="06.171.0004" u="1"/>
        <s v="EC-12436212710" u="1"/>
        <s v="06.149.0010" u="1"/>
        <s v="03.022.0018" u="1"/>
        <s v="06.171.0005" u="1"/>
        <s v="EC-P021021240" u="1"/>
        <s v="EC-P021035430" u="1"/>
        <s v="06.149.0011" u="1"/>
        <s v="SH-62035-32320" u="1"/>
        <s v="03.022.0019" u="1"/>
        <s v="06.171.0006" u="1"/>
        <s v="SH-1123300" u="1"/>
        <s v="06.149.0012" u="1"/>
        <s v="06.081.0020" u="1"/>
        <s v="EC-17510532431" u="1"/>
        <s v="SH-A202000180" u="1"/>
        <s v="06.149.0013" u="1"/>
        <s v="EC-A411000820" u="1"/>
        <s v="SH-69012-98310" u="1"/>
        <s v="06.081.0021" u="1"/>
        <s v="06.085.0001" u="1"/>
        <s v="06.081.0022" u="1"/>
        <s v="06.085.0002" u="1"/>
        <s v="EC-V307000230" u="1"/>
        <s v="EC-A130000292" u="1"/>
        <s v="06.081.0023" u="1"/>
        <s v="06.149.0016" u="1"/>
        <s v="SH-4555310" u="1"/>
        <s v="06.081.0024" u="1"/>
        <s v="06.085.0004" u="1"/>
        <s v="EC-17722006310" u="1"/>
        <s v="06.149.0017" u="1"/>
        <s v="01.019.0100" u="1"/>
        <s v="06.081.0025" u="1"/>
        <s v="SH-82067A" u="1"/>
        <s v="06.149.0018" u="1"/>
        <s v="01.019.0101" u="1"/>
        <s v="06.081.0026" u="1"/>
        <s v="H710C1016" u="1"/>
        <s v="01.019.0102" u="1"/>
        <s v="06.081.0027" u="1"/>
        <s v="100913125817857" u="1"/>
        <s v="EC-C050001920" u="1"/>
        <s v="H710C1116" u="1"/>
        <s v="H710C1216" u="1"/>
        <s v="01.019.0103" u="1"/>
        <s v="06.081.0028" u="1"/>
        <s v="06.181.0020" u="1"/>
        <s v="SH-38500-32010" u="1"/>
        <s v="H710C1316" u="1"/>
        <s v="IB-007" u="1"/>
        <s v="H710C1416" u="1"/>
        <s v="01.019.0104" u="1"/>
        <s v="06.081.0029" u="1"/>
        <s v="06.181.0021" u="1"/>
        <s v="IB-007   " u="1"/>
        <s v="SH-38490-18" u="1"/>
        <s v="H710C1516" u="1"/>
        <s v="03.004.0070" u="1"/>
        <s v="03.008.0050" u="1"/>
        <s v="H710C1616" u="1"/>
        <s v="01.019.0105" u="1"/>
        <s v="06.185.0002" u="1"/>
        <s v="H710C1716" u="1"/>
        <s v="H710C2056" u="1"/>
        <s v="03.002.0081" u="1"/>
        <s v="03.004.0071" u="1"/>
        <s v="03.008.0051" u="1"/>
        <s v="H710C1816" u="1"/>
        <s v="01.019.0106" u="1"/>
        <s v="06.185.0003" u="1"/>
        <s v="SH-70131-34100" u="1"/>
        <s v="H710C1916" u="1"/>
        <s v="03.002.0082" u="1"/>
        <s v="03.004.0072" u="1"/>
        <s v="03.008.0052" u="1"/>
        <s v="EC-15662660930" u="1"/>
        <s v="01.019.0107" u="1"/>
        <s v="06.185.0004" u="1"/>
        <s v="03.002.0083" u="1"/>
        <s v="03.004.0073" u="1"/>
        <s v="03.008.0053" u="1"/>
        <s v="01.019.0108" u="1"/>
        <s v="06.185.0005" u="1"/>
        <s v="SH-01600-04101" u="1"/>
        <s v="C300A200" u="1"/>
        <s v="SH-22015-96500" u="1"/>
        <s v="CR-009" u="1"/>
        <s v="03.002.0084" u="1"/>
        <s v="03.004.0074" u="1"/>
        <s v="03.008.0054" u="1"/>
        <s v="01.019.0109" u="1"/>
        <s v="06.185.0006" u="1"/>
        <s v="SH-70198-12110" u="1"/>
        <s v="03.002.0085" u="1"/>
        <s v="03.004.0075" u="1"/>
        <s v="03.008.0055" u="1"/>
        <s v="06.097.0010" u="1"/>
        <s v="06.185.0007" u="1"/>
        <s v="03.002.0086" u="1"/>
        <s v="03.004.0076" u="1"/>
        <s v="03.008.0056" u="1"/>
        <s v="06.097.0011" u="1"/>
        <s v="06.099.0001" u="1"/>
        <s v="SH-62035-15012" u="1"/>
        <s v="JF-007" u="1"/>
        <s v="OT-694" u="1"/>
        <s v="SH-70203-81020" u="1"/>
        <s v="03.002.0087" u="1"/>
        <s v="03.008.0057" u="1"/>
        <s v="06.097.0012" u="1"/>
        <s v="SH-70196-15210" u="1"/>
        <s v="SH-22169-51110" u="1"/>
        <s v="03.008.0058" u="1"/>
        <s v="06.097.0013" u="1"/>
        <s v="06.099.0003" u="1"/>
        <s v="EC-15660130832" u="1"/>
        <s v="03.008.0059" u="1"/>
        <s v="06.097.0014" u="1"/>
        <s v="06.099.0004" u="1"/>
        <s v="04.003.0100" u="1"/>
        <s v="06.020.0010" u="1"/>
        <s v="06.097.0016" u="1"/>
        <s v="04.003.0101" u="1"/>
        <s v="06.020.0011" u="1"/>
        <s v="06.022.0001" u="1"/>
        <s v="SH-22169-55110" u="1"/>
        <s v="04.003.0102" u="1"/>
        <s v="06.020.0012" u="1"/>
        <s v="06.022.0002" u="1"/>
        <s v="SH-62035-21020" u="1"/>
        <s v="SH-4044211" u="1"/>
        <s v="H710C1026" u="1"/>
        <s v="04.003.0103" u="1"/>
        <s v="06.020.0013" u="1"/>
        <s v="H710C1126" u="1"/>
        <s v="H710C1226" u="1"/>
        <s v="06.199.0001" u="1"/>
        <s v="04.003.0104" u="1"/>
        <s v="06.020.0014" u="1"/>
        <s v="06.022.0004" u="1"/>
        <s v="EC-A410000030" u="1"/>
        <s v="SH-72550-12102" u="1"/>
        <s v="H710C1326" u="1"/>
        <s v="H710C1426" u="1"/>
        <s v="SH-22169-21512" u="1"/>
        <s v="04.003.0105" u="1"/>
        <s v="06.020.0015" u="1"/>
        <s v="EC-17500543130" u="1"/>
        <s v="H710C1526" u="1"/>
        <s v="H710C1626" u="1"/>
        <s v="04.003.0106" u="1"/>
        <s v="06.020.0016" u="1"/>
        <s v="06.022.0006" u="1"/>
        <s v="EC-12312009560" u="1"/>
        <s v="JF-041" u="1"/>
        <s v="H710C1726" u="1"/>
        <s v="H710C2066" u="1"/>
        <s v="01.019.0072" u="1"/>
        <s v="H710C1826" u="1"/>
        <s v="04.003.0107" u="1"/>
        <s v="06.020.0017" u="1"/>
        <s v="H710C1926" u="1"/>
        <s v="EC-13031006230" u="1"/>
        <s v="01.019.0073" u="1"/>
        <s v="06.169.0050" u="1"/>
        <s v="04.003.0108" u="1"/>
        <s v="06.020.0018" u="1"/>
        <s v="10.027.0001" u="1"/>
        <s v="SH-22154-85540" u="1"/>
        <s v="01.019.0074" u="1"/>
        <s v="06.169.0051" u="1"/>
        <s v="04.003.0109" u="1"/>
        <s v="06.020.0019" u="1"/>
        <s v="06.022.0009" u="1"/>
        <s v="06.122.0001" u="1"/>
        <s v="01.019.0075" u="1"/>
        <s v="06.169.0052" u="1"/>
        <s v="06.122.0002" u="1"/>
        <s v="EC-P021035440" u="1"/>
        <s v="EC-10101032431" u="1"/>
        <s v="01.019.0076" u="1"/>
        <s v="EC-A426000050" u="1"/>
        <s v="SH-70234-98011" u="1"/>
        <s v="01.019.0078" u="1"/>
        <s v="EC-10101055430" u="1"/>
        <s v="01.019.0079" u="1"/>
        <s v="SH-22154-52410" u="1"/>
        <s v="06.032.0020" u="1"/>
        <s v="06.034.0010" u="1"/>
        <s v="SH-22155-96531" u="1"/>
        <s v="06.032.0021" u="1"/>
        <s v="06.034.0011" u="1"/>
        <s v="06.036.0001" u="1"/>
        <s v="SH-22155-72280" u="1"/>
        <s v="SH-60873" u="1"/>
        <s v="01.010.0001" u="1"/>
        <s v="06.032.0022" u="1"/>
        <s v="06.034.0012" u="1"/>
        <s v="06.036.0002" u="1"/>
        <s v="01.010.0002" u="1"/>
        <s v="75CL1620L07" u="1"/>
        <s v="06.032.0023" u="1"/>
        <s v="06.034.0013" u="1"/>
        <s v="06.036.0003" u="1"/>
        <s v="SH-99909-12212" u="1"/>
        <s v="01.010.0003" u="1"/>
        <s v="CR-057" u="1"/>
        <s v="H710C1036" u="1"/>
        <s v="06.034.0014" u="1"/>
        <s v="06.036.0004" u="1"/>
        <s v="01.010.0004" u="1"/>
        <s v="SH-22169-21203" u="1"/>
        <s v="H710C1136" u="1"/>
        <s v="H710C1236" u="1"/>
        <s v="04.003.0070" u="1"/>
        <s v="04.005.0060" u="1"/>
        <s v="06.034.0015" u="1"/>
        <s v="06.036.0005" u="1"/>
        <s v="01.010.0005" u="1"/>
        <s v="H710C1336" u="1"/>
        <s v="EC-A050000200" u="1"/>
        <s v="H710C1436" u="1"/>
        <s v="04.003.0071" u="1"/>
        <s v="04.005.0061" u="1"/>
        <s v="06.036.0006" u="1"/>
        <s v="01.010.0006" u="1"/>
        <s v="EC-A055000000" u="1"/>
        <s v="H710C1536" u="1"/>
        <s v="H710C1636" u="1"/>
        <s v="04.003.0072" u="1"/>
        <s v="01.010.0007" u="1"/>
        <s v="EC-A055000100" u="1"/>
        <s v="H710C1736" u="1"/>
        <s v="EC-P021002791" u="1"/>
        <s v="EC-13002151530" u="1"/>
        <s v="H710C2076" u="1"/>
        <s v="EC-A555000130" u="1"/>
        <s v="H710C1836" u="1"/>
        <s v="04.005.0063" u="1"/>
        <s v="06.036.0008" u="1"/>
        <s v="01.010.0008" u="1"/>
        <s v="H710C1936" u="1"/>
        <s v="04.003.0074" u="1"/>
        <s v="EC-A021002120" u="1"/>
        <s v="06.036.0009" u="1"/>
        <s v="06.136.0001" u="1"/>
        <s v="01.010.0009" u="1"/>
        <s v="SH-4576340" u="1"/>
        <s v="04.003.0075" u="1"/>
        <s v="06.136.0002" u="1"/>
        <s v="SH-22015-96600" u="1"/>
        <s v="04.003.0076" u="1"/>
        <s v="04.005.0066" u="1"/>
        <s v="06.070.0001" u="1"/>
        <s v="EC-A056000500" u="1"/>
        <s v="04.003.0077" u="1"/>
        <s v="EC-A566000150" u="1"/>
        <s v="06.070.0002" u="1"/>
        <s v="04.003.0078" u="1"/>
        <s v="EC-A021002520" u="1"/>
        <s v="06.070.0003" u="1"/>
        <s v="04.003.0079" u="1"/>
        <s v="04.005.0069" u="1"/>
        <s v="06.070.0004" u="1"/>
        <s v="EC-70602048970" u="1"/>
        <s v="06.042.0040" u="1"/>
        <s v="01.020.0020" u="1"/>
        <s v="06.070.0005" u="1"/>
        <s v="81PS3005" u="1"/>
        <s v="06.042.0041" u="1"/>
        <s v="01.020.0021" u="1"/>
        <s v="03.023.0001" u="1"/>
        <s v="SH-80863" u="1"/>
        <s v="06.048.0012" u="1"/>
        <s v="01.020.0022" u="1"/>
        <s v="03.023.0002" u="1"/>
        <s v="06.070.0007" u="1"/>
        <s v="06.042.0043" u="1"/>
        <s v="06.048.0013" u="1"/>
        <s v="01.020.0023" u="1"/>
        <s v="03.023.0003" u="1"/>
        <s v="06.070.0008" u="1"/>
        <s v="EC-V452000560" u="1"/>
        <s v="SH-22169-15212" u="1"/>
        <s v="06.042.0044" u="1"/>
        <s v="01.020.0024" u="1"/>
        <s v="01.024.0004" u="1"/>
        <s v="03.023.0004" u="1"/>
        <s v="06.170.0001" u="1"/>
        <s v="H710C1046" u="1"/>
        <s v="06.042.0045" u="1"/>
        <s v="06.048.0015" u="1"/>
        <s v="01.020.0025" u="1"/>
        <s v="01.024.0005" u="1"/>
        <s v="03.023.0005" u="1"/>
        <s v="06.170.0002" u="1"/>
        <s v="H710C1146" u="1"/>
        <s v="H710C1246" u="1"/>
        <s v="06.042.0046" u="1"/>
        <s v="06.048.0016" u="1"/>
        <s v="01.020.0026" u="1"/>
        <s v="03.023.0006" u="1"/>
        <s v="H710C1346" u="1"/>
        <s v="H710C1446" u="1"/>
        <s v="06.042.0047" u="1"/>
        <s v="06.048.0017" u="1"/>
        <s v="01.020.0027" u="1"/>
        <s v="03.023.0007" u="1"/>
        <s v="H710C1546" u="1"/>
        <s v="SH-22152-41210" u="1"/>
        <s v="EC-A172001300" u="1"/>
        <s v="H710C1646" u="1"/>
        <s v="06.042.0048" u="1"/>
        <s v="06.048.0018" u="1"/>
        <s v="01.020.0028" u="1"/>
        <s v="03.023.0008" u="1"/>
        <s v="H710C1746" u="1"/>
        <s v="H710C2086" u="1"/>
        <s v="H710C1846" u="1"/>
        <s v="SH-22182-41210" u="1"/>
        <s v="01.020.0029" u="1"/>
        <s v="01.024.0009" u="1"/>
        <s v="03.023.0009" u="1"/>
        <s v="H710C1946" u="1"/>
        <s v="SH-20011-31200" u="1"/>
        <s v="SH-20021-31200" u="1"/>
        <s v="SH-HT230/40" u="1"/>
        <s v="SH-22000-13512" u="1"/>
        <s v="EC-V583000140" u="1"/>
        <s v="06.080.0021" u="1"/>
        <s v="06.084.0001" u="1"/>
        <s v="EC-C051000600" u="1"/>
        <s v="EC-A409000520" u="1"/>
        <s v="06.080.0022" u="1"/>
        <s v="06.084.0002" u="1"/>
        <s v="06.080.0023" u="1"/>
        <s v="06.084.0003" u="1"/>
        <s v="EC-A427000060" u="1"/>
        <s v="OT-02006-06000" u="1"/>
        <s v="06.080.0024" u="1"/>
        <s v="06.084.0004" u="1"/>
        <s v="EC-A411001080" u="1"/>
        <s v="01.018.0100" u="1"/>
        <s v="06.080.0025" u="1"/>
        <s v="06.084.0005" u="1"/>
        <s v="EC-61001106230" u="1"/>
        <s v="01.018.0101" u="1"/>
        <s v="06.080.0026" u="1"/>
        <s v="06.084.0006" u="1"/>
        <s v="01.018.0102" u="1"/>
        <s v="06.080.0027" u="1"/>
        <s v="06.084.0007" u="1"/>
        <s v="SH-108642-24" u="1"/>
        <s v="01.018.0103" u="1"/>
        <s v="06.080.0028" u="1"/>
        <s v="06.084.0008" u="1"/>
        <s v="06.180.0020" u="1"/>
        <s v="SH-70200-85320" u="1"/>
        <s v="SH-62035-82340" u="1"/>
        <s v="01.018.0104" u="1"/>
        <s v="06.080.0029" u="1"/>
        <s v="06.084.0009" u="1"/>
        <s v="06.184.0001" u="1"/>
        <s v="EC-PPT-2400STD" u="1"/>
        <s v="EC-A130000601" u="1"/>
        <s v="03.005.0060" u="1"/>
        <s v="01.018.0105" u="1"/>
        <s v="06.180.0022" u="1"/>
        <s v="06.184.0002" u="1"/>
        <s v="H710C1056" u="1"/>
        <s v="03.005.0061" u="1"/>
        <s v="01.018.0106" u="1"/>
        <s v="H710C1156" u="1"/>
        <s v="H710C1256" u="1"/>
        <s v="03.005.0062" u="1"/>
        <s v="SH-72441-16002" u="1"/>
        <s v="01.018.0107" u="1"/>
        <s v="JF-269" u="1"/>
        <s v="H710C1356" u="1"/>
        <s v="H710C1456" u="1"/>
        <s v="CRE-082" u="1"/>
        <s v="03.005.0063" u="1"/>
        <s v="01.018.0108" u="1"/>
        <s v="SH-70036-98020" u="1"/>
        <s v="H710C1556" u="1"/>
        <s v="EC-A056000010" u="1"/>
        <s v="10.012.0001" u="1"/>
        <s v="H710C1656" u="1"/>
        <s v="03.005.0064" u="1"/>
        <s v="01.018.0109" u="1"/>
        <s v="H710C1756" u="1"/>
        <s v="H710C2096" u="1"/>
        <s v="EC-A058000010" u="1"/>
        <s v="H710C1856" u="1"/>
        <s v="03.005.0065" u="1"/>
        <s v="06.094.0020" u="1"/>
        <s v="EC-17500030832" u="1"/>
        <s v="H710C1956" u="1"/>
        <s v="10.012.0003" u="1"/>
        <s v="06.098.0001" u="1"/>
        <s v="JF-006" u="1"/>
        <s v="10.012.0004" u="1"/>
        <s v="H450D100" u="1"/>
        <s v="06.094.0022" u="1"/>
        <s v="06.098.0002" u="1"/>
        <s v="H460D100" u="1"/>
        <s v="06.098.0003" u="1"/>
        <s v="EC-10010055430" u="1"/>
        <s v="EC-17721540630" u="1"/>
        <s v="SH-20021-96420" u="1"/>
        <s v="SH-22021-12120" u="1"/>
        <s v="SH-22410-17202" u="1"/>
        <s v="EC-13001756431" u="1"/>
        <s v="SH-80771" u="1"/>
        <s v="SH-900302" u="1"/>
        <s v="06.021.0001" u="1"/>
        <s v="EC-12300047532" u="1"/>
        <s v="10.012.0009" u="1"/>
        <s v="06.098.0007" u="1"/>
        <s v="06.021.0002" u="1"/>
        <s v="06.094.0028" u="1"/>
        <s v="06.021.0003" u="1"/>
        <s v="SH-63901-63022" u="1"/>
        <s v="CR-042" u="1"/>
        <s v="SH-60876" u="1"/>
        <s v="06.094.0029" u="1"/>
        <s v="06.021.0004" u="1"/>
        <s v="SH-B450AUS" u="1"/>
        <s v="SH-22150-12151" u="1"/>
        <s v="01.018.0070" u="1"/>
        <s v="H451D100" u="1"/>
        <s v="06.021.0005" u="1"/>
        <s v="H461D100" u="1"/>
        <s v="SH-22169-55310" u="1"/>
        <s v="01.018.0071" u="1"/>
        <s v="EC-V420002390" u="1"/>
        <s v="06.021.0006" u="1"/>
        <s v="EC-C531000600" u="1"/>
        <s v="SH-62035-85031" u="1"/>
        <s v="JF-040" u="1"/>
        <s v="H710C1066" u="1"/>
        <s v="01.018.0072" u="1"/>
        <s v="INCO-090" u="1"/>
        <s v="06.021.0007" u="1"/>
        <s v="EC-C535000500" u="1"/>
        <s v="H710C1166" u="1"/>
        <s v="H710C1266" u="1"/>
        <s v="01.018.0073" u="1"/>
        <s v="06.021.0008" u="1"/>
        <s v="H710C1366" u="1"/>
        <s v="10.026.0001" u="1"/>
        <s v="EC-A411000050" u="1"/>
        <s v="H710C1466" u="1"/>
        <s v="01.018.0074" u="1"/>
        <s v="06.021.0009" u="1"/>
        <s v="06.121.0001" u="1"/>
        <s v="H710C1566" u="1"/>
        <s v="H710C1666" u="1"/>
        <s v="01.018.0075" u="1"/>
        <s v="06.121.0002" u="1"/>
        <s v="H710C1766" u="1"/>
        <s v="EC-17501805533" u="1"/>
        <s v="H710C1866" u="1"/>
        <s v="01.018.0076" u="1"/>
        <s v="H710C2009" u="1"/>
        <s v="H710C1966" u="1"/>
        <s v="H710C2109" u="1"/>
        <s v="01.018.0077" u="1"/>
        <s v="06.121.0004" u="1"/>
        <s v="EC-A411000264" u="1"/>
        <s v="01.018.0078" u="1"/>
        <s v="06.121.0005" u="1"/>
        <s v="H462D100" u="1"/>
        <s v="01.018.0079" u="1"/>
        <s v="06.121.0006" u="1"/>
        <s v="06.121.0007" u="1"/>
        <s v="EC-A409000730" u="1"/>
        <s v="06.033.0011" u="1"/>
        <s v="06.121.0008" u="1"/>
        <s v="SH-69008-98310" u="1"/>
        <s v="EC-A130000111" u="1"/>
        <s v="06.033.0012" u="1"/>
        <s v="06.035.0002" u="1"/>
        <s v="06.121.0009" u="1"/>
        <s v="06.033.0013" u="1"/>
        <s v="CR-056" u="1"/>
        <s v="EC-P021006153" u="1"/>
        <s v="06.033.0014" u="1"/>
        <s v="04.008.0040" u="1"/>
        <s v="06.009.0030" u="1"/>
        <s v="06.033.0015" u="1"/>
        <s v="EC-10010043130" u="1"/>
        <s v="H453D100" u="1"/>
        <s v="04.008.0041" u="1"/>
        <s v="06.009.0031" u="1"/>
        <s v="06.033.0016" u="1"/>
        <s v="A411000790 BOBINA" u="1"/>
        <s v="04.008.0042" u="1"/>
        <s v="06.033.0017" u="1"/>
        <s v="EC-70602034770" u="1"/>
        <s v="SH-20011-86120" u="1"/>
        <s v="H710C1076" u="1"/>
        <s v="04.008.0043" u="1"/>
        <s v="06.033.0018" u="1"/>
        <s v="06.133.0010" u="1"/>
        <s v="H710C1176" u="1"/>
        <s v="H710C1276" u="1"/>
        <s v="04.008.0044" u="1"/>
        <s v="06.033.0019" u="1"/>
        <s v="06.133.0011" u="1"/>
        <s v="H710C1376" u="1"/>
        <s v="SH-22197-33960" u="1"/>
        <s v="H710C1476" u="1"/>
        <s v="EC-17721532330" u="1"/>
        <s v="04.008.0045" u="1"/>
        <s v="EC-A055000020" u="1"/>
        <s v="06.133.0012" u="1"/>
        <s v="06.135.0002" u="1"/>
        <s v="H710C1576" u="1"/>
        <s v="H710C1676" u="1"/>
        <s v="04.008.0046" u="1"/>
        <s v="06.133.0013" u="1"/>
        <s v="H710C1776" u="1"/>
        <s v="H710C1876" u="1"/>
        <s v="04.008.0047" u="1"/>
        <s v="H710C2019" u="1"/>
        <s v="06.133.0014" u="1"/>
        <s v="H710C1976" u="1"/>
        <s v="H710C2119" u="1"/>
        <s v="EC-A021002140" u="1"/>
        <s v="04.008.0048" u="1"/>
        <s v="06.133.0015" u="1"/>
        <s v="SH-22410-14302" u="1"/>
        <s v="EC-12431749930" u="1"/>
        <s v="04.008.0049" u="1"/>
        <s v="06.133.0016" u="1"/>
        <s v="SH-38500-82130" u="1"/>
        <s v="06.133.0017" u="1"/>
        <s v="03.020.0010" u="1"/>
        <s v="EC-17721538330" u="1"/>
        <s v="06.049.0001" u="1"/>
        <s v="06.133.0018" u="1"/>
        <s v="03.020.0011" u="1"/>
        <s v="03.022.0001" u="1"/>
        <s v="EC-A056000620" u="1"/>
        <s v="SH-22160-51501" u="1"/>
        <s v="EC-A021002540" u="1"/>
        <s v="06.049.0002" u="1"/>
        <s v="06.133.0019" u="1"/>
        <s v="EC-A556000650" u="1"/>
        <s v="03.020.0012" u="1"/>
        <s v="03.022.0002" u="1"/>
        <s v="03.020.0013" u="1"/>
        <s v="03.022.0003" u="1"/>
        <s v="06.049.0004" u="1"/>
        <s v="03.020.0014" u="1"/>
        <s v="03.022.0004" u="1"/>
        <s v="EC-13100455530" u="1"/>
        <s v="06.049.0005" u="1"/>
        <s v="SH-62035-82131" u="1"/>
        <s v="03.020.0015" u="1"/>
        <s v="03.022.0005" u="1"/>
        <s v="EC-A021003180" u="1"/>
        <s v="06.049.0006" u="1"/>
        <s v="03.022.0006" u="1"/>
        <s v="06.049.0007" u="1"/>
        <s v="03.022.0007" u="1"/>
        <s v="06.049.0008" u="1"/>
        <s v="03.022.0008" u="1"/>
        <s v="EC-A051001860" u="1"/>
        <s v="H710C1086" u="1"/>
        <s v="06.049.0009" u="1"/>
        <s v="06.149.0001" u="1"/>
        <s v="EC-C535000510" u="1"/>
        <s v="H710C1186" u="1"/>
        <s v="03.022.0009" u="1"/>
        <s v="H710C1286" u="1"/>
        <s v="06.149.0002" u="1"/>
        <s v="H710C1386" u="1"/>
        <s v="06.081.0010" u="1"/>
        <s v="H710C1486" u="1"/>
        <s v="06.149.0003" u="1"/>
        <s v="H710C1586" u="1"/>
        <s v="H710C2001" u="1"/>
        <s v="06.081.0011" u="1"/>
        <s v="06.083.0001" u="1"/>
        <s v="H710C1686" u="1"/>
        <s v="H710C2101" u="1"/>
        <s v="06.149.0004" u="1"/>
        <s v="H710C1786" u="1"/>
        <s v="06.081.0012" u="1"/>
        <s v="H710C1886" u="1"/>
        <s v="H710C2029" u="1"/>
        <s v="06.149.0005" u="1"/>
        <s v="H710C1986" u="1"/>
        <s v="06.081.0013" u="1"/>
        <s v="EC-A160002240" u="1"/>
        <s v="06.081.0014" u="1"/>
        <s v="EC-10001108360" u="1"/>
        <s v="01.033.0020" u="1"/>
        <s v="06.081.0015" u="1"/>
        <s v="SH-10510" u="1"/>
        <s v="EC-17510530831" u="1"/>
        <s v="06.149.0008" u="1"/>
        <s v="EC-15662639130" u="1"/>
        <s v="01.033.0021" u="1"/>
        <s v="01.037.0001" u="1"/>
        <s v="06.081.0016" u="1"/>
        <s v="EC-C062000340" u="1"/>
        <s v="EC-A409000640" u="1"/>
        <s v="06.149.0009" u="1"/>
        <s v="01.033.0022" u="1"/>
        <s v="06.081.0017" u="1"/>
        <s v="01.033.0023" u="1"/>
        <s v="06.081.0018" u="1"/>
        <s v="06.181.0010" u="1"/>
        <s v="SH-80794" u="1"/>
        <s v="06.081.0019" u="1"/>
        <s v="06.181.0011" u="1"/>
        <s v="SH-20016-85003" u="1"/>
        <s v="SH-22169-33102" u="1"/>
        <s v="03.002.0070" u="1"/>
        <s v="03.008.0040" u="1"/>
        <s v="SH-22044-14120" u="1"/>
        <s v="01.033.0025" u="1"/>
        <s v="06.181.0012" u="1"/>
        <s v="06.183.0002" u="1"/>
        <s v="EC-A021000681" u="1"/>
        <s v="03.002.0071" u="1"/>
        <s v="03.008.0041" u="1"/>
        <s v="06.181.0013" u="1"/>
        <s v="06.183.0003" u="1"/>
        <s v="SH-20011-81360" u="1"/>
        <s v="SH-22000-92167" u="1"/>
        <s v="03.008.0042" u="1"/>
        <s v="06.181.0014" u="1"/>
        <s v="SH-18500-50100" u="1"/>
        <s v="JF-268" u="1"/>
        <s v="03.008.0043" u="1"/>
        <s v="SH-22197-55201" u="1"/>
        <s v="06.181.0015" u="1"/>
        <s v="C300A000" u="1"/>
        <s v="SH-62035-42010" u="1"/>
        <s v="10.011.0001" u="1"/>
        <s v="03.008.0044" u="1"/>
        <s v="06.181.0016" u="1"/>
        <s v="H710C1096" u="1"/>
        <s v="03.008.0045" u="1"/>
        <s v="SH-22169-21503" u="1"/>
        <s v="H710C1196" u="1"/>
        <s v="06.181.0017" u="1"/>
        <s v="EC-A052000030" u="1"/>
        <s v="H710C1296" u="1"/>
        <s v="03.008.0046" u="1"/>
        <s v="H710C1396" u="1"/>
        <s v="06.097.0001" u="1"/>
        <s v="06.181.0018" u="1"/>
        <s v="JF-005" u="1"/>
        <s v="CRE-079" u="1"/>
        <s v="H710C1496" u="1"/>
        <s v="03.004.0067" u="1"/>
        <s v="03.008.0047" u="1"/>
        <s v="H710C1596" u="1"/>
        <s v="H710C2011" u="1"/>
        <s v="06.097.0002" u="1"/>
        <s v="06.181.0019" u="1"/>
        <s v="SH-22157-41210" u="1"/>
        <s v="H710C1696" u="1"/>
        <s v="H710C2111" u="1"/>
        <s v="03.004.0068" u="1"/>
        <s v="03.008.0048" u="1"/>
        <s v="H710C1796" u="1"/>
        <s v="06.097.0003" u="1"/>
        <s v="EC-12435550130" u="1"/>
        <s v="H710C1896" u="1"/>
        <s v="H710C2039" u="1"/>
        <s v="03.004.0069" u="1"/>
        <s v="03.008.0049" u="1"/>
        <s v="H710C1996" u="1"/>
        <s v="24221" u="1"/>
        <s v="EC-70602047412" u="1"/>
        <s v="06.097.0005" u="1"/>
        <s v="EC-A056000330" u="1"/>
        <s v="06.097.0006" u="1"/>
        <s v="06.097.0007" u="1"/>
        <s v="SH-22015-12120" u="1"/>
        <s v="06.097.0008" u="1"/>
        <s v="06.020.0003" u="1"/>
        <s v="SH-22015-13120" u="1"/>
        <s v="06.097.0009" u="1"/>
        <s v="01.013.0090" u="1"/>
        <s v="01.019.0060" u="1"/>
        <s v="06.020.0005" u="1"/>
        <s v="EC-P021004090" u="1"/>
        <s v="01.013.0091" u="1"/>
        <s v="01.019.0061" u="1"/>
        <s v="06.020.0006" u="1"/>
        <s v="SH-22152-12111" u="1"/>
        <s v="01.013.0092" u="1"/>
        <s v="01.019.0062" u="1"/>
        <s v="24231" u="1"/>
        <s v="06.020.0007" u="1"/>
        <s v="01.013.0093" u="1"/>
        <s v="01.019.0063" u="1"/>
        <s v="06.169.0040" u="1"/>
        <s v="06.020.0008" u="1"/>
        <s v="SH-22169-12120" u="1"/>
        <s v="01.013.0094" u="1"/>
        <s v="01.019.0064" u="1"/>
        <s v="06.169.0041" u="1"/>
        <s v="MMB45" u="1"/>
        <s v="10.025.0002" u="1"/>
        <s v="01.013.0095" u="1"/>
        <s v="01.019.0065" u="1"/>
        <s v="06.169.0042" u="1"/>
        <s v="10.025.0003" u="1"/>
        <s v="01.013.0096" u="1"/>
        <s v="01.019.0066" u="1"/>
        <s v="EC-C535000520" u="1"/>
        <s v="H710C1009" u="1"/>
        <s v="06.120.0003" u="1"/>
        <s v="JF-019" u="1"/>
        <s v="H710C1109" u="1"/>
        <s v="10.025.0004" u="1"/>
        <s v="01.013.0097" u="1"/>
        <s v="01.019.0067" u="1"/>
        <s v="H710C1209" u="1"/>
        <s v="06.120.0004" u="1"/>
        <s v="H710C1309" u="1"/>
        <s v="01.013.0098" u="1"/>
        <s v="01.019.0068" u="1"/>
        <s v="06.169.0045" u="1"/>
        <s v="EC-X411001150" u="1"/>
        <s v="H710C2021" u="1"/>
        <s v="H710C1409" u="1"/>
        <s v="H710C2121" u="1"/>
        <s v="H710C1509" u="1"/>
        <s v="01.013.0099" u="1"/>
        <s v="06.169.0046" u="1"/>
        <s v="H710C1609" u="1"/>
        <s v="SH-4529110" u="1"/>
        <s v="H710C1709" u="1"/>
        <s v="H710C2049" u="1"/>
        <s v="06.169.0047" u="1"/>
        <s v="H710C1809" u="1"/>
        <s v="06.032.0010" u="1"/>
        <s v="SH-22169-21520" u="1"/>
        <s v="H710C1909" u="1"/>
        <s v="EC-13030252131" u="1"/>
        <s v="06.169.0048" u="1"/>
        <s v="06.032.0011" u="1"/>
        <s v="06.034.0001" u="1"/>
        <s v="06.169.0049" u="1"/>
        <s v="06.032.0012" u="1"/>
        <s v="06.034.0002" u="1"/>
        <s v="06.032.0013" u="1"/>
        <s v="SH-4579070" u="1"/>
        <s v="EC-A409000650" u="1"/>
        <s v="06.032.0014" u="1"/>
        <s v="EC-A427000090" u="1"/>
        <s v="CR-241" u="1"/>
        <s v="04.003.0060" u="1"/>
        <s v="04.005.0050" u="1"/>
        <s v="06.008.0030" u="1"/>
        <s v="06.032.0015" u="1"/>
        <s v="06.034.0005" u="1"/>
        <s v="EC-V592000290" u="1"/>
        <s v="04.003.0061" u="1"/>
        <s v="04.005.0051" u="1"/>
        <s v="06.008.0031" u="1"/>
        <s v="06.032.0016" u="1"/>
        <s v="06.034.0006" u="1"/>
        <s v="SH-62074-12120" u="1"/>
        <s v="SH-8003009" u="1"/>
        <s v="04.003.0062" u="1"/>
        <s v="04.005.0052" u="1"/>
        <s v="06.008.0032" u="1"/>
        <s v="06.032.0017" u="1"/>
        <s v="06.034.0007" u="1"/>
        <s v="EC-17500555930" u="1"/>
        <s v="EC-A037000000" u="1"/>
        <s v="EC-9922956830" u="1"/>
        <s v="04.003.0063" u="1"/>
        <s v="04.005.0053" u="1"/>
        <s v="06.032.0018" u="1"/>
        <s v="06.034.0008" u="1"/>
        <s v="SH-20055-81120" u="1"/>
        <s v="04.003.0064" u="1"/>
        <s v="04.005.0054" u="1"/>
        <s v="06.032.0019" u="1"/>
        <s v="06.034.0009" u="1"/>
        <s v="SH-62035-41110" u="1"/>
        <s v="04.003.0065" u="1"/>
        <s v="04.005.0055" u="1"/>
        <s v="04.005.0056" u="1"/>
        <s v="04.003.0067" u="1"/>
        <s v="H710C1019" u="1"/>
        <s v="H710C1119" u="1"/>
        <s v="04.003.0068" u="1"/>
        <s v="04.005.0058" u="1"/>
        <s v="H710C1219" u="1"/>
        <s v="EC-A050000240" u="1"/>
        <s v="EC-WP-1000" u="1"/>
        <s v="H710C1319" u="1"/>
        <s v="H710C2031" u="1"/>
        <s v="04.003.0069" u="1"/>
        <s v="04.005.0059" u="1"/>
        <s v="H710C1419" u="1"/>
        <s v="H274D100" u="1"/>
        <s v="SH-22169-41210" u="1"/>
        <s v="H710C1519" u="1"/>
        <s v="H710C1619" u="1"/>
        <s v="06.042.0030" u="1"/>
        <s v="06.046.0010" u="1"/>
        <s v="01.020.0010" u="1"/>
        <s v="H710C1719" u="1"/>
        <s v="H710C2059" u="1"/>
        <s v="H710C1819" u="1"/>
        <s v="06.042.0031" u="1"/>
        <s v="06.048.0001" u="1"/>
        <s v="01.020.0011" u="1"/>
        <s v="01.022.0001" u="1"/>
        <s v="03.021.0001" u="1"/>
        <s v="H710C1919" u="1"/>
        <s v="SH-20000-96411" u="1"/>
        <s v="06.048.0002" u="1"/>
        <s v="01.020.0012" u="1"/>
        <s v="03.021.0002" u="1"/>
        <s v="OT-B83 " u="1"/>
        <s v="06.042.0033" u="1"/>
        <s v="01.020.0013" u="1"/>
        <s v="03.021.0003" u="1"/>
        <s v="06.042.0034" u="1"/>
        <s v="06.048.0004" u="1"/>
        <s v="01.020.0014" u="1"/>
        <s v="03.021.0004" u="1"/>
        <s v="06.042.0035" u="1"/>
        <s v="SH-20000-75160" u="1"/>
        <s v="01.020.0015" u="1"/>
        <s v="03.021.0005" u="1"/>
        <s v="EC-A056000640" u="1"/>
        <s v="SH-22015-13220" u="1"/>
        <s v="SH-62035-12120" u="1"/>
        <s v="06.042.0036" u="1"/>
        <s v="06.048.0006" u="1"/>
        <s v="01.020.0016" u="1"/>
        <s v="03.021.0006" u="1"/>
        <s v="SH-22035-13220" u="1"/>
        <s v="SH-70210-81451" u="1"/>
        <s v="06.042.0037" u="1"/>
        <s v="06.048.0007" u="1"/>
        <s v="01.020.0017" u="1"/>
        <s v="03.021.0007" u="1"/>
        <s v="EC-10091532530" u="1"/>
        <s v="EC-A556000870" u="1"/>
        <s v="06.048.0008" u="1"/>
        <s v="01.020.0018" u="1"/>
        <s v="EC-A175000200" u="1"/>
        <s v="EC-C536000030" u="1"/>
        <s v="SH-3014111" u="1"/>
        <s v="06.042.0039" u="1"/>
        <s v="06.048.0009" u="1"/>
        <s v="06.148.0001" u="1"/>
        <s v="01.020.0019" u="1"/>
        <s v="06.148.0002" u="1"/>
        <s v="06.148.0003" u="1"/>
        <s v="H710C1001" u="1"/>
        <s v="06.080.0011" u="1"/>
        <s v="SH-64007-64320" u="1"/>
        <s v="H710C1101" u="1"/>
        <s v="SH-64000-66311" u="1"/>
        <s v="H710C1201" u="1"/>
        <s v="06.080.0012" u="1"/>
        <s v="06.082.0002" u="1"/>
        <s v="H710C1301" u="1"/>
        <s v="EC-C535000530" u="1"/>
        <s v="H710C1029" u="1"/>
        <s v="H710C1401" u="1"/>
        <s v="06.080.0013" u="1"/>
        <s v="06.082.0003" u="1"/>
        <s v="SH-80550" u="1"/>
        <s v="H710C1129" u="1"/>
        <s v="H710C1501" u="1"/>
        <s v="EC-C535000630" u="1"/>
        <s v="H710C1229" u="1"/>
        <s v="H710C1601" u="1"/>
        <s v="06.080.0014" u="1"/>
        <s v="06.082.0004" u="1"/>
        <s v="H710C1329" u="1"/>
        <s v="SH-72030-13151" u="1"/>
        <s v="H710C1701" u="1"/>
        <s v="H710C2041" u="1"/>
        <s v="H710C1429" u="1"/>
        <s v="H710C1801" u="1"/>
        <s v="06.080.0015" u="1"/>
        <s v="06.082.0005" u="1"/>
        <s v="H710C1529" u="1"/>
        <s v="H710C1901" u="1"/>
        <s v="H710C1629" u="1"/>
        <s v="06.080.0016" u="1"/>
        <s v="06.082.0006" u="1"/>
        <s v="H710C1729" u="1"/>
        <s v="H710C2069" u="1"/>
        <s v="H710C1829" u="1"/>
        <s v="06.080.0017" u="1"/>
        <s v="06.082.0007" u="1"/>
        <s v="H710C1929" u="1"/>
        <s v="EC-13031306230" u="1"/>
        <s v="06.080.0018" u="1"/>
        <s v="06.180.0010" u="1"/>
        <s v="OT-55" u="1"/>
        <s v="SH-10504" u="1"/>
        <s v="06.080.0019" u="1"/>
        <s v="06.180.0011" u="1"/>
        <s v="06.182.0001" u="1"/>
        <s v="EC-P021035490" u="1"/>
        <s v="05.002.0060" u="1"/>
        <s v="EC-15680142230" u="1"/>
        <s v="06.180.0012" u="1"/>
        <s v="IMP-271" u="1"/>
        <s v="05.002.0061" u="1"/>
        <s v="06.180.0013" u="1"/>
        <s v="EC-A411000780" u="1"/>
        <s v="05.002.0062" u="1"/>
        <s v="EC-A033000010" u="1"/>
        <s v="EC-A411000880" u="1"/>
        <s v="JF-267" u="1"/>
        <s v="03.005.0053" u="1"/>
        <s v="05.002.0063" u="1"/>
        <s v="06.180.0015" u="1"/>
        <s v="03.005.0054" u="1"/>
        <s v="05.002.0064" u="1"/>
        <s v="06.180.0016" u="1"/>
        <s v="05.002.0065" u="1"/>
        <s v="06.094.0010" u="1"/>
        <s v="SH-20021-81560" u="1"/>
        <s v="03.005.0056" u="1"/>
        <s v="05.002.0066" u="1"/>
        <s v="06.094.0011" u="1"/>
        <s v="06.180.0018" u="1"/>
        <s v="SH-62035-41210" u="1"/>
        <s v="JF-004" u="1"/>
        <s v="EC-A030000610" u="1"/>
        <s v="05.002.0067" u="1"/>
        <s v="H710C1011" u="1"/>
        <s v="06.180.0019" u="1"/>
        <s v="H710C1111" u="1"/>
        <s v="EC-C050001880" u="1"/>
        <s v="05.002.0068" u="1"/>
        <s v="H710C1211" u="1"/>
        <s v="06.094.0013" u="1"/>
        <s v="H710C1311" u="1"/>
        <s v="SH-64007-67011" u="1"/>
        <s v="EC-12311605160" u="1"/>
        <s v="H710C1039" u="1"/>
        <s v="05.002.0069" u="1"/>
        <s v="H710C1411" u="1"/>
        <s v="SH-80551" u="1"/>
        <s v="H710C1139" u="1"/>
        <s v="H710C1511" u="1"/>
        <s v="H710C1239" u="1"/>
        <s v="H710C1611" u="1"/>
        <s v="01.048.0010" u="1"/>
        <s v="06.094.0015" u="1"/>
        <s v="H710C1339" u="1"/>
        <s v="H710C1711" u="1"/>
        <s v="H710C2051" u="1"/>
        <s v="H710C1439" u="1"/>
        <s v="10000000892" u="1"/>
        <s v="H710C1811" u="1"/>
        <s v="06.094.0016" u="1"/>
        <s v="EC-A056000050" u="1"/>
        <s v="H710C1539" u="1"/>
        <s v="H710C1911" u="1"/>
        <s v="H710C1639" u="1"/>
        <s v="10000000893" u="1"/>
        <s v="SH-20020-51121" u="1"/>
        <s v="SH-70131-75120" u="1"/>
        <s v="H710C1739" u="1"/>
        <s v="H710C2079" u="1"/>
        <s v="H710C1839" u="1"/>
        <s v="06.094.0018" u="1"/>
        <s v="H710C1939" u="1"/>
        <s v="06.196.0001" u="1"/>
        <s v="H231D000" u="1"/>
        <s v="01.018.0060" u="1"/>
        <s v="EC-A056000450" u="1"/>
        <s v="SH-22410-13210" u="1"/>
        <s v="EC-A556000480" u="1"/>
        <s v="01.018.0061" u="1"/>
        <s v="EC-10020456232" u="1"/>
        <s v="SH-9701201" u="1"/>
        <s v="SH-20020-75120" u="1"/>
        <s v="SH-20870-33120" u="1"/>
        <s v="01.018.0062" u="1"/>
        <s v="06.196.0004" u="1"/>
        <s v="SH-62035-12220" u="1"/>
        <s v="EC-A021002570" u="1"/>
        <s v="01.018.0063" u="1"/>
        <s v="01.018.0064" u="1"/>
        <s v="SH-22024-13291" u="1"/>
        <s v="01.018.0065" u="1"/>
        <s v="EC-A175000210" u="1"/>
        <s v="01.018.0066" u="1"/>
        <s v="JF-018" u="1"/>
        <s v="CR-140" u="1"/>
        <s v="01.018.0067" u="1"/>
        <s v="SH-63019-63010" u="1"/>
        <s v="SH-20035-21100" u="1"/>
        <s v="H232D000" u="1"/>
        <s v="01.018.0068" u="1"/>
        <s v="SH-22100-81230" u="1"/>
        <s v="H710C1021" u="1"/>
        <s v="H710C1121" u="1"/>
        <s v="EC-EDR-210" u="1"/>
        <s v="01.018.0069" u="1"/>
        <s v="H710C1221" u="1"/>
        <s v="OT-A48" u="1"/>
        <s v="H710C1321" u="1"/>
        <s v="H710C1049" u="1"/>
        <s v="EC-P021000371" u="1"/>
        <s v="H710C1421" u="1"/>
        <s v="H710C1149" u="1"/>
        <s v="H710C1521" u="1"/>
        <s v="H710C1249" u="1"/>
        <s v="H710C1621" u="1"/>
        <s v="06.033.0001" u="1"/>
        <s v="H710C1349" u="1"/>
        <s v="H710C1721" u="1"/>
        <s v="EC-A510000110" u="1"/>
        <s v="H710C2061" u="1"/>
        <s v="H710C1449" u="1"/>
        <s v="H710C1821" u="1"/>
        <s v="06.033.0002" u="1"/>
        <s v="H710C1549" u="1"/>
        <s v="H710C1921" u="1"/>
        <s v="EC-15262655430" u="1"/>
        <s v="H710C1649" u="1"/>
        <s v="06.033.0003" u="1"/>
        <s v="H710C1749" u="1"/>
        <s v="H710C2089" u="1"/>
        <s v="CR-054" u="1"/>
        <s v="H710C1849" u="1"/>
        <s v="06.033.0004" u="1"/>
        <s v="H710C1949" u="1"/>
        <s v="EC-A518000010" u="1"/>
        <s v="CR-240" u="1"/>
        <s v="SH-80676" u="1"/>
        <s v="04.008.0030" u="1"/>
        <s v="06.009.0020" u="1"/>
        <s v="06.033.0005" u="1"/>
        <s v="EC-C044000830" u="1"/>
        <s v="H233D000" u="1"/>
        <s v="04.008.0031" u="1"/>
        <s v="06.033.0006" u="1"/>
        <s v="04.008.0032" u="1"/>
        <s v="06.009.0022" u="1"/>
        <s v="06.033.0007" u="1"/>
        <s v="OT-B48  " u="1"/>
        <s v="EC-70615050520" u="1"/>
        <s v="04.008.0033" u="1"/>
        <s v="06.009.0023" u="1"/>
        <s v="EC-A030000120" u="1"/>
        <s v="04.008.0034" u="1"/>
        <s v="06.009.0024" u="1"/>
        <s v="06.033.0009" u="1"/>
        <s v="06.133.0001" u="1"/>
        <s v="SH-70140-81760" u="1"/>
        <s v="85XX0050N35-00" u="1"/>
        <s v="04.008.0035" u="1"/>
        <s v="06.009.0025" u="1"/>
        <s v="06.133.0002" u="1"/>
        <s v="SH-72330-33710" u="1"/>
        <s v="06.009.0026" u="1"/>
        <s v="06.133.0003" u="1"/>
        <s v="EC-13000739932" u="1"/>
        <s v="EC-10000039130" u="1"/>
        <s v="EC-CS 8002EUSTD" u="1"/>
        <s v="04.008.0037" u="1"/>
        <s v="06.009.0027" u="1"/>
        <s v="EC-A039000020" u="1"/>
        <s v="06.133.0004" u="1"/>
        <s v="SH-20016-21100" u="1"/>
        <s v="04.008.0038" u="1"/>
        <s v="06.009.0028" u="1"/>
        <s v="06.133.0005" u="1"/>
        <s v="H710C1031" u="1"/>
        <s v="04.008.0039" u="1"/>
        <s v="06.009.0029" u="1"/>
        <s v="06.133.0006" u="1"/>
        <s v="EC-12436721330" u="1"/>
        <s v="H274D000" u="1"/>
        <s v="H710C1131" u="1"/>
        <s v="SH-72451-14502" u="1"/>
        <s v="H710C1231" u="1"/>
        <s v="06.133.0007" u="1"/>
        <s v="H710C1331" u="1"/>
        <s v="H710C1059" u="1"/>
        <s v="H710C1431" u="1"/>
        <s v="06.045.0011" u="1"/>
        <s v="06.047.0001" u="1"/>
        <s v="06.133.0008" u="1"/>
        <s v="H710C1159" u="1"/>
        <s v="H710C1531" u="1"/>
        <s v="EC-A045000340" u="1"/>
        <s v="H710C1259" u="1"/>
        <s v="H710C1631" u="1"/>
        <s v="EC-17501842230" u="1"/>
        <s v="06.047.0002" u="1"/>
        <s v="06.133.0009" u="1"/>
        <s v="SHDW-010" u="1"/>
        <s v="01.021.0002" u="1"/>
        <s v="H710C1359" u="1"/>
        <s v="H710C1731" u="1"/>
        <s v="H710C2071" u="1"/>
        <s v="H710C1459" u="1"/>
        <s v="H710C1831" u="1"/>
        <s v="06.047.0003" u="1"/>
        <s v="H710C1559" u="1"/>
        <s v="H710C1931" u="1"/>
        <s v="H710C1659" u="1"/>
        <s v="06.047.0004" u="1"/>
        <s v="SHDW-050" u="1"/>
        <s v="03.020.0004" u="1"/>
        <s v="H710C1759" u="1"/>
        <s v="H710C2099" u="1"/>
        <s v="H710C1859" u="1"/>
        <s v="SH-4527890" u="1"/>
        <s v="03.020.0005" u="1"/>
        <s v="H710C1959" u="1"/>
        <s v="SH-22150-21250" u="1"/>
        <s v="SH-80677" u="1"/>
        <s v="06.047.0006" u="1"/>
        <s v="03.020.0006" u="1"/>
        <s v="SH-20000-75220" u="1"/>
        <s v="06.047.0007" u="1"/>
        <s v="03.020.0007" u="1"/>
        <s v="EC-10014212330" u="1"/>
        <s v="SH-9701401" u="1"/>
        <s v="06.047.0008" u="1"/>
        <s v="06.143.0020" u="1"/>
        <s v="03.020.0008" u="1"/>
        <s v="06.047.0009" u="1"/>
        <s v="06.147.0001" u="1"/>
        <s v="SH-22015-13420" u="1"/>
        <s v="03.020.0009" u="1"/>
        <s v="06.147.0002" u="1"/>
        <s v="06.081.0001" u="1"/>
        <s v="EC-A556000890" u="1"/>
        <s v="SH-70244-98050" u="1"/>
        <s v="OT-107" u="1"/>
        <s v="EC-V555000140" u="1"/>
        <s v="06.081.0002" u="1"/>
        <s v="SH-20010-81760" u="1"/>
        <s v="06.081.0004" u="1"/>
        <s v="CR-EC4000" u="1"/>
        <s v="H710C1041" u="1"/>
        <s v="01.033.0010" u="1"/>
        <s v="06.081.0005" u="1"/>
        <s v="SH-20060-81760" u="1"/>
        <s v="H710C1141" u="1"/>
        <s v="H710C1241" u="1"/>
        <s v="01.033.0011" u="1"/>
        <s v="01.035.0001" u="1"/>
        <s v="06.081.0006" u="1"/>
        <s v="H710C1341" u="1"/>
        <s v="H710C1069" u="1"/>
        <s v="H710C1441" u="1"/>
        <s v="CR-EC4500" u="1"/>
        <s v="01.033.0012" u="1"/>
        <s v="06.081.0007" u="1"/>
        <s v="H710C1169" u="1"/>
        <s v="H710C1541" u="1"/>
        <s v="SHDW-001" u="1"/>
        <s v="H710C1269" u="1"/>
        <s v="H710C1641" u="1"/>
        <s v="SHDW-011" u="1"/>
        <s v="01.033.0013" u="1"/>
        <s v="06.081.0008" u="1"/>
        <s v="H710C1369" u="1"/>
        <s v="H710C1741" u="1"/>
        <s v="H710C2081" u="1"/>
        <s v="H710C1469" u="1"/>
        <s v="H710C1841" u="1"/>
        <s v="IB-003" u="1"/>
        <s v="EC-X411000940" u="1"/>
        <s v="92843" u="1"/>
        <s v="01.033.0014" u="1"/>
        <s v="06.081.0009" u="1"/>
        <s v="06.181.0001" u="1"/>
        <s v="H710C1569" u="1"/>
        <s v="H710C1941" u="1"/>
        <s v="EC-C535000850" u="1"/>
        <s v="SH-72540-12410" u="1"/>
        <s v="H710C1669" u="1"/>
        <s v="03.002.0060" u="1"/>
        <s v="03.008.0030" u="1"/>
        <s v="SHDW-051" u="1"/>
        <s v="06.181.0002" u="1"/>
        <s v="H710C1769" u="1"/>
        <s v="H710C1869" u="1"/>
        <s v="03.002.0061" u="1"/>
        <s v="03.008.0031" u="1"/>
        <s v="06.181.0003" u="1"/>
        <s v="H710C1969" u="1"/>
        <s v="MOT-052" u="1"/>
        <s v="03.002.0062" u="1"/>
        <s v="03.008.0032" u="1"/>
        <s v="01.033.0017" u="1"/>
        <s v="06.181.0004" u="1"/>
        <s v="SH-12900-62020" u="1"/>
        <s v="MOT-053" u="1"/>
        <s v="JF-266" u="1"/>
        <s v="03.002.0063" u="1"/>
        <s v="03.008.0033" u="1"/>
        <s v="01.033.0018" u="1"/>
        <s v="06.181.0005" u="1"/>
        <s v="03.008.0034" u="1"/>
        <s v="01.033.0019" u="1"/>
        <s v="06.181.0006" u="1"/>
        <s v="SH-62035-33010" u="1"/>
        <s v="03.008.0035" u="1"/>
        <s v="06.181.0007" u="1"/>
        <s v="SH-22015-13251" u="1"/>
        <s v="03.008.0036" u="1"/>
        <s v="SH-22160-51200" u="1"/>
        <s v="06.095.0001" u="1"/>
        <s v="06.181.0008" u="1"/>
        <s v="JF-003" u="1"/>
        <s v="03.008.0037" u="1"/>
        <s v="06.095.0002" u="1"/>
        <s v="06.181.0009" u="1"/>
        <s v="SH-22169-31110" u="1"/>
        <s v="EC-A033000230" u="1"/>
        <s v="03.008.0038" u="1"/>
        <s v="SH-22035-13391" u="1"/>
        <s v="SH-22169-12111" u="1"/>
        <s v="SH-22169-32110" u="1"/>
        <s v="03.008.0039" u="1"/>
        <s v="06.095.0004" u="1"/>
        <s v="SH-20016-21200" u="1"/>
        <s v="SH-22160-55200" u="1"/>
        <s v="MMB60" u="1"/>
        <s v="06.095.0005" u="1"/>
        <s v="H710C1051" u="1"/>
        <s v="H710C1151" u="1"/>
        <s v="EC-SHP 800-2" u="1"/>
        <s v="SH-22169-15111" u="1"/>
        <s v="H710C1251" u="1"/>
        <s v="H710C1351" u="1"/>
        <s v="EC-A038000430" u="1"/>
        <s v="EC-A051000070" u="1"/>
        <s v="H710C1079" u="1"/>
        <s v="H710C1451" u="1"/>
        <s v="H710C1179" u="1"/>
        <s v="H710C1551" u="1"/>
        <s v="EC-A051000170" u="1"/>
        <s v="H710C1279" u="1"/>
        <s v="H710C1651" u="1"/>
        <s v="SHDW-012" u="1"/>
        <s v="06.195.0001" u="1"/>
        <s v="SH-72933-75120" u="1"/>
        <s v="H710C1379" u="1"/>
        <s v="H710C1751" u="1"/>
        <s v="SHDW-022" u="1"/>
        <s v="H710C2091" u="1"/>
        <s v="H710C1479" u="1"/>
        <s v="EC-C506000200" u="1"/>
        <s v="H710C1851" u="1"/>
        <s v="EC-CS 3500" u="1"/>
        <s v="01.013.0080" u="1"/>
        <s v="01.019.0050" u="1"/>
        <s v="06.195.0002" u="1"/>
        <s v="H710C1579" u="1"/>
        <s v="H710C1951" u="1"/>
        <s v="EC-12300057731" u="1"/>
        <s v="H710C1679" u="1"/>
        <s v="EC-P021032700" u="1"/>
        <s v="EC-A052000370" u="1"/>
        <s v="01.013.0081" u="1"/>
        <s v="01.019.0051" u="1"/>
        <s v="06.195.0003" u="1"/>
        <s v="H710C1779" u="1"/>
        <s v="EC-C020000010" u="1"/>
        <s v="H710C1879" u="1"/>
        <s v="EC-C504000500" u="1"/>
        <s v="01.013.0082" u="1"/>
        <s v="01.019.0052" u="1"/>
        <s v="EC-A021002190" u="1"/>
        <s v="H710C1979" u="1"/>
        <s v="01.013.0083" u="1"/>
        <s v="01.019.0053" u="1"/>
        <s v="06.169.0030" u="1"/>
        <s v="EC-17720360930" u="1"/>
        <s v="C300B200" u="1"/>
        <s v="EC-E164000100" u="1"/>
        <s v="EC-C504000700" u="1"/>
        <s v="CR-019" u="1"/>
        <s v="01.013.0084" u="1"/>
        <s v="01.019.0054" u="1"/>
        <s v="06.169.0031" u="1"/>
        <s v="SH-20024-75120" u="1"/>
        <s v="01.013.0085" u="1"/>
        <s v="06.169.0032" u="1"/>
        <s v="SH-18500-90003" u="1"/>
        <s v="SH-22050-12411" u="1"/>
        <s v="01.013.0086" u="1"/>
        <s v="01.019.0056" u="1"/>
        <s v="SH-70234-98010" u="1"/>
        <s v="JF-017" u="1"/>
        <s v="SH-62104-32310" u="1"/>
        <s v="01.013.0087" u="1"/>
        <s v="01.019.0057" u="1"/>
        <s v="EC-A021002690" u="1"/>
        <s v="01.013.0088" u="1"/>
        <s v="01.019.0058" u="1"/>
        <s v="SH-20011-81451" u="1"/>
        <s v="01.013.0089" u="1"/>
        <s v="01.019.0059" u="1"/>
        <s v="SH-20010-41330" u="1"/>
        <s v="06.032.0001" u="1"/>
        <s v="CR-119" u="1"/>
        <s v="H710C1061" u="1"/>
        <s v="06.169.0039" u="1"/>
        <s v="06.032.0002" u="1"/>
        <s v="H710C1161" u="1"/>
        <s v="H710C1261" u="1"/>
        <s v="06.032.0003" u="1"/>
        <s v="H710C1361" u="1"/>
        <s v="H710C1089" u="1"/>
        <s v="H710C1461" u="1"/>
        <s v="EC-A160001650" u="1"/>
        <s v="H710C1189" u="1"/>
        <s v="06.032.0004" u="1"/>
        <s v="H710C1561" u="1"/>
        <s v="SH-22169-21202" u="1"/>
        <s v="H710C1289" u="1"/>
        <s v="H710C1661" u="1"/>
        <s v="EC-A172001270" u="1"/>
        <s v="01.025.0090" u="1"/>
        <s v="SHDW-013" u="1"/>
        <s v="04.003.0050" u="1"/>
        <s v="04.005.0040" u="1"/>
        <s v="04.009.0020" u="1"/>
        <s v="06.004.0040" u="1"/>
        <s v="H710C1389" u="1"/>
        <s v="06.032.0005" u="1"/>
        <s v="H710C1761" u="1"/>
        <s v="SH-72551-12101" u="1"/>
        <s v="H710C1489" u="1"/>
        <s v="H710C1861" u="1"/>
        <s v="01.025.0091" u="1"/>
        <s v="EC-X411000950" u="1"/>
        <s v="04.003.0051" u="1"/>
        <s v="04.005.0041" u="1"/>
        <s v="04.009.0021" u="1"/>
        <s v="06.008.0021" u="1"/>
        <s v="H710C1589" u="1"/>
        <s v="H710C2004" u="1"/>
        <s v="06.032.0006" u="1"/>
        <s v="H710C1961" u="1"/>
        <s v="EC-C057000070" u="1"/>
        <s v="SHDW-043" u="1"/>
        <s v="H710C1689" u="1"/>
        <s v="H710C2104" u="1"/>
        <s v="01.025.0092" u="1"/>
        <s v="04.005.0042" u="1"/>
        <s v="04.009.0022" u="1"/>
        <s v="06.008.0022" u="1"/>
        <s v="68230" u="1"/>
        <s v="H710C1789" u="1"/>
        <s v="06.032.0007" u="1"/>
        <s v="EC-A514000130" u="1"/>
        <s v="H710C1889" u="1"/>
        <s v="01.025.0093" u="1"/>
        <s v="04.009.0023" u="1"/>
        <s v="06.008.0023" u="1"/>
        <s v="H710C1989" u="1"/>
        <s v="06.032.0008" u="1"/>
        <s v="01.025.0094" u="1"/>
        <s v="MMB90" u="1"/>
        <s v="04.005.0044" u="1"/>
        <s v="04.009.0024" u="1"/>
        <s v="06.008.0024" u="1"/>
        <s v="06.032.0009" u="1"/>
        <s v="SH-62035-31110" u="1"/>
        <s v="EC-17722040630" u="1"/>
        <s v="01.025.0095" u="1"/>
        <s v="04.003.0055" u="1"/>
        <s v="04.005.0045" u="1"/>
        <s v="06.008.0025" u="1"/>
        <s v="EC-A021000220" u="1"/>
        <s v="SH-62035-12111" u="1"/>
        <s v="01.025.0096" u="1"/>
        <s v="04.003.0056" u="1"/>
        <s v="04.005.0046" u="1"/>
        <s v="06.008.0026" u="1"/>
        <s v="06.132.0003" u="1"/>
        <s v="EC-17500549930" u="1"/>
        <s v="SH-62035-33110" u="1"/>
        <s v="01.025.0097" u="1"/>
        <s v="04.003.0057" u="1"/>
        <s v="04.005.0047" u="1"/>
        <s v="06.008.0027" u="1"/>
        <s v="06.132.0004" u="1"/>
        <s v="01.025.0098" u="1"/>
        <s v="04.005.0048" u="1"/>
        <s v="06.008.0028" u="1"/>
        <s v="06.106.0030" u="1"/>
        <s v="EC-A030000240" u="1"/>
        <s v="EC-10103456532" u="1"/>
        <s v="01.025.0099" u="1"/>
        <s v="V401000430 AMORTIGUADOR 577-757" u="1"/>
        <s v="04.003.0059" u="1"/>
        <s v="04.005.0049" u="1"/>
        <s v="06.008.0029" u="1"/>
        <s v="06.106.0031" u="1"/>
        <s v="SH-80423" u="1"/>
        <s v="06.106.0032" u="1"/>
        <s v="06.042.0020" u="1"/>
        <s v="SH-22150-52440" u="1"/>
        <s v="EC-P021001820" u="1"/>
        <s v="06.042.0021" u="1"/>
        <s v="06.046.0001" u="1"/>
        <s v="01.020.0001" u="1"/>
        <s v="SH-20021-41330" u="1"/>
        <s v="06.042.0022" u="1"/>
        <s v="06.046.0002" u="1"/>
        <s v="01.020.0002" u="1"/>
        <s v="H710C1071" u="1"/>
        <s v="06.042.0023" u="1"/>
        <s v="06.046.0003" u="1"/>
        <s v="H710C1171" u="1"/>
        <s v="SH-4042941" u="1"/>
        <s v="01.020.0003" u="1"/>
        <s v="H710C1271" u="1"/>
        <s v="CR-067" u="1"/>
        <s v="06.042.0024" u="1"/>
        <s v="06.046.0004" u="1"/>
        <s v="H710C1371" u="1"/>
        <s v="H710C1099" u="1"/>
        <s v="H710C1471" u="1"/>
        <s v="H710C1199" u="1"/>
        <s v="06.042.0025" u="1"/>
        <s v="06.046.0005" u="1"/>
        <s v="H710C1571" u="1"/>
        <s v="SHDW-004" u="1"/>
        <s v="H710C1299" u="1"/>
        <s v="H710C1671" u="1"/>
        <s v="SHDW-014" u="1"/>
        <s v="H710C1399" u="1"/>
        <s v="06.042.0026" u="1"/>
        <s v="06.046.0006" u="1"/>
        <s v="H710C1771" u="1"/>
        <s v="EC-12411405530" u="1"/>
        <s v="H710C1499" u="1"/>
        <s v="EC-P021032610" u="1"/>
        <s v="H710C1871" u="1"/>
        <s v="H710C1599" u="1"/>
        <s v="H710C2014" u="1"/>
        <s v="06.046.0007" u="1"/>
        <s v="H710C1971" u="1"/>
        <s v="SHDW-044" u="1"/>
        <s v="H710C1699" u="1"/>
        <s v="H710C2114" u="1"/>
        <s v="EC-A052000380" u="1"/>
        <s v="H710C1799" u="1"/>
        <s v="06.042.0028" u="1"/>
        <s v="06.046.0008" u="1"/>
        <s v="SH-99909-450" u="1"/>
        <s v="EC-12300038832" u="1"/>
        <s v="H710C1899" u="1"/>
        <s v="H710C1999" u="1"/>
        <s v="06.042.0029" u="1"/>
        <s v="06.046.0009" u="1"/>
        <s v="06.146.0001" u="1"/>
        <s v="EC-P021032910" u="1"/>
        <s v="EC-C022000120" u="1"/>
        <s v="06.080.0001" u="1"/>
        <s v="SH-20016-15123" u="1"/>
        <s v="SH-20024-75220" u="1"/>
        <s v="SH-62035-81013" u="1"/>
        <s v="06.080.0002" u="1"/>
        <s v="06.080.0003" u="1"/>
        <s v="06.080.0004" u="1"/>
        <s v="EC-P021017990" u="1"/>
        <s v="06.080.0005" u="1"/>
        <s v="SH-20021-83411" u="1"/>
        <s v="SH-80424" u="1"/>
        <s v="SH-62035-85013" u="1"/>
        <s v="06.080.0006" u="1"/>
        <s v="06.080.0007" u="1"/>
        <s v="OT-B95" u="1"/>
        <s v="SH-22175-54100" u="1"/>
        <s v="EC-61032052130" u="1"/>
        <s v="SH-63019-63310" u="1"/>
        <s v="SH-70014-74120" u="1"/>
        <s v="H710C1081" u="1"/>
        <s v="IB-002" u="1"/>
        <s v="H710C1181" u="1"/>
        <s v="06.180.0001" u="1"/>
        <s v="H710C1281" u="1"/>
        <s v="04.005.0180" u="1"/>
        <s v="03.009.0020" u="1"/>
        <s v="H710C1381" u="1"/>
        <s v="06.180.0002" u="1"/>
        <s v="EC-17722827030" u="1"/>
        <s v="IMP-251" u="1"/>
        <s v="H710C1481" u="1"/>
        <s v="04.005.0181" u="1"/>
        <s v="03.009.0021" u="1"/>
        <s v="H710C1581" u="1"/>
        <s v="SHDW-005" u="1"/>
        <s v="EC-A506000120" u="1"/>
        <s v="H710C1681" u="1"/>
        <s v="IMP-254" u="1"/>
        <s v="04.005.0182" u="1"/>
        <s v="03.009.0022" u="1"/>
        <s v="SH-20020-51112" u="1"/>
        <s v="H710C1781" u="1"/>
        <s v="JF-265" u="1"/>
        <s v="SHDW-025" u="1"/>
        <s v="H710C1881" u="1"/>
        <s v="EC-X411000960" u="1"/>
        <s v="04.005.0183" u="1"/>
        <s v="H710C2024" u="1"/>
        <s v="06.152.0040" u="1"/>
        <s v="H710C1981" u="1"/>
        <s v="SHDW-045" u="1"/>
        <s v="H710C2124" u="1"/>
        <s v="04.005.0184" u="1"/>
        <s v="06.152.0041" u="1"/>
        <s v="SH-22051-11903" u="1"/>
        <s v="SH-72920-81820" u="1"/>
        <s v="EC-A509000320" u="1"/>
        <s v="SH-22150-41280" u="1"/>
        <s v="06.094.0001" u="1"/>
        <s v="EC-C051000680" u="1"/>
        <s v="SH-70135-15100" u="1"/>
        <s v="JF-002" u="1"/>
        <s v="SH-8000142" u="1"/>
        <s v="06.094.0002" u="1"/>
        <s v="06.180.0009" u="1"/>
        <s v="EC-A023000230" u="1"/>
        <s v="H224F700" u="1"/>
        <s v="06.094.0003" u="1"/>
        <s v="SH-22169-71700" u="1"/>
        <s v="06.094.0004" u="1"/>
        <s v="EC-A011000810" u="1"/>
        <s v="SH-80405" u="1"/>
        <s v="01.048.0001" u="1"/>
        <s v="CR-104" u="1"/>
        <s v="01.048.0002" u="1"/>
        <s v="SH-20000-85511" u="1"/>
        <s v="01.048.0003" u="1"/>
        <s v="06.094.0008" u="1"/>
        <s v="01.048.0004" u="1"/>
        <s v="06.094.0009" u="1"/>
        <s v="H710C1091" u="1"/>
        <s v="01.018.0050" u="1"/>
        <s v="H710C1191" u="1"/>
        <s v="01.048.0005" u="1"/>
        <s v="06.194.0002" u="1"/>
        <s v="SH-22160-12150" u="1"/>
        <s v="H710C1291" u="1"/>
        <s v="01.018.0051" u="1"/>
        <s v="H710C1391" u="1"/>
        <s v="01.048.0006" u="1"/>
        <s v="06.194.0003" u="1"/>
        <s v="EC-70617038721" u="1"/>
        <s v="H710C1491" u="1"/>
        <s v="74XX3020N35" u="1"/>
        <s v="01.018.0052" u="1"/>
        <s v="H710C1591" u="1"/>
        <s v="01.048.0007" u="1"/>
        <s v="06.194.0004" u="1"/>
        <s v="JF-279" u="1"/>
        <s v="SHDW-006" u="1"/>
        <s v="H710C1691" u="1"/>
        <s v="SHDW-016" u="1"/>
        <s v="01.018.0053" u="1"/>
        <s v="H710C1791" u="1"/>
        <s v="01.048.0008" u="1"/>
        <s v="06.194.0005" u="1"/>
        <s v="SHDW-026" u="1"/>
        <s v="H710C1891" u="1"/>
        <s v="10.022.0001" u="1"/>
        <s v="CR-018" u="1"/>
        <s v="SHDW-036" u="1"/>
        <s v="H710C2034" u="1"/>
        <s v="01.018.0054" u="1"/>
        <s v="H710C1991" u="1"/>
        <s v="01.048.0009" u="1"/>
        <s v="06.194.0006" u="1"/>
        <s v="SHDW-046" u="1"/>
        <s v="10.022.0002" u="1"/>
        <s v="01.018.0055" u="1"/>
        <s v="SH-99909-451" u="1"/>
        <s v="10.022.0003" u="1"/>
        <s v="01.018.0056" u="1"/>
        <s v="JF-016" u="1"/>
        <s v="EC-C504000620" u="1"/>
        <s v="01.018.0057" u="1"/>
        <s v="01.018.0058" u="1"/>
        <s v="01.018.0059" u="1"/>
        <s v="SH-72550-82120" u="1"/>
        <s v="SH-22051-11920" u="1"/>
        <s v="SH-22155-51200" u="1"/>
        <s v="EC-70602049A20" u="1"/>
        <s v="EC-43021530833" u="1"/>
        <s v="06.031.0001" u="1"/>
        <s v="EC-A175000150" u="1"/>
        <s v="CR-118" u="1"/>
        <s v="EC-1772260110" u="1"/>
        <s v="06.031.0002" u="1"/>
        <s v="EC-43710038832" u="1"/>
        <s v="SH-22169-51140" u="1"/>
        <s v="06.031.0003" u="1"/>
        <s v="CR-052" u="1"/>
        <s v="04.006.0030" u="1"/>
        <s v="04.008.0020" u="1"/>
        <s v="06.009.0010" u="1"/>
        <s v="06.031.0005" u="1"/>
        <s v="04.006.0031" u="1"/>
        <s v="04.008.0021" u="1"/>
        <s v="06.009.0011" u="1"/>
        <s v="H710C1004" u="1"/>
        <s v="EC-13001743130" u="1"/>
        <s v="H710C1104" u="1"/>
        <s v="04.006.0032" u="1"/>
        <s v="04.008.0022" u="1"/>
        <s v="06.009.0012" u="1"/>
        <s v="H710C1204" u="1"/>
        <s v="EC-A504000130" u="1"/>
        <s v="H710C1304" u="1"/>
        <s v="EC-C534000680" u="1"/>
        <s v="04.006.0033" u="1"/>
        <s v="04.008.0023" u="1"/>
        <s v="06.009.0013" u="1"/>
        <s v="H710C1404" u="1"/>
        <s v="06.031.0008" u="1"/>
        <s v="H710C1504" u="1"/>
        <s v="04.006.0034" u="1"/>
        <s v="04.008.0024" u="1"/>
        <s v="06.009.0014" u="1"/>
        <s v="EC-A011000120" u="1"/>
        <s v="H710C1604" u="1"/>
        <s v="06.131.0001" u="1"/>
        <s v="EC-A506000230" u="1"/>
        <s v="H710C1704" u="1"/>
        <s v="SHDW-037" u="1"/>
        <s v="H710C2044" u="1"/>
        <s v="04.006.0035" u="1"/>
        <s v="04.008.0025" u="1"/>
        <s v="H710C1804" u="1"/>
        <s v="06.131.0002" u="1"/>
        <s v="SHDW-047" u="1"/>
        <s v="H710C1904" u="1"/>
        <s v="04.006.0036" u="1"/>
        <s v="04.008.0026" u="1"/>
        <s v="06.009.0016" u="1"/>
        <s v="SH-22160-41240" u="1"/>
        <s v="06.131.0003" u="1"/>
        <s v="04.006.0037" u="1"/>
        <s v="06.009.0017" u="1"/>
        <s v="06.131.0004" u="1"/>
        <s v="CR-DPF" u="1"/>
        <s v="EC-A520000170" u="1"/>
        <s v="04.008.0028" u="1"/>
        <s v="06.009.0018" u="1"/>
        <s v="SH-62035-31310" u="1"/>
        <s v="06.131.0005" u="1"/>
        <s v="04.008.0029" u="1"/>
        <s v="06.009.0019" u="1"/>
        <s v="SH-62035-32310" u="1"/>
        <s v="06.131.0006" u="1"/>
        <s v="06.131.0007" u="1"/>
        <s v="EC-70613005230" u="1"/>
        <s v="06.045.0001" u="1"/>
        <s v="06.131.0008" u="1"/>
        <s v="SH-68501-12210" u="1"/>
        <s v="06.045.0002" u="1"/>
        <s v="EC-V513000000" u="1"/>
        <s v="SH-20021-81920" u="1"/>
        <s v="H224A800" u="1"/>
        <s v="06.045.0003" u="1"/>
        <s v="81PS4008" u="1"/>
        <s v="SH-70210-83110" u="1"/>
        <s v="CR-066" u="1"/>
        <s v="EC-P022002080" u="1"/>
        <s v="EC-10101161230" u="1"/>
        <s v="ZM-009" u="1"/>
        <s v="H710C1014" u="1"/>
        <s v="06.045.0007" u="1"/>
        <s v="H710C1114" u="1"/>
        <s v="H710C1214" u="1"/>
        <s v="06.141.0020" u="1"/>
        <s v="06.143.0010" u="1"/>
        <s v="H710C1314" u="1"/>
        <s v="74XX3022N35" u="1"/>
        <s v="H710C1414" u="1"/>
        <s v="06.141.0021" u="1"/>
        <s v="06.143.0011" u="1"/>
        <s v="SHDW-008" u="1"/>
        <s v="H710C1514" u="1"/>
        <s v="SHDW-018" u="1"/>
        <s v="H710C1614" u="1"/>
        <s v="SHDW-028" u="1"/>
        <s v="EC-A021001680" u="1"/>
        <s v="SH-70871-81100" u="1"/>
        <s v="SH-4050771" u="1"/>
        <s v="H710C1714" u="1"/>
        <s v="SHDW-038" u="1"/>
        <s v="H710C2054" u="1"/>
        <s v="H710C1814" u="1"/>
        <s v="06.143.0013" u="1"/>
        <s v="06.145.0003" u="1"/>
        <s v="SHDW-048" u="1"/>
        <s v="SHDW-048 " u="1"/>
        <s v="H710C1914" u="1"/>
        <s v="06.143.0014" u="1"/>
        <s v="06.145.0004" u="1"/>
        <s v="06.143.0015" u="1"/>
        <s v="06.145.0005" u="1"/>
        <s v="SH-80250" u="1"/>
        <s v="06.143.0016" u="1"/>
        <s v="06.145.0006" u="1"/>
        <s v="06.143.0017" u="1"/>
        <s v="01.013.0100" u="1"/>
        <s v="EC-A130001820" u="1"/>
        <s v="06.143.0018" u="1"/>
        <s v="01.013.0101" u="1"/>
        <s v="01.033.0001" u="1"/>
        <s v="SH-22035-13242" u="1"/>
        <s v="06.059.0002" u="1"/>
        <s v="06.143.0019" u="1"/>
        <s v="01.013.0102" u="1"/>
        <s v="01.033.0002" u="1"/>
        <s v="SH-22169-51100" u="1"/>
        <s v="01.013.0103" u="1"/>
        <s v="01.033.0003" u="1"/>
        <s v="EC-V043000530" u="1"/>
        <s v="IB-001" u="1"/>
        <s v="01.013.0104" u="1"/>
        <s v="01.033.0004" u="1"/>
        <s v="EC-12314103930" u="1"/>
        <s v="01.007.0030" u="1"/>
        <s v="03.004.0040" u="1"/>
        <s v="03.008.0020" u="1"/>
        <s v="01.013.0105" u="1"/>
        <s v="01.033.0005" u="1"/>
        <s v="03.008.0021" u="1"/>
        <s v="01.013.0106" u="1"/>
        <s v="01.033.0006" u="1"/>
        <s v="03.008.0022" u="1"/>
        <s v="01.013.0107" u="1"/>
        <s v="01.033.0007" u="1"/>
        <s v="SH-62035-21010" u="1"/>
        <s v="CRE-032" u="1"/>
        <s v="H710C1024" u="1"/>
        <s v="03.008.0023" u="1"/>
        <s v="06.157.0010" u="1"/>
        <s v="01.013.0108" u="1"/>
        <s v="01.033.0008" u="1"/>
        <s v="CRE-033" u="1"/>
        <s v="H710C1124" u="1"/>
        <s v="EC-C534000590" u="1"/>
        <s v="EC-V651000700" u="1"/>
        <s v="EC-P005001110" u="1"/>
        <s v="CRE-034" u="1"/>
        <s v="H710C1224" u="1"/>
        <s v="03.008.0024" u="1"/>
        <s v="06.159.0001" u="1"/>
        <s v="01.013.0109" u="1"/>
        <s v="01.033.0009" u="1"/>
        <s v="EC-A504000140" u="1"/>
        <s v="H710C1324" u="1"/>
        <s v="H710C1424" u="1"/>
        <s v="03.008.0025" u="1"/>
        <s v="06.159.0002" u="1"/>
        <s v="SHDW-009" u="1"/>
        <s v="M001465260" u="1"/>
        <s v="H710C1524" u="1"/>
        <s v="SHDW-019" u="1"/>
        <s v="H710C1624" u="1"/>
        <s v="03.008.0026" u="1"/>
        <s v="EC-C535000790" u="1"/>
        <s v="H710C1724" u="1"/>
        <s v="H710C2064" u="1"/>
        <s v="H710C1824" u="1"/>
        <s v="03.008.0027" u="1"/>
        <s v="H522E000" u="1"/>
        <s v="SH-81630" u="1"/>
        <s v="H710C1924" u="1"/>
        <s v="03.002.0058" u="1"/>
        <s v="03.008.0028" u="1"/>
        <s v="SH-3013172" u="1"/>
        <s v="03.002.0059" u="1"/>
        <s v="03.008.0029" u="1"/>
        <s v="EC-12438012710" u="1"/>
        <s v="SH-20011-31230" u="1"/>
        <s v="EC-C044000880" u="1"/>
        <s v="01.025.0110" u="1"/>
        <s v="01.047.0001" u="1"/>
        <s v="EC-P021029730" u="1"/>
        <s v="SH-1001141" u="1"/>
        <s v="CR-103" u="1"/>
        <s v="EC-13001755630" u="1"/>
        <s v="EC-10010160931" u="1"/>
        <s v="SH-20010-81711" u="1"/>
        <s v="EC-12534107360" u="1"/>
        <s v="SH-22155-71130" u="1"/>
        <s v="EC-A033000070" u="1"/>
        <s v="EC-A030000270" u="1"/>
        <s v="06.193.0001" u="1"/>
        <s v="01.013.0070" u="1"/>
        <s v="01.019.0040" u="1"/>
        <s v="06.193.0002" u="1"/>
        <s v="SH-22000-13290" u="1"/>
        <s v="SH-22155-96521" u="1"/>
        <s v="SH-65001" u="1"/>
        <s v="01.019.0041" u="1"/>
        <s v="06.193.0003" u="1"/>
        <s v="01.019.0042" u="1"/>
        <s v="06.193.0004" u="1"/>
        <s v="JF-278" u="1"/>
        <s v="EC-25021111610" u="1"/>
        <s v="01.019.0043" u="1"/>
        <s v="06.169.0020" u="1"/>
        <s v="BC0291" u="1"/>
        <s v="C300B000" u="1"/>
        <s v="CR-017" u="1"/>
        <s v="H710C1034" u="1"/>
        <s v="01.013.0074" u="1"/>
        <s v="01.019.0044" u="1"/>
        <s v="06.169.0021" u="1"/>
        <s v="H710C1134" u="1"/>
        <s v="H710C1234" u="1"/>
        <s v="01.019.0045" u="1"/>
        <s v="06.169.0022" u="1"/>
        <s v="H710C1334" u="1"/>
        <s v="H710C1434" u="1"/>
        <s v="01.013.0076" u="1"/>
        <s v="01.019.0046" u="1"/>
        <s v="JF-015" u="1"/>
        <s v="H710C1534" u="1"/>
        <s v="H710C1634" u="1"/>
        <s v="01.013.0077" u="1"/>
        <s v="01.019.0047" u="1"/>
        <s v="06.169.0024" u="1"/>
        <s v="H450E000" u="1"/>
        <s v="EC-A130001330" u="1"/>
        <s v="H710C1734" u="1"/>
        <s v="H710C2074" u="1"/>
        <s v="H710C1834" u="1"/>
        <s v="01.013.0078" u="1"/>
        <s v="01.019.0048" u="1"/>
        <s v="06.169.0025" u="1"/>
        <s v="H710C1934" u="1"/>
        <s v="76XX3035N-06" u="1"/>
        <s v="SH-99909-453" u="1"/>
        <s v="01.013.0079" u="1"/>
        <s v="01.019.0049" u="1"/>
        <s v="06.169.0026" u="1"/>
        <s v="EC-12411411120" u="1"/>
        <s v="06.169.0027" u="1"/>
        <s v="06.169.0028" u="1"/>
        <s v="06.030.0001" u="1"/>
        <s v="EC-10101030830" u="1"/>
        <s v="CR-117" u="1"/>
        <s v="06.169.0029" u="1"/>
        <s v="06.030.0002" u="1"/>
        <s v="06.030.0003" u="1"/>
        <s v="CR-051" u="1"/>
        <s v="EC-SRM 270" u="1"/>
        <s v="06.030.0004" u="1"/>
        <s v="SH-22169-51200" u="1"/>
        <s v="SH-17500-23600" u="1"/>
        <s v="01.025.0080" u="1"/>
        <s v="H451E000" u="1"/>
        <s v="04.003.0040" u="1"/>
        <s v="04.005.0030" u="1"/>
        <s v="04.007.0020" u="1"/>
        <s v="04.009.0010" u="1"/>
        <s v="06.006.0020" u="1"/>
        <s v="06.008.0010" u="1"/>
        <s v="EC-V043000540" u="1"/>
        <s v="06.030.0005" u="1"/>
        <s v="EC-V555000090" u="1"/>
        <s v="01.025.0081" u="1"/>
        <s v="SH-72005-92630" u="1"/>
        <s v="04.003.0041" u="1"/>
        <s v="04.005.0031" u="1"/>
        <s v="04.007.0021" u="1"/>
        <s v="04.009.0011" u="1"/>
        <s v="06.004.0031" u="1"/>
        <s v="06.006.0021" u="1"/>
        <s v="SH-20000-81150" u="1"/>
        <s v="06.030.0006" u="1"/>
        <s v="SH-70030-71620" u="1"/>
        <s v="SH-65002" u="1"/>
        <s v="01.025.0082" u="1"/>
        <s v="04.003.0042" u="1"/>
        <s v="04.005.0032" u="1"/>
        <s v="04.007.0022" u="1"/>
        <s v="04.009.0012" u="1"/>
        <s v="06.004.0032" u="1"/>
        <s v="06.006.0022" u="1"/>
        <s v="06.008.0012" u="1"/>
        <s v="SH-20020-81150" u="1"/>
        <s v="06.030.0007" u="1"/>
        <s v="01.025.0083" u="1"/>
        <s v="04.003.0043" u="1"/>
        <s v="04.005.0033" u="1"/>
        <s v="04.007.0023" u="1"/>
        <s v="04.009.0013" u="1"/>
        <s v="06.004.0033" u="1"/>
        <s v="06.006.0023" u="1"/>
        <s v="06.008.0013" u="1"/>
        <s v="06.030.0008" u="1"/>
        <s v="SH-22169-55200" u="1"/>
        <s v="SH-70140-32104" u="1"/>
        <s v="01.025.0084" u="1"/>
        <s v="04.003.0044" u="1"/>
        <s v="04.005.0034" u="1"/>
        <s v="04.007.0024" u="1"/>
        <s v="04.009.0014" u="1"/>
        <s v="06.004.0034" u="1"/>
        <s v="06.008.0014" u="1"/>
        <s v="06.130.0001" u="1"/>
        <s v="H710C1044" u="1"/>
        <s v="01.025.0085" u="1"/>
        <s v="04.005.0035" u="1"/>
        <s v="04.007.0025" u="1"/>
        <s v="04.009.0015" u="1"/>
        <s v="06.004.0035" u="1"/>
        <s v="06.008.0015" u="1"/>
        <s v="06.130.0002" u="1"/>
        <s v="H710C1144" u="1"/>
        <s v="H710C1244" u="1"/>
        <s v="01.025.0086" u="1"/>
        <s v="SH-20140-82210" u="1"/>
        <s v="06.004.0036" u="1"/>
        <s v="06.008.0016" u="1"/>
        <s v="JF-029" u="1"/>
        <s v="H710C1344" u="1"/>
        <s v="H710C1444" u="1"/>
        <s v="01.025.0087" u="1"/>
        <s v="04.005.0037" u="1"/>
        <s v="04.009.0017" u="1"/>
        <s v="06.004.0037" u="1"/>
        <s v="06.008.0017" u="1"/>
        <s v="EC-A506000150" u="1"/>
        <s v="H710C1544" u="1"/>
        <s v="SH-70012-35130" u="1"/>
        <s v="EC-P021028900" u="1"/>
        <s v="SH-4568020" u="1"/>
        <s v="H710C1644" u="1"/>
        <s v="01.025.0088" u="1"/>
        <s v="04.005.0038" u="1"/>
        <s v="04.009.0018" u="1"/>
        <s v="06.004.0038" u="1"/>
        <s v="06.008.0018" u="1"/>
        <s v="06.106.0020" u="1"/>
        <s v="06.108.0010" u="1"/>
        <s v="H710C1744" u="1"/>
        <s v="H710C2084" u="1"/>
        <s v="EC-P021010582" u="1"/>
        <s v="H710C1844" u="1"/>
        <s v="01.025.0089" u="1"/>
        <s v="04.003.0049" u="1"/>
        <s v="04.005.0039" u="1"/>
        <s v="04.009.0019" u="1"/>
        <s v="06.004.0039" u="1"/>
        <s v="06.106.0021" u="1"/>
        <s v="06.108.0011" u="1"/>
        <s v="H710C1944" u="1"/>
        <s v="06.106.0022" u="1"/>
        <s v="06.108.0012" u="1"/>
        <s v="06.042.0010" u="1"/>
        <s v="SH-72577-98011" u="1"/>
        <s v="06.106.0023" u="1"/>
        <s v="06.108.0013" u="1"/>
        <s v="06.042.0011" u="1"/>
        <s v="06.044.0001" u="1"/>
        <s v="SH-80253" u="1"/>
        <s v="EC-70616002061" u="1"/>
        <s v="06.106.0024" u="1"/>
        <s v="06.108.0014" u="1"/>
        <s v="SH-20000-85579" u="1"/>
        <s v="06.042.0012" u="1"/>
        <s v="EC-V102000001" u="1"/>
        <s v="SH-22020-11110" u="1"/>
        <s v="EC-13030013411" u="1"/>
        <s v="06.106.0025" u="1"/>
        <s v="06.108.0015" u="1"/>
        <s v="H224A700" u="1"/>
        <s v="06.042.0013" u="1"/>
        <s v="CR-065" u="1"/>
        <s v="06.106.0026" u="1"/>
        <s v="06.108.0016" u="1"/>
        <s v="06.042.0014" u="1"/>
        <s v="SH-60020-98310" u="1"/>
        <s v="EC-A011000840" u="1"/>
        <s v="01.019.0180" u="1"/>
        <s v="06.106.0027" u="1"/>
        <s v="06.108.0017" u="1"/>
        <s v="06.042.0015" u="1"/>
        <s v="H453E000" u="1"/>
        <s v="06.106.0028" u="1"/>
        <s v="06.108.0018" u="1"/>
        <s v="06.042.0016" u="1"/>
        <s v="ZM-008" u="1"/>
        <s v="SH-80387" u="1"/>
        <s v="01.019.0182" u="1"/>
        <s v="06.106.0029" u="1"/>
        <s v="06.108.0019" u="1"/>
        <s v="06.042.0017" u="1"/>
        <s v="SH-65003" u="1"/>
        <s v="01.019.0183" u="1"/>
        <s v="01.019.0184" u="1"/>
        <s v="SH-62035-82330" u="1"/>
        <s v="06.042.0019" u="1"/>
        <s v="EC-P004002860" u="1"/>
        <s v="SH-02432-22100" u="1"/>
        <s v="SH-20087-81820" u="1"/>
        <s v="01.019.0185" u="1"/>
        <s v="H710C1054" u="1"/>
        <s v="01.019.0186" u="1"/>
        <s v="H710C1154" u="1"/>
        <s v="H710C1254" u="1"/>
        <s v="01.019.0187" u="1"/>
        <s v="H710C1354" u="1"/>
        <s v="H710C1454" u="1"/>
        <s v="01.019.0188" u="1"/>
        <s v="H710C1554" u="1"/>
        <s v="SH-02030-06202" u="1"/>
        <s v="H710C1654" u="1"/>
        <s v="EC-A130001340" u="1"/>
        <s v="H710C1754" u="1"/>
        <s v="H710C2094" u="1"/>
        <s v="H710C1854" u="1"/>
        <s v="H710C1954" u="1"/>
        <s v="01.032.0001" u="1"/>
        <s v="OT-653" u="1"/>
        <s v="06.058.0002" u="1"/>
        <s v="01.032.0002" u="1"/>
        <s v="OT-B93   " u="1"/>
        <s v="06.058.0003" u="1"/>
        <s v="BR4000" u="1"/>
        <s v="01.032.0003" u="1"/>
        <s v="CR-079" u="1"/>
        <s v="06.058.0004" u="1"/>
        <s v="04.005.0170" u="1"/>
        <s v="03.001.0050" u="1"/>
        <s v="03.009.0010" u="1"/>
        <s v="06.058.0005" u="1"/>
        <s v="SH-22155-51500" u="1"/>
        <s v="130326100555456" u="1"/>
        <s v="04.005.0171" u="1"/>
        <s v="03.001.0051" u="1"/>
        <s v="03.009.0011" u="1"/>
        <s v="05.008.0011" u="1"/>
        <s v="04.005.0172" u="1"/>
        <s v="03.001.0052" u="1"/>
        <s v="03.009.0012" u="1"/>
        <s v="EC-A175000180" u="1"/>
        <s v="EC-30100156831" u="1"/>
        <s v="04.005.0173" u="1"/>
        <s v="SH-70200-85001" u="1"/>
        <s v="03.001.0053" u="1"/>
        <s v="03.009.0013" u="1"/>
        <s v="CRE-023" u="1"/>
        <s v="04.005.0174" u="1"/>
        <s v="SH-22021-13390" u="1"/>
        <s v="03.001.0054" u="1"/>
        <s v="03.009.0014" u="1"/>
        <s v="06.158.0001" u="1"/>
        <s v="EC-10001101110" u="1"/>
        <s v="SH-72282-15310" u="1"/>
        <s v="04.005.0175" u="1"/>
        <s v="03.001.0055" u="1"/>
        <s v="03.009.0015" u="1"/>
        <s v="06.158.0002" u="1"/>
        <s v="EC-V651000520" u="1"/>
        <s v="EC-P021014320" u="1"/>
        <s v="04.005.0176" u="1"/>
        <s v="H710F200" u="1"/>
        <s v="03.001.0056" u="1"/>
        <s v="03.009.0016" u="1"/>
        <s v="06.158.0003" u="1"/>
        <s v="06.092.0001" u="1"/>
        <s v="EC-P021028610" u="1"/>
        <s v="H710C1064" u="1"/>
        <s v="04.005.0177" u="1"/>
        <s v="03.001.0057" u="1"/>
        <s v="03.009.0017" u="1"/>
        <s v="EC-A504000060" u="1"/>
        <s v="H710C1164" u="1"/>
        <s v="EC-P005001130" u="1"/>
        <s v="H710C1264" u="1"/>
        <s v="04.005.0178" u="1"/>
        <s v="03.009.0018" u="1"/>
        <s v="H710C1364" u="1"/>
        <s v="H710C1464" u="1"/>
        <s v="04.005.0179" u="1"/>
        <s v="03.009.0019" u="1"/>
        <s v="H710C1564" u="1"/>
        <s v="H710C1664" u="1"/>
        <s v="WP-1000" u="1"/>
        <s v="06.152.0037" u="1"/>
        <s v="EC-A506000260" u="1"/>
        <s v="H710C1764" u="1"/>
        <s v="EC-A011000250" u="1"/>
        <s v="H710C1864" u="1"/>
        <s v="EC-A514000080" u="1"/>
        <s v="EC-10010030830" u="1"/>
        <s v="H710C2007" u="1"/>
        <s v="01.046.0001" u="1"/>
        <s v="H710C1964" u="1"/>
        <s v="ZM-056" u="1"/>
        <s v="H710C2107" u="1"/>
        <s v="CR-102" u="1"/>
        <s v="06.152.0039" u="1"/>
        <s v="EC-12300060930" u="1"/>
        <s v="SH-80255" u="1"/>
        <s v="SH-80265" u="1"/>
        <s v="H711F200" u="1"/>
        <s v="01.018.0040" u="1"/>
        <s v="01.018.0041" u="1"/>
        <s v="OR-206045" u="1"/>
        <s v="01.018.0042" u="1"/>
        <s v="JF-277" u="1"/>
        <s v="01.018.0043" u="1"/>
        <s v="10.020.0001" u="1"/>
        <s v="CR-016" u="1"/>
        <s v="01.018.0044" u="1"/>
        <s v="SH-22160-33801" u="1"/>
        <s v="01.018.0045" u="1"/>
        <s v="EC-17504656030" u="1"/>
        <s v="EC-SP40BPS" u="1"/>
        <s v="01.018.0046" u="1"/>
        <s v="JF-014" u="1"/>
        <s v="01.018.0047" u="1"/>
        <s v="H710C1074" u="1"/>
        <s v="01.018.0048" u="1"/>
        <s v="SH-20021-86110" u="1"/>
        <s v="H710C1174" u="1"/>
        <s v="H710C1274" u="1"/>
        <s v="CR-CARCUSTOM" u="1"/>
        <s v="01.018.0049" u="1"/>
        <s v="SH-02006-06002" u="1"/>
        <s v="EC-A130001150" u="1"/>
        <s v="H710C1374" u="1"/>
        <s v="3FKFS250218" u="1"/>
        <s v="H710C1474" u="1"/>
        <s v="SH-70140-51220" u="1"/>
        <s v="EC-C506000160" u="1"/>
        <s v="H710C1574" u="1"/>
        <s v="H710C1674" u="1"/>
        <s v="H710C1774" u="1"/>
        <s v="SH-78890-14000" u="1"/>
        <s v="H710C1874" u="1"/>
        <s v="SH-22169-42000" u="1"/>
        <s v="H710C2017" u="1"/>
        <s v="H710C1974" u="1"/>
        <s v="EC-43171730230" u="1"/>
        <s v="H710C2117" u="1"/>
        <s v="SH-20021-51120" u="1"/>
        <s v="SH-80256" u="1"/>
        <s v="SH-38500-82120" u="1"/>
        <s v="04.006.0021" u="1"/>
        <s v="04.008.0011" u="1"/>
        <s v="06.009.0001" u="1"/>
        <s v="SH-20018-31270" u="1"/>
        <s v="04.006.0022" u="1"/>
        <s v="04.008.0012" u="1"/>
        <s v="06.009.0002" u="1"/>
        <s v="EC-17800159230" u="1"/>
        <s v="04.006.0023" u="1"/>
        <s v="04.008.0013" u="1"/>
        <s v="EC-B450EMC" u="1"/>
        <s v="EC-V043000560" u="1"/>
        <s v="04.006.0024" u="1"/>
        <s v="04.008.0014" u="1"/>
        <s v="06.009.0004" u="1"/>
        <s v="04.006.0025" u="1"/>
        <s v="04.008.0015" u="1"/>
        <s v="06.009.0005" u="1"/>
        <s v="SH-62035-82121" u="1"/>
        <s v="SH-22015-13290" u="1"/>
        <s v="04.006.0026" u="1"/>
        <s v="04.008.0016" u="1"/>
        <s v="06.009.0006" u="1"/>
        <s v="EC-13000739931" u="1"/>
        <s v="SH-22035-13290" u="1"/>
        <s v="SH-22157-12110" u="1"/>
        <s v="JF-028" u="1"/>
        <s v="04.006.0027" u="1"/>
        <s v="04.008.0017" u="1"/>
        <s v="06.009.0007" u="1"/>
        <s v="EC-P004000700" u="1"/>
        <s v="H232E000" u="1"/>
        <s v="SH-02432-40170" u="1"/>
        <s v="04.006.0028" u="1"/>
        <s v="04.008.0018" u="1"/>
        <s v="SH-20070-81350" u="1"/>
        <s v="H710C1084" u="1"/>
        <s v="04.006.0029" u="1"/>
        <s v="04.008.0019" u="1"/>
        <s v="06.009.0009" u="1"/>
        <s v="06.109.0001" u="1"/>
        <s v="H710C1184" u="1"/>
        <s v="H710C1284" u="1"/>
        <s v="06.109.0002" u="1"/>
        <s v="H710C1384" u="1"/>
        <s v="H710C1484" u="1"/>
        <s v="EC-P004001340" u="1"/>
        <s v="06.109.0003" u="1"/>
        <s v="H710C1584" u="1"/>
        <s v="06.041.0011" u="1"/>
        <s v="06.043.0001" u="1"/>
        <s v="EC-12300055630" u="1"/>
        <s v="H710C1684" u="1"/>
        <s v="EC-A506000270" u="1"/>
        <s v="06.109.0004" u="1"/>
        <s v="H710C1784" u="1"/>
        <s v="06.041.0012" u="1"/>
        <s v="06.043.0002" u="1"/>
        <s v="H710C1884" u="1"/>
        <s v="SH-70200-33112" u="1"/>
        <s v="H710C2027" u="1"/>
        <s v="H710C1984" u="1"/>
        <s v="06.041.0013" u="1"/>
        <s v="SH-02000-00608" u="1"/>
        <s v="EC-A020000080" u="1"/>
        <s v="CR-064" u="1"/>
        <s v="06.109.0006" u="1"/>
        <s v="EC-17504903920" u="1"/>
        <s v="06.041.0014" u="1"/>
        <s v="SH-80247" u="1"/>
        <s v="06.109.0007" u="1"/>
        <s v="06.041.0015" u="1"/>
        <s v="H233E000" u="1"/>
        <s v="06.041.0016" u="1"/>
        <s v="EC-12438055430" u="1"/>
        <s v="06.209.0001" u="1"/>
        <s v="06.041.0017" u="1"/>
        <s v="06.041.0018" u="1"/>
        <s v="SH-62035-75130" u="1"/>
        <s v="06.209.0003" u="1"/>
        <s v="06.041.0019" u="1"/>
        <s v="06.141.0011" u="1"/>
        <s v="06.143.0001" u="1"/>
        <s v="06.209.0004" u="1"/>
        <s v="06.141.0012" u="1"/>
        <s v="06.143.0002" u="1"/>
        <s v="EC-P021031630" u="1"/>
        <s v="SH-72282-15101" u="1"/>
        <s v="06.209.0005" u="1"/>
        <s v="06.143.0003" u="1"/>
        <s v="06.141.0014" u="1"/>
        <s v="06.143.0004" u="1"/>
        <s v="SH-62104-15210" u="1"/>
        <s v="06.143.0005" u="1"/>
        <s v="EC-C501000070" u="1"/>
        <s v="SH-4037771" u="1"/>
        <s v="06.143.0006" u="1"/>
        <s v="H710C1094" u="1"/>
        <s v="SH-70102-51220" u="1"/>
        <s v="H710C1194" u="1"/>
        <s v="06.141.0017" u="1"/>
        <s v="06.143.0007" u="1"/>
        <s v="H710C1294" u="1"/>
        <s v="SH-62903-66111" u="1"/>
        <s v="EC-17500942231" u="1"/>
        <s v="H710C1394" u="1"/>
        <s v="06.057.0001" u="1"/>
        <s v="06.141.0018" u="1"/>
        <s v="06.143.0008" u="1"/>
        <s v="01.031.0001" u="1"/>
        <s v="H710C1494" u="1"/>
        <s v="SH-20011-71611" u="1"/>
        <s v="H710C1594" u="1"/>
        <s v="06.141.0019" u="1"/>
        <s v="06.143.0009" u="1"/>
        <s v="01.031.0002" u="1"/>
        <s v="SH-22152-41231" u="1"/>
        <s v="H710C1694" u="1"/>
        <s v="EC-P021032670" u="1"/>
        <s v="H710C1794" u="1"/>
        <s v="SH-81593" u="1"/>
        <s v="01.031.0003" u="1"/>
        <s v="H710C1894" u="1"/>
        <s v="H710C2037" u="1"/>
        <s v="H710C1994" u="1"/>
        <s v="SH-4527270" u="1"/>
        <s v="SH-4574920" u="1"/>
        <s v="SH-72080-98020" u="1"/>
        <s v="01.007.0020" u="1"/>
        <s v="01.009.0010" u="1"/>
        <s v="03.008.0010" u="1"/>
        <s v="EC-A130001660" u="1"/>
        <s v="01.007.0021" u="1"/>
        <s v="01.009.0011" u="1"/>
        <s v="03.008.0011" u="1"/>
        <s v="CRE-010" u="1"/>
        <s v="01.007.0022" u="1"/>
        <s v="03.008.0012" u="1"/>
        <s v="EC-CS 680S" u="1"/>
        <s v="EC-CS 680S   " u="1"/>
        <s v="EC-CS 680S     " u="1"/>
        <s v="03.008.0013" u="1"/>
        <s v="EC-70604003770" u="1"/>
        <s v="CR-001" u="1"/>
        <s v="01.007.0024" u="1"/>
        <s v="03.008.0014" u="1"/>
        <s v="06.157.0001" u="1"/>
        <s v="SH-20000-81310" u="1"/>
        <s v="SH-60035-98310" u="1"/>
        <s v="CRE-016" u="1"/>
        <s v="01.007.0025" u="1"/>
        <s v="03.008.0015" u="1"/>
        <s v="06.157.0002" u="1"/>
        <s v="EC-14551055932" u="1"/>
        <s v="SH-20010-75190" u="1"/>
        <s v="01.007.0026" u="1"/>
        <s v="03.008.0016" u="1"/>
        <s v="06.157.0003" u="1"/>
        <s v="06.091.0001" u="1"/>
        <s v="01.007.0027" u="1"/>
        <s v="03.008.0017" u="1"/>
        <s v="06.157.0004" u="1"/>
        <s v="06.091.0002" u="1"/>
        <s v="SH-22015-13390" u="1"/>
        <s v="13.002.0050" u="1"/>
        <s v="SH-60119-98310" u="1"/>
        <s v="MOT-15" u="1"/>
        <s v="01.007.0028" u="1"/>
        <s v="03.008.0018" u="1"/>
        <s v="06.157.0005" u="1"/>
        <s v="13.002.0051" u="1"/>
        <s v="SH-72365-98011" u="1"/>
        <s v="20402" u="1"/>
        <s v="01.007.0029" u="1"/>
        <s v="03.008.0019" u="1"/>
        <s v="06.157.0006" u="1"/>
        <s v="EC-V651000540" u="1"/>
        <s v="06.091.0004" u="1"/>
        <s v="06.157.0007" u="1"/>
        <s v="01.025.0100" u="1"/>
        <s v="06.091.0005" u="1"/>
        <s v="EC-P021014440" u="1"/>
        <s v="RULIT-009      " u="1"/>
        <s v="06.157.0008" u="1"/>
        <s v="H710C1007" u="1"/>
        <s v="01.025.0101" u="1"/>
        <s v="01.045.0001" u="1"/>
        <s v="EC-P005001150" u="1"/>
        <s v="H710C1107" u="1"/>
        <s v="EC-A506000080" u="1"/>
        <s v="CR-101" u="1"/>
        <s v="06.157.0009" u="1"/>
        <s v="H710C1207" u="1"/>
        <s v="01.025.0102" u="1"/>
        <s v="01.045.0002" u="1"/>
        <s v="H710C1307" u="1"/>
        <s v="SH-22152-21501" u="1"/>
        <s v="H710C1407" u="1"/>
        <s v="01.025.0103" u="1"/>
        <s v="H710C1507" u="1"/>
        <s v="EC-P021030500" u="1"/>
        <s v="H710C1607" u="1"/>
        <s v="01.025.0104" u="1"/>
        <s v="06.191.0001" u="1"/>
        <s v="H710C1707" u="1"/>
        <s v="H710C2047" u="1"/>
        <s v="01.013.0060" u="1"/>
        <s v="01.019.0030" u="1"/>
        <s v="03.014.0050" u="1"/>
        <s v="H710C1807" u="1"/>
        <s v="01.025.0105" u="1"/>
        <s v="H710C1907" u="1"/>
        <s v="01.013.0061" u="1"/>
        <s v="01.019.0031" u="1"/>
        <s v="03.014.0051" u="1"/>
        <s v="01.025.0106" u="1"/>
        <s v="OT-11" u="1"/>
        <s v="01.019.0032" u="1"/>
        <s v="01.025.0107" u="1"/>
        <s v="JF-276" u="1"/>
        <s v="EC-12436312710" u="1"/>
        <s v="01.019.0033" u="1"/>
        <s v="01.025.0108" u="1"/>
        <s v="EC-A021000290" u="1"/>
        <s v="MOT-155" u="1"/>
        <s v="MOT-156" u="1"/>
        <s v="CR-015" u="1"/>
        <s v="SH-22000-13410" u="1"/>
        <s v="01.025.0109" u="1"/>
        <s v="EC-A027000090" u="1"/>
        <s v="MOT-157" u="1"/>
        <s v="01.013.0065" u="1"/>
        <s v="06.169.0012" u="1"/>
        <s v="SH-18500-90002" u="1"/>
        <s v="SH-37019-63170" u="1"/>
        <s v="SH-4502640" u="1"/>
        <s v="EC-P021015780" u="1"/>
        <s v="92354" u="1"/>
        <s v="01.013.0066" u="1"/>
        <s v="06.169.0013" u="1"/>
        <s v="SH-22070-12410" u="1"/>
        <s v="JF-013" u="1"/>
        <s v="01.013.0067" u="1"/>
        <s v="01.019.0037" u="1"/>
        <s v="06.169.0014" u="1"/>
        <s v="01.013.0068" u="1"/>
        <s v="01.019.0038" u="1"/>
        <s v="06.169.0015" u="1"/>
        <s v="SH-72920-71711" u="1"/>
        <s v="01.013.0069" u="1"/>
        <s v="01.019.0039" u="1"/>
        <s v="06.169.0017" u="1"/>
        <s v="EC-A021000990" u="1"/>
        <s v="SH-20021-85310" u="1"/>
        <s v="06.169.0018" u="1"/>
        <s v="ZM-069" u="1"/>
        <s v="EC-V299000410" u="1"/>
        <s v="CR-115" u="1"/>
        <s v="06.169.0019" u="1"/>
        <s v="H710C1017" u="1"/>
        <s v="SH-72330-82320" u="1"/>
        <s v="H710C1117" u="1"/>
        <s v="H710C1217" u="1"/>
        <s v="H710C1317" u="1"/>
        <s v="H710C1417" u="1"/>
        <s v="SH-70870-98030" u="1"/>
        <s v="H710C1517" u="1"/>
        <s v="EC-P021027100" u="1"/>
        <s v="EC-A130001370" u="1"/>
        <s v="01.025.0070" u="1"/>
        <s v="H710C1617" u="1"/>
        <s v="04.005.0020" u="1"/>
        <s v="04.007.0010" u="1"/>
        <s v="06.006.0010" u="1"/>
        <s v="H710C1717" u="1"/>
        <s v="EC-P021012781" u="1"/>
        <s v="H710C2057" u="1"/>
        <s v="01.025.0071" u="1"/>
        <s v="H710C1817" u="1"/>
        <s v="04.003.0031" u="1"/>
        <s v="04.005.0021" u="1"/>
        <s v="04.007.0011" u="1"/>
        <s v="04.009.0001" u="1"/>
        <s v="06.006.0011" u="1"/>
        <s v="06.008.0001" u="1"/>
        <s v="H710C1917" u="1"/>
        <s v="01.025.0072" u="1"/>
        <s v="04.003.0032" u="1"/>
        <s v="04.005.0022" u="1"/>
        <s v="04.007.0012" u="1"/>
        <s v="04.009.0002" u="1"/>
        <s v="06.004.0022" u="1"/>
        <s v="06.006.0012" u="1"/>
        <s v="06.008.0002" u="1"/>
        <s v="01.025.0073" u="1"/>
        <s v="04.005.0023" u="1"/>
        <s v="04.007.0013" u="1"/>
        <s v="04.009.0003" u="1"/>
        <s v="06.006.0013" u="1"/>
        <s v="06.008.0003" u="1"/>
        <s v="01.025.0074" u="1"/>
        <s v="04.003.0034" u="1"/>
        <s v="04.007.0014" u="1"/>
        <s v="04.009.0004" u="1"/>
        <s v="06.006.0014" u="1"/>
        <s v="SH-22410-14100" u="1"/>
        <s v="01.025.0075" u="1"/>
        <s v="04.003.0035" u="1"/>
        <s v="04.005.0025" u="1"/>
        <s v="04.007.0015" u="1"/>
        <s v="04.009.0005" u="1"/>
        <s v="06.004.0025" u="1"/>
        <s v="06.006.0015" u="1"/>
        <s v="06.008.0005" u="1"/>
        <s v="SH-20000-75150" u="1"/>
        <s v="SH-22000-13241" u="1"/>
        <s v="SH-22015-13210" u="1"/>
        <s v="SH-22070-12101" u="1"/>
        <s v="01.025.0076" u="1"/>
        <s v="04.003.0036" u="1"/>
        <s v="04.007.0016" u="1"/>
        <s v="04.009.0006" u="1"/>
        <s v="06.004.0026" u="1"/>
        <s v="06.006.0016" u="1"/>
        <s v="JF-027" u="1"/>
        <s v="04.003.0037" u="1"/>
        <s v="04.005.0027" u="1"/>
        <s v="04.007.0017" u="1"/>
        <s v="04.009.0007" u="1"/>
        <s v="06.006.0017" u="1"/>
        <s v="01.025.0078" u="1"/>
        <s v="04.007.0018" u="1"/>
        <s v="04.009.0008" u="1"/>
        <s v="06.004.0028" u="1"/>
        <s v="06.006.0018" u="1"/>
        <s v="06.008.0008" u="1"/>
        <s v="06.106.0010" u="1"/>
        <s v="01.025.0079" u="1"/>
        <s v="04.003.0039" u="1"/>
        <s v="04.005.0029" u="1"/>
        <s v="04.007.0019" u="1"/>
        <s v="04.009.0009" u="1"/>
        <s v="06.006.0019" u="1"/>
        <s v="06.106.0011" u="1"/>
        <s v="06.108.0001" u="1"/>
        <s v="SH-80023" u="1"/>
        <s v="06.106.0012" u="1"/>
        <s v="06.108.0002" u="1"/>
        <s v="06.040.0010" u="1"/>
        <s v="EC-V651000550" u="1"/>
        <s v="06.106.0013" u="1"/>
        <s v="06.108.0003" u="1"/>
        <s v="06.042.0001" u="1"/>
        <s v="SH-64007-64310" u="1"/>
        <s v="EC-A202000011" u="1"/>
        <s v="06.106.0014" u="1"/>
        <s v="06.042.0002" u="1"/>
        <s v="SH-68501-81360" u="1"/>
        <s v="H710C1027" u="1"/>
        <s v="06.108.0005" u="1"/>
        <s v="EC-P005001160" u="1"/>
        <s v="H224A500" u="1"/>
        <s v="06.042.0003" u="1"/>
        <s v="H710C1127" u="1"/>
        <s v="SH-22169-15210" u="1"/>
        <s v="CR-063" u="1"/>
        <s v="H710C1227" u="1"/>
        <s v="06.106.0016" u="1"/>
        <s v="06.108.0006" u="1"/>
        <s v="06.042.0004" u="1"/>
        <s v="EC-224127-13710" u="1"/>
        <s v="H710C1327" u="1"/>
        <s v="EC-P004001360" u="1"/>
        <s v="01.019.0170" u="1"/>
        <s v="H710C1427" u="1"/>
        <s v="06.106.0017" u="1"/>
        <s v="06.108.0007" u="1"/>
        <s v="06.040.0015" u="1"/>
        <s v="06.042.0005" u="1"/>
        <s v="H710C1527" u="1"/>
        <s v="01.019.0171" u="1"/>
        <s v="H710C1627" u="1"/>
        <s v="06.108.0008" u="1"/>
        <s v="06.040.0016" u="1"/>
        <s v="06.042.0006" u="1"/>
        <s v="EC-A509000190" u="1"/>
        <s v="SH-80187" u="1"/>
        <s v="H710C1727" u="1"/>
        <s v="H710C2067" u="1"/>
        <s v="01.019.0172" u="1"/>
        <s v="H710C1827" u="1"/>
        <s v="06.106.0019" u="1"/>
        <s v="06.108.0009" u="1"/>
        <s v="06.040.0017" u="1"/>
        <s v="06.042.0007" u="1"/>
        <s v="SH-28820-08000" u="1"/>
        <s v="H710C1927" u="1"/>
        <s v="EC-P004001660" u="1"/>
        <s v="EC-P021015290" u="1"/>
        <s v="01.019.0173" u="1"/>
        <s v="06.208.0002" u="1"/>
        <s v="06.042.0008" u="1"/>
        <s v="06.140.0010" u="1"/>
        <s v="SH-72550-14200" u="1"/>
        <s v="89070" u="1"/>
        <s v="01.019.0174" u="1"/>
        <s v="06.042.0009" u="1"/>
        <s v="06.140.0011" u="1"/>
        <s v="06.142.0001" u="1"/>
        <s v="01.019.0175" u="1"/>
        <s v="06.142.0002" u="1"/>
        <s v="01.019.0176" u="1"/>
        <s v="06.142.0003" u="1"/>
        <s v="SH-60018-98310" u="1"/>
        <s v="01.019.0177" u="1"/>
        <s v="EC-35121452931" u="1"/>
        <s v="06.142.0004" u="1"/>
        <s v="01.019.0178" u="1"/>
        <s v="EC-12538108660" u="1"/>
        <s v="01.019.0179" u="1"/>
        <s v="06.142.0006" u="1"/>
        <s v="EC-P021031650" u="1"/>
        <s v="SH-20011-81550" u="1"/>
        <s v="06.142.0007" u="1"/>
        <s v="06.056.0001" u="1"/>
        <s v="06.142.0008" u="1"/>
        <s v="06.056.0002" u="1"/>
        <s v="SH-38500-71020" u="1"/>
        <s v="01.030.0002" u="1"/>
        <s v="H952A100" u="1"/>
        <s v="06.056.0003" u="1"/>
        <s v="01.030.0003" u="1"/>
        <s v="EC-V299000420" u="1"/>
        <s v="3FKSS230210" u="1"/>
        <s v="H710C1037" u="1"/>
        <s v="06.056.0004" u="1"/>
        <s v="01.030.0004" u="1"/>
        <s v="H710C1137" u="1"/>
        <s v="H710C1237" u="1"/>
        <s v="04.005.0160" u="1"/>
        <s v="03.001.0040" u="1"/>
        <s v="03.007.0010" u="1"/>
        <s v="06.056.0005" u="1"/>
        <s v="EC-A350000131" u="1"/>
        <s v="H710C1337" u="1"/>
        <s v="EC-61031056930" u="1"/>
        <s v="H710C1437" u="1"/>
        <s v="04.005.0161" u="1"/>
        <s v="03.001.0041" u="1"/>
        <s v="03.007.0011" u="1"/>
        <s v="03.009.0001" u="1"/>
        <s v="05.008.0001" u="1"/>
        <s v="06.056.0006" u="1"/>
        <s v="H710C1537" u="1"/>
        <s v="EC-A130001380" u="1"/>
        <s v="H710C1637" u="1"/>
        <s v="04.005.0162" u="1"/>
        <s v="01.004.0032" u="1"/>
        <s v="01.006.0022" u="1"/>
        <s v="03.001.0042" u="1"/>
        <s v="03.007.0012" u="1"/>
        <s v="03.009.0002" u="1"/>
        <s v="05.008.0002" u="1"/>
        <s v="06.056.0007" u="1"/>
        <s v="MOT-003" u="1"/>
        <s v="SH-70131-75110" u="1"/>
        <s v="H710C1737" u="1"/>
        <s v="CRE-001" u="1"/>
        <s v="H710C2077" u="1"/>
        <s v="MOT-004" u="1"/>
        <s v="H710C1837" u="1"/>
        <s v="04.005.0163" u="1"/>
        <s v="01.004.0033" u="1"/>
        <s v="01.006.0023" u="1"/>
        <s v="03.001.0043" u="1"/>
        <s v="03.003.0033" u="1"/>
        <s v="03.007.0013" u="1"/>
        <s v="03.009.0003" u="1"/>
        <s v="05.008.0003" u="1"/>
        <s v="06.056.0008" u="1"/>
        <s v="06.152.0020" u="1"/>
        <s v="MOT-005" u="1"/>
        <s v="H710C1937" u="1"/>
        <s v="CRE-003" u="1"/>
        <s v="04.005.0164" u="1"/>
        <s v="CRE-004" u="1"/>
        <s v="01.006.0024" u="1"/>
        <s v="03.001.0044" u="1"/>
        <s v="03.007.0014" u="1"/>
        <s v="03.009.0004" u="1"/>
        <s v="05.008.0004" u="1"/>
        <s v="06.152.0021" u="1"/>
        <s v="06.156.0001" u="1"/>
        <s v="CRE-005" u="1"/>
        <s v="EC-C504000690" u="1"/>
        <s v="OT-71" u="1"/>
        <s v="04.005.0165" u="1"/>
        <s v="CRE-006" u="1"/>
        <s v="01.006.0025" u="1"/>
        <s v="03.001.0045" u="1"/>
        <s v="03.003.0035" u="1"/>
        <s v="03.007.0015" u="1"/>
        <s v="03.009.0005" u="1"/>
        <s v="06.152.0022" u="1"/>
        <s v="06.156.0002" u="1"/>
        <s v="EC-V641000140" u="1"/>
        <s v="EC-A130001780" u="1"/>
        <s v="04.005.0166" u="1"/>
        <s v="03.001.0046" u="1"/>
        <s v="03.007.0016" u="1"/>
        <s v="03.009.0006" u="1"/>
        <s v="06.156.0003" u="1"/>
        <s v="06.090.0001" u="1"/>
        <s v="SH-22017-12210" u="1"/>
        <s v="04.005.0167" u="1"/>
        <s v="01.006.0027" u="1"/>
        <s v="03.001.0047" u="1"/>
        <s v="03.009.0007" u="1"/>
        <s v="05.008.0007" u="1"/>
        <s v="06.152.0024" u="1"/>
        <s v="SH-62035-12210" u="1"/>
        <s v="04.005.0168" u="1"/>
        <s v="03.001.0048" u="1"/>
        <s v="03.007.0018" u="1"/>
        <s v="03.009.0008" u="1"/>
        <s v="05.008.0008" u="1"/>
        <s v="06.152.0025" u="1"/>
        <s v="EC-P021013620" u="1"/>
        <s v="04.005.0169" u="1"/>
        <s v="01.006.0029" u="1"/>
        <s v="03.001.0049" u="1"/>
        <s v="03.009.0009" u="1"/>
        <s v="06.152.0026" u="1"/>
        <s v="SH-60059-98310" u="1"/>
        <s v="01.040.0020" u="1"/>
        <s v="SH-62035-15210" u="1"/>
        <s v="OT-479" u="1"/>
        <s v="01.040.0021" u="1"/>
        <s v="01.044.0001" u="1"/>
        <s v="SH-22019-17110" u="1"/>
        <s v="SH-80025" u="1"/>
        <s v="CR-100" u="1"/>
        <s v="EC-P021014260" u="1"/>
        <s v="06.152.0029" u="1"/>
        <s v="01.040.0022" u="1"/>
        <s v="01.044.0002" u="1"/>
        <s v="SH-20010-81790" u="1"/>
        <s v="06.190.0001" u="1"/>
        <s v="91184" u="1"/>
        <s v="SH-68501-81460" u="1"/>
        <s v="H710C1047" u="1"/>
        <s v="EC-P004000930" u="1"/>
        <s v="01.016.0040" u="1"/>
        <s v="01.018.0030" u="1"/>
        <s v="SH-22000-92812" u="1"/>
        <s v="06.190.0002" u="1"/>
        <s v="H710C1147" u="1"/>
        <s v="H710C1247" u="1"/>
        <s v="01.016.0041" u="1"/>
        <s v="01.018.0031" u="1"/>
        <s v="06.190.0003" u="1"/>
        <s v="H710C1347" u="1"/>
        <s v="EC-70602018220" u="1"/>
        <s v="H710C1447" u="1"/>
        <s v="01.018.0032" u="1"/>
        <s v="06.190.0004" u="1"/>
        <s v="JF-275" u="1"/>
        <s v="H710C1547" u="1"/>
        <s v="H710C1647" u="1"/>
        <s v="01.018.0033" u="1"/>
        <s v="SH-72514-14100" u="1"/>
        <s v="H710C1747" u="1"/>
        <s v="H710C2087" u="1"/>
        <s v="CR-014" u="1"/>
        <s v="H710C1847" u="1"/>
        <s v="01.018.0034" u="1"/>
        <s v="06.166.0021" u="1"/>
        <s v="H710C1947" u="1"/>
        <s v="EC-70604001A61" u="1"/>
        <s v="01.018.0035" u="1"/>
        <s v="SH-20016-12222" u="1"/>
        <s v="CR-1002" u="1"/>
        <s v="01.018.0036" u="1"/>
        <s v="06.166.0023" u="1"/>
        <s v="JF-012" u="1"/>
        <s v="SO-20.48.326" u="1"/>
        <s v="01.018.0037" u="1"/>
        <s v="06.166.0024" u="1"/>
        <s v="01.018.0038" u="1"/>
        <s v="06.166.0025" u="1"/>
        <s v="01.018.0039" u="1"/>
        <s v="EC-V508000050" u="1"/>
        <s v="EC-P021031560" u="1"/>
        <s v="SH-22150-51230" u="1"/>
        <s v="SH-22160-51230" u="1"/>
        <s v="ZM-068" u="1"/>
        <s v="EC-61031307132" u="1"/>
        <s v="CR-114" u="1"/>
        <s v="SH-20000-85201" u="1"/>
        <s v="EC-17800143230" u="1"/>
        <s v="SH-20021-81790" u="1"/>
        <s v="03.023.0070" u="1"/>
        <s v="SH-72441-12100" u="1"/>
        <s v="02.001.0040" u="1"/>
        <s v="04.006.0010" u="1"/>
        <s v="H710C1057" u="1"/>
        <s v="03.023.0071" u="1"/>
        <s v="SH4575740" u="1"/>
        <s v="02.001.0041" u="1"/>
        <s v="04.006.0011" u="1"/>
        <s v="04.008.0001" u="1"/>
        <s v="06.007.0001" u="1"/>
        <s v="H710C1157" u="1"/>
        <s v="H710C1257" u="1"/>
        <s v="03.023.0072" u="1"/>
        <s v="02.001.0042" u="1"/>
        <s v="04.006.0012" u="1"/>
        <s v="04.008.0002" u="1"/>
        <s v="06.007.0002" u="1"/>
        <s v="JF-289" u="1"/>
        <s v="H710C1357" u="1"/>
        <s v="H710C1457" u="1"/>
        <s v="03.023.0073" u="1"/>
        <s v="02.001.0043" u="1"/>
        <s v="04.006.0013" u="1"/>
        <s v="04.008.0003" u="1"/>
        <s v="06.007.0003" u="1"/>
        <s v="EC-35131122431" u="1"/>
        <s v="H710C1557" u="1"/>
        <s v="EC-A130001390" u="1"/>
        <s v="H710C1657" u="1"/>
        <s v="03.023.0074" u="1"/>
        <s v="04.006.0014" u="1"/>
        <s v="H710C1757" u="1"/>
        <s v="H710C2097" u="1"/>
        <s v="H710C1857" u="1"/>
        <s v="04.006.0015" u="1"/>
        <s v="04.008.0005" u="1"/>
        <s v="06.007.0005" u="1"/>
        <s v="06.094.0120" u="1"/>
        <s v="H710C1957" u="1"/>
        <s v="SH-72080-98320" u="1"/>
        <s v="04.006.0016" u="1"/>
        <s v="04.008.0006" u="1"/>
        <s v="06.007.0006" u="1"/>
        <s v="06.094.0121" u="1"/>
        <s v="SH-72555-14100" u="1"/>
        <s v="JF-026" u="1"/>
        <s v="04.006.0017" u="1"/>
        <s v="04.008.0007" u="1"/>
        <s v="06.007.0007" u="1"/>
        <s v="04.006.0018" u="1"/>
        <s v="04.008.0008" u="1"/>
        <s v="06.007.0008" u="1"/>
        <s v="04.008.0009" u="1"/>
        <s v="06.107.0001" u="1"/>
        <s v="SH-22015-13410" u="1"/>
        <s v="EC-P003000240" u="1"/>
        <s v="06.088.0050" u="1"/>
        <s v="EC-V652000170" u="1"/>
        <s v="SH-70244-98040" u="1"/>
        <s v="EC-P004000440" u="1"/>
        <s v="EC-17500955931" u="1"/>
        <s v="06.041.0002" u="1"/>
        <s v="SH-20000-81750" u="1"/>
        <s v="SH-108636-10" u="1"/>
        <s v="SH-20024-83410" u="1"/>
        <s v="CR-062" u="1"/>
        <s v="EC-A101000000" u="1"/>
        <s v="06.041.0005" u="1"/>
        <s v="EC-43101230831" u="1"/>
        <s v="EC-P005001080" u="1"/>
        <s v="06.041.0006" u="1"/>
        <s v="H710C1067" u="1"/>
        <s v="06.207.0001" u="1"/>
        <s v="EC-13101064931" u="1"/>
        <s v="06.041.0007" u="1"/>
        <s v="H710C1167" u="1"/>
        <s v="H710C1267" u="1"/>
        <s v="06.207.0002" u="1"/>
        <s v="06.041.0008" u="1"/>
        <s v="H710C1367" u="1"/>
        <s v="EC-A101000400" u="1"/>
        <s v="SH-72432-13240" u="1"/>
        <s v="H710C1467" u="1"/>
        <s v="06.207.0003" u="1"/>
        <s v="06.041.0009" u="1"/>
        <s v="06.141.0001" u="1"/>
        <s v="H710C1567" u="1"/>
        <s v="SH-70011-83101" u="1"/>
        <s v="H710C1667" u="1"/>
        <s v="SH-72080-98011" u="1"/>
        <s v="06.207.0004" u="1"/>
        <s v="06.141.0002" u="1"/>
        <s v="SH-72550-12400" u="1"/>
        <s v="H710C1767" u="1"/>
        <s v="H710C1867" u="1"/>
        <s v="EC-10001132431" u="1"/>
        <s v="EC-102922452" u="1"/>
        <s v="H710C1967" u="1"/>
        <s v="SH-70064-75190" u="1"/>
        <s v="SH-28820-07340" u="1"/>
        <s v="06.141.0004" u="1"/>
        <s v="SH-20021-96601" u="1"/>
        <s v="06.119.0010" u="1"/>
        <s v="06.141.0005" u="1"/>
        <s v="SH-021" u="1"/>
        <s v="06.119.0011" u="1"/>
        <s v="SV100F" u="1"/>
        <s v="06.141.0006" u="1"/>
        <s v="SH-70140-81710" u="1"/>
        <s v="SH-99909-306" u="1"/>
        <s v="06.094.0090" u="1"/>
        <s v="06.119.0012" u="1"/>
        <s v="06.141.0007" u="1"/>
        <s v="SH-22015-13241" u="1"/>
        <s v="SH-22045-14101" u="1"/>
        <s v="06.119.0013" u="1"/>
        <s v="06.141.0008" u="1"/>
        <s v="SH-20000-81441" u="1"/>
        <s v="06.094.0092" u="1"/>
        <s v="EC-P021031570" u="1"/>
        <s v="06.141.0009" u="1"/>
        <s v="06.094.0093" u="1"/>
        <s v="OT-015" u="1"/>
        <s v="06.094.0094" u="1"/>
        <s v="SH-22169-33100" u="1"/>
        <s v="06.094.0095" u="1"/>
        <s v="01.007.0010" u="1"/>
        <s v="03.004.0020" u="1"/>
        <s v="05.003.0020" u="1"/>
        <s v="06.094.0096" u="1"/>
        <s v="01.007.0011" u="1"/>
        <s v="01.009.0001" u="1"/>
        <s v="03.004.0021" u="1"/>
        <s v="03.008.0001" u="1"/>
        <s v="05.003.0021" u="1"/>
        <s v="06.094.0097" u="1"/>
        <s v="01.007.0012" u="1"/>
        <s v="01.009.0002" u="1"/>
        <s v="03.004.0022" u="1"/>
        <s v="03.008.0002" u="1"/>
        <s v="05.003.0022" u="1"/>
        <s v="H710C1077" u="1"/>
        <s v="06.094.0098" u="1"/>
        <s v="01.007.0013" u="1"/>
        <s v="01.009.0003" u="1"/>
        <s v="03.004.0023" u="1"/>
        <s v="03.008.0003" u="1"/>
        <s v="06.055.0008" u="1"/>
        <s v="H710C1177" u="1"/>
        <s v="CR-DP4*" u="1"/>
        <s v="H710C1277" u="1"/>
        <s v="06.094.0099" u="1"/>
        <s v="01.007.0014" u="1"/>
        <s v="01.009.0004" u="1"/>
        <s v="03.004.0024" u="1"/>
        <s v="03.008.0004" u="1"/>
        <s v="06.055.0009" u="1"/>
        <s v="H710C1377" u="1"/>
        <s v="EC-P021027030" u="1"/>
        <s v="SH-72051-98011" u="1"/>
        <s v="H710C1477" u="1"/>
        <s v="EC-P021012600" u="1"/>
        <s v="01.007.0015" u="1"/>
        <s v="03.004.0025" u="1"/>
        <s v="03.006.0015" u="1"/>
        <s v="03.008.0005" u="1"/>
        <s v="SH-22169-21501" u="1"/>
        <s v="H710C1577" u="1"/>
        <s v="H710C1677" u="1"/>
        <s v="EC-P022007131" u="1"/>
        <s v="SH-72481-14200" u="1"/>
        <s v="H953A000" u="1"/>
        <s v="CR-DPFSR." u="1"/>
        <s v="01.007.0016" u="1"/>
        <s v="01.009.0006" u="1"/>
        <s v="03.004.0026" u="1"/>
        <s v="03.006.0016" u="1"/>
        <s v="03.008.0006" u="1"/>
        <s v="H710C1777" u="1"/>
        <s v="H710C1877" u="1"/>
        <s v="01.007.0017" u="1"/>
        <s v="01.009.0007" u="1"/>
        <s v="03.004.0027" u="1"/>
        <s v="03.008.0007" u="1"/>
        <s v="H710C1977" u="1"/>
        <s v="13.002.0040" u="1"/>
        <s v="01.007.0018" u="1"/>
        <s v="01.009.0008" u="1"/>
        <s v="03.004.0028" u="1"/>
        <s v="03.006.0018" u="1"/>
        <s v="03.008.0008" u="1"/>
        <s v="13.002.0041" u="1"/>
        <s v="EC-63019-63170" u="1"/>
        <s v="01.007.0019" u="1"/>
        <s v="03.008.0009" u="1"/>
        <s v="SH-22017-12410" u="1"/>
        <s v="06.061.0040" u="1"/>
        <s v="13.002.0043" u="1"/>
        <s v="OT-478" u="1"/>
        <s v="H710C900" u="1"/>
        <s v="06.061.0041" u="1"/>
        <s v="06.069.0001" u="1"/>
        <s v="EC-P003000250" u="1"/>
        <s v="H710C910" u="1"/>
        <s v="13.002.0044" u="1"/>
        <s v="H710C920" u="1"/>
        <s v="06.069.0002" u="1"/>
        <s v="H710C930" u="1"/>
        <s v="13.002.0045" u="1"/>
        <s v="H710C940" u="1"/>
        <s v="06.069.0003" u="1"/>
        <s v="H710C950" u="1"/>
        <s v="H710C960" u="1"/>
        <s v="06.069.0004" u="1"/>
        <s v="H710C970" u="1"/>
        <s v="H710C980" u="1"/>
        <s v="01.013.0050" u="1"/>
        <s v="01.017.0030" u="1"/>
        <s v="01.019.0020" u="1"/>
        <s v="03.014.0040" u="1"/>
        <s v="06.069.0005" u="1"/>
        <s v="H710C990" u="1"/>
        <s v="01.013.0051" u="1"/>
        <s v="01.017.0031" u="1"/>
        <s v="03.014.0041" u="1"/>
        <s v="EC-A101000010" u="1"/>
        <s v="13.002.0049" u="1"/>
        <s v="01.013.0052" u="1"/>
        <s v="01.017.0032" u="1"/>
        <s v="03.014.0042" u="1"/>
        <s v="03.018.0022" u="1"/>
        <s v="SH-20024-81790" u="1"/>
        <s v="JF-274" u="1"/>
        <s v="SH-CAB.- BUJIA" u="1"/>
        <s v="01.013.0053" u="1"/>
        <s v="01.017.0033" u="1"/>
        <s v="03.014.0043" u="1"/>
        <s v="H710C1087" u="1"/>
        <s v="CR-013" u="1"/>
        <s v="H611A100" u="1"/>
        <s v="01.013.0054" u="1"/>
        <s v="01.017.0034" u="1"/>
        <s v="01.019.0024" u="1"/>
        <s v="03.014.0044" u="1"/>
        <s v="06.169.0001" u="1"/>
        <s v="H710C1187" u="1"/>
        <s v="H621A100" u="1"/>
        <s v="H631A100" u="1"/>
        <s v="H710C1287" u="1"/>
        <s v="H641A100" u="1"/>
        <s v="01.013.0055" u="1"/>
        <s v="01.017.0035" u="1"/>
        <s v="03.014.0045" u="1"/>
        <s v="H710C1387" u="1"/>
        <s v="SH-70200-71610" u="1"/>
        <s v="H710C1487" u="1"/>
        <s v="SH-88198-S" u="1"/>
        <s v="01.013.0056" u="1"/>
        <s v="01.017.0036" u="1"/>
        <s v="01.019.0026" u="1"/>
        <s v="03.014.0046" u="1"/>
        <s v="06.169.0003" u="1"/>
        <s v="H710C1587" u="1"/>
        <s v="H710C2002" u="1"/>
        <s v="JF-011" u="1"/>
        <s v="H710C1687" u="1"/>
        <s v="H710C2102" u="1"/>
        <s v="01.013.0057" u="1"/>
        <s v="01.017.0037" u="1"/>
        <s v="01.019.0027" u="1"/>
        <s v="03.014.0047" u="1"/>
        <s v="06.169.0004" u="1"/>
        <s v="H710C1787" u="1"/>
        <s v="H710C1887" u="1"/>
        <s v="01.013.0058" u="1"/>
        <s v="01.019.0028" u="1"/>
        <s v="03.014.0048" u="1"/>
        <s v="06.169.0005" u="1"/>
        <s v="H710C1987" u="1"/>
        <s v="01.013.0059" u="1"/>
        <s v="01.019.0029" u="1"/>
        <s v="03.014.0049" u="1"/>
        <s v="06.169.0006" u="1"/>
        <s v="SH-70102-81710" u="1"/>
        <s v="06.077.0030" u="1"/>
        <s v="06.169.0007" u="1"/>
        <s v="06.077.0031" u="1"/>
        <s v="06.169.0008" u="1"/>
        <s v="SH-99909-307" u="1"/>
        <s v="ZM-067" u="1"/>
        <s v="EC-13211544330" u="1"/>
        <s v="H710C901" u="1"/>
        <s v="06.169.0009" u="1"/>
        <s v="H710C911" u="1"/>
        <s v="H710C921" u="1"/>
        <s v="H652A100" u="1"/>
        <s v="H710C931" u="1"/>
        <s v="H710C941" u="1"/>
        <s v="H710C951" u="1"/>
        <s v="H710C961" u="1"/>
        <s v="01.025.0060" u="1"/>
        <s v="04.001.0030" u="1"/>
        <s v="04.003.0020" u="1"/>
        <s v="04.005.0010" u="1"/>
        <s v="06.004.0010" u="1"/>
        <s v="H710C971" u="1"/>
        <s v="H710C981" u="1"/>
        <s v="01.025.0061" u="1"/>
        <s v="04.001.0031" u="1"/>
        <s v="04.003.0021" u="1"/>
        <s v="04.005.0011" u="1"/>
        <s v="04.007.0001" u="1"/>
        <s v="06.004.0011" u="1"/>
        <s v="06.006.0001" u="1"/>
        <s v="H710C991" u="1"/>
        <s v="01.025.0062" u="1"/>
        <s v="04.001.0032" u="1"/>
        <s v="04.003.0022" u="1"/>
        <s v="04.005.0012" u="1"/>
        <s v="04.007.0002" u="1"/>
        <s v="06.004.0012" u="1"/>
        <s v="06.006.0002" u="1"/>
        <s v="JF-288" u="1"/>
        <s v="SH-70140-51102" u="1"/>
        <s v="01.025.0063" u="1"/>
        <s v="04.003.0023" u="1"/>
        <s v="04.005.0013" u="1"/>
        <s v="06.004.0013" u="1"/>
        <s v="06.006.0003" u="1"/>
        <s v="CR-027" u="1"/>
        <s v="01.025.0064" u="1"/>
        <s v="04.005.0014" u="1"/>
        <s v="06.004.0014" u="1"/>
        <s v="06.006.0004" u="1"/>
        <s v="89706" u="1"/>
        <s v="H710C1097" u="1"/>
        <s v="EC-V103001200" u="1"/>
        <s v="SH-22150-12180" u="1"/>
        <s v="EC-A130000870" u="1"/>
        <s v="01.025.0065" u="1"/>
        <s v="H710C1197" u="1"/>
        <s v="04.003.0025" u="1"/>
        <s v="04.007.0005" u="1"/>
        <s v="06.004.0015" u="1"/>
        <s v="06.006.0005" u="1"/>
        <s v="H710C1297" u="1"/>
        <s v="COR-001" u="1"/>
        <s v="H710C1397" u="1"/>
        <s v="04.007.0006" u="1"/>
        <s v="06.004.0016" u="1"/>
        <s v="06.006.0006" u="1"/>
        <s v="EC-P021027040" u="1"/>
        <s v="COR-002" u="1"/>
        <s v="JF-025" u="1"/>
        <s v="H710C1497" u="1"/>
        <s v="EC-P022007041" u="1"/>
        <s v="01.025.0067" u="1"/>
        <s v="H710C1597" u="1"/>
        <s v="H710C2012" u="1"/>
        <s v="04.003.0027" u="1"/>
        <s v="04.005.0017" u="1"/>
        <s v="06.004.0017" u="1"/>
        <s v="H710C1697" u="1"/>
        <s v="H710C2112" u="1"/>
        <s v="01.025.0068" u="1"/>
        <s v="EC-DM6110" u="1"/>
        <s v="H710C1797" u="1"/>
        <s v="04.003.0028" u="1"/>
        <s v="04.005.0018" u="1"/>
        <s v="04.007.0008" u="1"/>
        <s v="06.004.0018" u="1"/>
        <s v="06.006.0008" u="1"/>
        <s v="EC-V104001500" u="1"/>
        <s v="SH-64112-66000" u="1"/>
        <s v="H710C1897" u="1"/>
        <s v="01.025.0069" u="1"/>
        <s v="H710C1997" u="1"/>
        <s v="04.003.0029" u="1"/>
        <s v="04.005.0019" u="1"/>
        <s v="04.007.0009" u="1"/>
        <s v="06.004.0019" u="1"/>
        <s v="06.006.0009" u="1"/>
        <s v="06.106.0001" u="1"/>
        <s v="93MB2313L15-08" u="1"/>
        <s v="OT-701" u="1"/>
        <s v="06.106.0002" u="1"/>
        <s v="H700A000" u="1"/>
        <s v="06.106.0003" u="1"/>
        <s v="06.040.0001" u="1"/>
        <s v="06.106.0004" u="1"/>
        <s v="06.040.0002" u="1"/>
        <s v="H710C902" u="1"/>
        <s v="06.106.0005" u="1"/>
        <s v="H710C912" u="1"/>
        <s v="SH-22150-71120" u="1"/>
        <s v="H710C922" u="1"/>
        <s v="CR-061" u="1"/>
        <s v="06.106.0006" u="1"/>
        <s v="06.040.0004" u="1"/>
        <s v="H710C932" u="1"/>
        <s v="JF-125" u="1"/>
        <s v="H710C942" u="1"/>
        <s v="01.019.0160" u="1"/>
        <s v="EC-V652000190" u="1"/>
        <s v="06.018.0010" u="1"/>
        <s v="06.106.0007" u="1"/>
        <s v="06.040.0005" u="1"/>
        <s v="H710C952" u="1"/>
        <s v="H710C962" u="1"/>
        <s v="01.019.0161" u="1"/>
        <s v="06.018.0011" u="1"/>
        <s v="06.106.0008" u="1"/>
        <s v="SH-20140-12221" u="1"/>
        <s v="06.040.0006" u="1"/>
        <s v="H710C972" u="1"/>
        <s v="EC-12533708260" u="1"/>
        <s v="H710C982" u="1"/>
        <s v="EC-70602035911" u="1"/>
        <s v="01.019.0162" u="1"/>
        <s v="06.018.0012" u="1"/>
        <s v="06.106.0009" u="1"/>
        <s v="06.206.0001" u="1"/>
        <s v="EC-10001142230" u="1"/>
        <s v="SH-20011-85401" u="1"/>
        <s v="H710C992" u="1"/>
        <s v="OR-65789" u="1"/>
        <s v="SH-72330-98010" u="1"/>
        <s v="SH-22169-51170" u="1"/>
        <s v="01.019.0163" u="1"/>
        <s v="06.206.0002" u="1"/>
        <s v="EC-10001143230" u="1"/>
        <s v="06.040.0008" u="1"/>
        <s v="SH-22155-97620" u="1"/>
        <s v="01.019.0164" u="1"/>
        <s v="H511A100" u="1"/>
        <s v="06.040.0009" u="1"/>
        <s v="06.140.0001" u="1"/>
        <s v="SH-99909-160" u="1"/>
        <s v="EC-V651000690" u="1"/>
        <s v="01.019.0165" u="1"/>
        <s v="01.019.0166" u="1"/>
        <s v="JF-039" u="1"/>
        <s v="01.019.0167" u="1"/>
        <s v="06.140.0004" u="1"/>
        <s v="01.019.0168" u="1"/>
        <s v="H710C2022" u="1"/>
        <s v="EC-A101000520" u="1"/>
        <s v="06.140.0005" u="1"/>
        <s v="EC-P021030550" u="1"/>
        <s v="H710C2122" u="1"/>
        <s v="01.019.0169" u="1"/>
        <s v="SH-20000-72241" u="1"/>
        <s v="06.050.0020" u="1"/>
        <s v="06.140.0007" u="1"/>
        <s v="06.050.0021" u="1"/>
        <s v="06.140.0008" u="1"/>
        <s v="110207181356778" u="1"/>
        <s v="EC-SP20HPS" u="1"/>
        <s v="SH-70043-85201" u="1"/>
        <s v="EC-P021000803" u="1"/>
        <s v="H512A100" u="1"/>
        <s v="06.050.0022" u="1"/>
        <s v="06.140.0009" u="1"/>
        <s v="H224B700" u="1"/>
        <s v="06.050.0023" u="1"/>
        <s v="SH-22015-14301" u="1"/>
        <s v="SH-22411-14500" u="1"/>
        <s v="EC-V475004810" u="1"/>
        <s v="EC-13031013410" u="1"/>
        <s v="EC-V505000080" u="1"/>
        <s v="H710C903" u="1"/>
        <s v="06.050.0024" u="1"/>
        <s v="H710C913" u="1"/>
        <s v="H710C923" u="1"/>
        <s v="04.005.0150" u="1"/>
        <s v="03.001.0030" u="1"/>
        <s v="05.004.0010" u="1"/>
        <s v="EC-V508000080" u="1"/>
        <s v="H710C933" u="1"/>
        <s v="H710C943" u="1"/>
        <s v="04.005.0151" u="1"/>
        <s v="03.001.0031" u="1"/>
        <s v="03.003.0021" u="1"/>
        <s v="03.007.0001" u="1"/>
        <s v="05.004.0011" u="1"/>
        <s v="06.050.0026" u="1"/>
        <s v="H710C953" u="1"/>
        <s v="H710C963" u="1"/>
        <s v="04.005.0152" u="1"/>
        <s v="SH-4073281" u="1"/>
        <s v="01.006.0012" u="1"/>
        <s v="03.001.0032" u="1"/>
        <s v="03.003.0022" u="1"/>
        <s v="03.007.0002" u="1"/>
        <s v="H710C973" u="1"/>
        <s v="H710C983" u="1"/>
        <s v="SH-20010-81781" u="1"/>
        <s v="04.005.0153" u="1"/>
        <s v="01.006.0013" u="1"/>
        <s v="03.001.0033" u="1"/>
        <s v="03.003.0023" u="1"/>
        <s v="03.007.0003" u="1"/>
        <s v="06.150.0020" u="1"/>
        <s v="H710C993" u="1"/>
        <s v="EC-20087-31211" u="1"/>
        <s v="04.005.0154" u="1"/>
        <s v="01.006.0014" u="1"/>
        <s v="03.001.0034" u="1"/>
        <s v="03.003.0024" u="1"/>
        <s v="03.007.0004" u="1"/>
        <s v="06.152.0011" u="1"/>
        <s v="10101R" u="1"/>
        <s v="EC-V103001010" u="1"/>
        <s v="04.005.0155" u="1"/>
        <s v="03.001.0035" u="1"/>
        <s v="03.007.0005" u="1"/>
        <s v="06.152.0012" u="1"/>
        <s v="SH-20060-81781" u="1"/>
        <s v="20828" u="1"/>
        <s v="04.005.0156" u="1"/>
        <s v="03.001.0036" u="1"/>
        <s v="EC-17800147530" u="1"/>
        <s v="03.001.0037" u="1"/>
        <s v="03.007.0007" u="1"/>
        <s v="04.005.0158" u="1"/>
        <s v="SH-20021-51102" u="1"/>
        <s v="03.001.0038" u="1"/>
        <s v="03.007.0008" u="1"/>
        <s v="06.152.0015" u="1"/>
        <s v="H224F100" u="1"/>
        <s v="EC-P021012620" u="1"/>
        <s v="SH-72447-13240" u="1"/>
        <s v="H710C2032" u="1"/>
        <s v="04.005.0159" u="1"/>
        <s v="SH-22175-82320" u="1"/>
        <s v="01.006.0019" u="1"/>
        <s v="03.001.0039" u="1"/>
        <s v="SH-20016-31212" u="1"/>
        <s v="EC-17722135631" u="1"/>
        <s v="EC-P022007151" u="1"/>
        <s v="SH-01014-06100" u="1"/>
        <s v="01.040.0010" u="1"/>
        <s v="H710C800" u="1"/>
        <s v="SH-20010-71650" u="1"/>
        <s v="06.068.0001" u="1"/>
        <s v="H710C810" u="1"/>
        <s v="EC-P021012920" u="1"/>
        <s v="H710C820" u="1"/>
        <s v="06.068.0002" u="1"/>
        <s v="06.152.0019" u="1"/>
        <s v="01.040.0012" u="1"/>
        <s v="H710C830" u="1"/>
        <s v="SH-20010-12121" u="1"/>
        <s v="H710C840" u="1"/>
        <s v="06.068.0003" u="1"/>
        <s v="01.040.0013" u="1"/>
        <s v="H710C850" u="1"/>
        <s v="CR-089" u="1"/>
        <s v="H710C860" u="1"/>
        <s v="06.068.0004" u="1"/>
        <s v="01.040.0014" u="1"/>
        <s v="01.042.0004" u="1"/>
        <s v="H710C870" u="1"/>
        <s v="H710C904" u="1"/>
        <s v="H710C880" u="1"/>
        <s v="01.016.0030" u="1"/>
        <s v="01.018.0020" u="1"/>
        <s v="03.013.0040" u="1"/>
        <s v="06.068.0005" u="1"/>
        <s v="H710C914" u="1"/>
        <s v="01.040.0015" u="1"/>
        <s v="01.042.0005" u="1"/>
        <s v="H710C890" u="1"/>
        <s v="H710C924" u="1"/>
        <s v="01.016.0031" u="1"/>
        <s v="01.018.0021" u="1"/>
        <s v="03.013.0041" u="1"/>
        <s v="06.068.0006" u="1"/>
        <s v="EC-43021330833" u="1"/>
        <s v="H710C934" u="1"/>
        <s v="01.040.0016" u="1"/>
        <s v="01.042.0006" u="1"/>
        <s v="JF-087" u="1"/>
        <s v="H710C944" u="1"/>
        <s v="SH-22160-72220" u="1"/>
        <s v="01.016.0032" u="1"/>
        <s v="01.018.0022" u="1"/>
        <s v="03.013.0042" u="1"/>
        <s v="06.068.0007" u="1"/>
        <s v="H710C954" u="1"/>
        <s v="01.040.0017" u="1"/>
        <s v="01.042.0007" u="1"/>
        <s v="SH-70168-85201" u="1"/>
        <s v="JF-273" u="1"/>
        <s v="SH-22169-51130" u="1"/>
        <s v="H710C964" u="1"/>
        <s v="01.016.0033" u="1"/>
        <s v="01.018.0023" u="1"/>
        <s v="06.166.0010" u="1"/>
        <s v="H710C974" u="1"/>
        <s v="01.040.0018" u="1"/>
        <s v="H710C984" u="1"/>
        <s v="CR-012" u="1"/>
        <s v="01.016.0034" u="1"/>
        <s v="01.018.0024" u="1"/>
        <s v="06.166.0011" u="1"/>
        <s v="06.168.0001" u="1"/>
        <s v="H710C994" u="1"/>
        <s v="01.040.0019" u="1"/>
        <s v="CRE-125" u="1"/>
        <s v="SH-67000-41230" u="1"/>
        <s v="H251A200" u="1"/>
        <s v="H651A000" u="1"/>
        <s v="01.016.0035" u="1"/>
        <s v="01.018.0025" u="1"/>
        <s v="03.017.0025" u="1"/>
        <s v="06.166.0012" u="1"/>
        <s v="H261A200" u="1"/>
        <s v="CRE-127" u="1"/>
        <s v="H671A000" u="1"/>
        <s v="H681A000" u="1"/>
        <s v="01.016.0036" u="1"/>
        <s v="01.018.0026" u="1"/>
        <s v="06.166.0013" u="1"/>
        <s v="H710C1002" u="1"/>
        <s v="JF-010" u="1"/>
        <s v="SH-22169-55130" u="1"/>
        <s v="H710C1102" u="1"/>
        <s v="01.016.0037" u="1"/>
        <s v="01.018.0027" u="1"/>
        <s v="H710C1202" u="1"/>
        <s v="EC-P021028790" u="1"/>
        <s v="H710C1302" u="1"/>
        <s v="EC-A101000330" u="1"/>
        <s v="01.016.0038" u="1"/>
        <s v="01.018.0028" u="1"/>
        <s v="EC-P021030360" u="1"/>
        <s v="SH-22100-41230" u="1"/>
        <s v="H710C1402" u="1"/>
        <s v="H710C1502" u="1"/>
        <s v="01.016.0039" u="1"/>
        <s v="01.018.0029" u="1"/>
        <s v="06.166.0016" u="1"/>
        <s v="H710C1602" u="1"/>
        <s v="H710C1702" u="1"/>
        <s v="H710C2042" u="1"/>
        <s v="06.166.0017" u="1"/>
        <s v="H710C1802" u="1"/>
        <s v="H710C1902" u="1"/>
        <s v="SH-22175-21200" u="1"/>
        <s v="ZM-066" u="1"/>
        <s v="H710C801" u="1"/>
        <s v="H710C811" u="1"/>
        <s v="EC-17504646430" u="1"/>
        <s v="EC-10101147530" u="1"/>
        <s v="H710C821" u="1"/>
        <s v="H262A200" u="1"/>
        <s v="H710C831" u="1"/>
        <s v="CR-0123" u="1"/>
        <s v="H710C841" u="1"/>
        <s v="H710C851" u="1"/>
        <s v="H710C861" u="1"/>
        <s v="03.023.0060" u="1"/>
        <s v="02.001.0030" u="1"/>
        <s v="H710C871" u="1"/>
        <s v="H710C905" u="1"/>
        <s v="H710C881" u="1"/>
        <s v="03.023.0061" u="1"/>
        <s v="H710C915" u="1"/>
        <s v="02.001.0031" u="1"/>
        <s v="04.006.0001" u="1"/>
        <s v="H710C891" u="1"/>
        <s v="H710C925" u="1"/>
        <s v="03.023.0062" u="1"/>
        <s v="SH-A504000060" u="1"/>
        <s v="H710C935" u="1"/>
        <s v="02.001.0032" u="1"/>
        <s v="04.006.0002" u="1"/>
        <s v="JF-287" u="1"/>
        <s v="H710C945" u="1"/>
        <s v="03.023.0063" u="1"/>
        <s v="H710C955" u="1"/>
        <s v="02.001.0033" u="1"/>
        <s v="04.006.0003" u="1"/>
        <s v="EC-10001139731" u="1"/>
        <s v="H710C965" u="1"/>
        <s v="10.030.0001" u="1"/>
        <s v="CR-026" u="1"/>
        <s v="SH-68501-98010" u="1"/>
        <s v="03.023.0064" u="1"/>
        <s v="H710C975" u="1"/>
        <s v="02.001.0034" u="1"/>
        <s v="H710C985" u="1"/>
        <s v="10.030.0002" u="1"/>
        <s v="03.023.0065" u="1"/>
        <s v="H710C995" u="1"/>
        <s v="02.001.0035" u="1"/>
        <s v="06.094.0110" u="1"/>
        <s v="CRE-267" u="1"/>
        <s v="03.023.0066" u="1"/>
        <s v="02.001.0036" u="1"/>
        <s v="04.006.0006" u="1"/>
        <s v="06.094.0111" u="1"/>
        <s v="EC-13000739930" u="1"/>
        <s v="JF-024" u="1"/>
        <s v="03.023.0067" u="1"/>
        <s v="H710C1012" u="1"/>
        <s v="02.001.0037" u="1"/>
        <s v="04.006.0007" u="1"/>
        <s v="06.094.0112" u="1"/>
        <s v="SH-22169-35400" u="1"/>
        <s v="H710C1112" u="1"/>
        <s v="10.008.0010" u="1"/>
        <s v="03.023.0068" u="1"/>
        <s v="H710C1212" u="1"/>
        <s v="02.001.0038" u="1"/>
        <s v="04.006.0008" u="1"/>
        <s v="06.094.0113" u="1"/>
        <s v="H710C1312" u="1"/>
        <s v="EC-A232000710" u="1"/>
        <s v="EC-13211555930" u="1"/>
        <s v="03.023.0069" u="1"/>
        <s v="H710C1412" u="1"/>
        <s v="02.001.0039" u="1"/>
        <s v="04.006.0009" u="1"/>
        <s v="06.094.0114" u="1"/>
        <s v="H710C1512" u="1"/>
        <s v="06.088.0040" u="1"/>
        <s v="H710C1612" u="1"/>
        <s v="06.094.0115" u="1"/>
        <s v="06.105.0002" u="1"/>
        <s v="H710C1712" u="1"/>
        <s v="H710C2052" u="1"/>
        <s v="06.088.0041" u="1"/>
        <s v="H710C1812" u="1"/>
        <s v="06.094.0116" u="1"/>
        <s v="06.105.0003" u="1"/>
        <s v="SH-72481-98310" u="1"/>
        <s v="H710C1912" u="1"/>
        <s v="CR-126" u="1"/>
        <s v="06.088.0042" u="1"/>
        <s v="06.094.0117" u="1"/>
        <s v="06.105.0004" u="1"/>
        <s v="EC-P021012830" u="1"/>
        <s v="SH-70210-32111" u="1"/>
        <s v="H710C802" u="1"/>
        <s v="06.088.0043" u="1"/>
        <s v="SH-63019-12102" u="1"/>
        <s v="06.094.0118" u="1"/>
        <s v="06.105.0005" u="1"/>
        <s v="H710C812" u="1"/>
        <s v="H634A000" u="1"/>
        <s v="H710C822" u="1"/>
        <s v="CR-060" u="1"/>
        <s v="06.088.0044" u="1"/>
        <s v="SH-72550-14531" u="1"/>
        <s v="06.094.0119" u="1"/>
        <s v="06.105.0006" u="1"/>
        <s v="H710C832" u="1"/>
        <s v="H710C842" u="1"/>
        <s v="06.088.0045" u="1"/>
        <s v="06.105.0007" u="1"/>
        <s v="H710C852" u="1"/>
        <s v="H710C862" u="1"/>
        <s v="SH-22102-72220" u="1"/>
        <s v="06.088.0046" u="1"/>
        <s v="06.019.0001" u="1"/>
        <s v="06.105.0008" u="1"/>
        <s v="EC-61020643130" u="1"/>
        <s v="H710C872" u="1"/>
        <s v="H710C906" u="1"/>
        <s v="H710C882" u="1"/>
        <s v="H710C916" u="1"/>
        <s v="06.019.0002" u="1"/>
        <s v="06.205.0001" u="1"/>
        <s v="H710C892" u="1"/>
        <s v="H710C926" u="1"/>
        <s v="06.088.0048" u="1"/>
        <s v="SH-63840-61011" u="1"/>
        <s v="H710C936" u="1"/>
        <s v="06.019.0003" u="1"/>
        <s v="SH-70131-81180" u="1"/>
        <s v="H710C946" u="1"/>
        <s v="06.088.0049" u="1"/>
        <s v="H311A100" u="1"/>
        <s v="H710C956" u="1"/>
        <s v="06.019.0004" u="1"/>
        <s v="SH-60035-98040" u="1"/>
        <s v="H321A100" u="1"/>
        <s v="H521A000" u="1"/>
        <s v="H331A100" u="1"/>
        <s v="H710C966" u="1"/>
        <s v="H341A100" u="1"/>
        <s v="EC-61043450031" u="1"/>
        <s v="EC-90016205057" u="1"/>
        <s v="H351A100" u="1"/>
        <s v="H710C976" u="1"/>
        <s v="06.019.0005" u="1"/>
        <s v="H361A100" u="1"/>
        <s v="SH-20018-81750" u="1"/>
        <s v="H371A100" u="1"/>
        <s v="H710C986" u="1"/>
        <s v="H381A100" u="1"/>
        <s v="H710C996" u="1"/>
        <s v="SH-72334-98010" u="1"/>
        <s v="JF-038" u="1"/>
        <s v="PR-002" u="1"/>
        <s v="H635A000" u="1"/>
        <s v="CR-160" u="1"/>
        <s v="SH-70030-31120" u="1"/>
        <s v="H710C1022" u="1"/>
        <s v="EC-P004000880" u="1"/>
        <s v="H710C1122" u="1"/>
        <s v="H710C1222" u="1"/>
        <s v="06.119.0001" u="1"/>
        <s v="H710C1322" u="1"/>
        <s v="EC-A393000050" u="1"/>
        <s v="EC-10001146430" u="1"/>
        <s v="06.094.0080" u="1"/>
        <s v="H710C1422" u="1"/>
        <s v="06.119.0002" u="1"/>
        <s v="SH-70064-75310" u="1"/>
        <s v="H710C1522" u="1"/>
        <s v="06.094.0081" u="1"/>
        <s v="H710C1622" u="1"/>
        <s v="06.119.0003" u="1"/>
        <s v="EC-10001130831" u="1"/>
        <s v="H710C1722" u="1"/>
        <s v="SH-4048451" u="1"/>
        <s v="H710C2062" u="1"/>
        <s v="06.094.0082" u="1"/>
        <s v="EC-P021030570" u="1"/>
        <s v="H710C1822" u="1"/>
        <s v="H522A000" u="1"/>
        <s v="OR-238337" u="1"/>
        <s v="H710C1922" u="1"/>
        <s v="06.094.0083" u="1"/>
        <s v="H710C803" u="1"/>
        <s v="06.094.0084" u="1"/>
        <s v="SH-22015-11501" u="1"/>
        <s v="H710C813" u="1"/>
        <s v="H636A000" u="1"/>
        <s v="EC-CS 3000-30EU" u="1"/>
        <s v="H710C823" u="1"/>
        <s v="06.029.0020" u="1"/>
        <s v="06.119.0007" u="1"/>
        <s v="05.003.0010" u="1"/>
        <s v="H710C833" u="1"/>
        <s v="SH-20011-12221" u="1"/>
        <s v="H710C843" u="1"/>
        <s v="06.094.0086" u="1"/>
        <s v="06.029.0021" u="1"/>
        <s v="06.119.0008" u="1"/>
        <s v="01.007.0001" u="1"/>
        <s v="03.006.0001" u="1"/>
        <s v="05.003.0011" u="1"/>
        <s v="H710C853" u="1"/>
        <s v="H710C863" u="1"/>
        <s v="06.094.0087" u="1"/>
        <s v="06.029.0022" u="1"/>
        <s v="06.119.0009" u="1"/>
        <s v="03.002.0022" u="1"/>
        <s v="03.006.0002" u="1"/>
        <s v="05.003.0012" u="1"/>
        <s v="H710C873" u="1"/>
        <s v="SH-GP450INTL" u="1"/>
        <s v="H710C907" u="1"/>
        <s v="H710C883" u="1"/>
        <s v="H710C917" u="1"/>
        <s v="01.007.0003" u="1"/>
        <s v="03.006.0003" u="1"/>
        <s v="05.003.0013" u="1"/>
        <s v="H710C893" u="1"/>
        <s v="CR-DP2*" u="1"/>
        <s v="H710C927" u="1"/>
        <s v="06.094.0089" u="1"/>
        <s v="H710C937" u="1"/>
        <s v="01.007.0004" u="1"/>
        <s v="05.003.0014" u="1"/>
        <s v="06.153.0001" u="1"/>
        <s v="H710C947" u="1"/>
        <s v="H710C957" u="1"/>
        <s v="01.007.0005" u="1"/>
        <s v="05.003.0015" u="1"/>
        <s v="H523A000" u="1"/>
        <s v="EC-A225000400" u="1"/>
        <s v="H710C967" u="1"/>
        <s v="H710C977" u="1"/>
        <s v="01.007.0006" u="1"/>
        <s v="05.003.0016" u="1"/>
        <s v="EC-A225000500" u="1"/>
        <s v="H710C987" u="1"/>
        <s v="OT-113" u="1"/>
        <s v="H710C997" u="1"/>
        <s v="EC-A235000220" u="1"/>
        <s v="01.007.0007" u="1"/>
        <s v="05.003.0017" u="1"/>
        <s v="13.002.0030" u="1"/>
        <s v="EC-A226000600" u="1"/>
        <s v="SH-62035-81360" u="1"/>
        <s v="SH-20021-81180" u="1"/>
        <s v="01.007.0008" u="1"/>
        <s v="03.004.0018" u="1"/>
        <s v="05.003.0018" u="1"/>
        <s v="H224F000" u="1"/>
        <s v="EC-V103001030" u="1"/>
        <s v="13.002.0031" u="1"/>
        <s v="H710C1032" u="1"/>
        <s v="01.007.0009" u="1"/>
        <s v="03.004.0019" u="1"/>
        <s v="05.003.0019" u="1"/>
        <s v="06.153.0006" u="1"/>
        <s v="H710C1132" u="1"/>
        <s v="13.002.0032" u="1"/>
        <s v="H710C1232" u="1"/>
        <s v="06.061.0030" u="1"/>
        <s v="06.153.0007" u="1"/>
        <s v="H710C1332" u="1"/>
        <s v="H710C700" u="1"/>
        <s v="H710C1432" u="1"/>
        <s v="H410A000" u="1"/>
        <s v="06.061.0031" u="1"/>
        <s v="06.067.0001" u="1"/>
        <s v="06.153.0008" u="1"/>
        <s v="H710C710" u="1"/>
        <s v="H710C1532" u="1"/>
        <s v="EC-V104001330" u="1"/>
        <s v="SH-62035-85360" u="1"/>
        <s v="H710C720" u="1"/>
        <s v="H710C1632" u="1"/>
        <s v="H450A000" u="1"/>
        <s v="06.061.0032" u="1"/>
        <s v="06.067.0002" u="1"/>
        <s v="H460A000" u="1"/>
        <s v="H710C730" u="1"/>
        <s v="H710C1732" u="1"/>
        <s v="13.002.0035" u="1"/>
        <s v="H710C2072" u="1"/>
        <s v="SH-22175-82520" u="1"/>
        <s v="H710C740" u="1"/>
        <s v="H710C1832" u="1"/>
        <s v="06.061.0033" u="1"/>
        <s v="06.067.0003" u="1"/>
        <s v="H710C750" u="1"/>
        <s v="H710C1932" u="1"/>
        <s v="CR-088" u="1"/>
        <s v="H710C760" u="1"/>
        <s v="06.061.0034" u="1"/>
        <s v="06.067.0004" u="1"/>
        <s v="H710C770" u="1"/>
        <s v="H710C804" u="1"/>
        <s v="#N/A" u="1"/>
        <s v="H710C780" u="1"/>
        <s v="01.011.0050" u="1"/>
        <s v="01.017.0020" u="1"/>
        <s v="01.019.0010" u="1"/>
        <s v="03.012.0040" u="1"/>
        <s v="03.014.0030" u="1"/>
        <s v="06.061.0035" u="1"/>
        <s v="06.067.0005" u="1"/>
        <s v="H710C814" u="1"/>
        <s v="H710C790" u="1"/>
        <s v="H710C824" u="1"/>
        <s v="01.011.0051" u="1"/>
        <s v="01.017.0021" u="1"/>
        <s v="01.019.0011" u="1"/>
        <s v="03.012.0041" u="1"/>
        <s v="03.014.0031" u="1"/>
        <s v="06.061.0036" u="1"/>
        <s v="06.067.0006" u="1"/>
        <s v="BC0351" u="1"/>
        <s v="AI74CML6" u="1"/>
        <s v="H710C834" u="1"/>
        <s v="JF-086" u="1"/>
        <s v="13.002.0039" u="1"/>
        <s v="H710C844" u="1"/>
        <s v="01.011.0052" u="1"/>
        <s v="01.017.0022" u="1"/>
        <s v="01.019.0012" u="1"/>
        <s v="03.012.0042" u="1"/>
        <s v="03.014.0032" u="1"/>
        <s v="03.018.0012" u="1"/>
        <s v="06.061.0037" u="1"/>
        <s v="06.067.0007" u="1"/>
        <s v="H710C854" u="1"/>
        <s v="SH-70210-15212" u="1"/>
        <s v="JF-272" u="1"/>
        <s v="H710C864" u="1"/>
        <s v="01.013.0043" u="1"/>
        <s v="01.017.0023" u="1"/>
        <s v="01.019.0013" u="1"/>
        <s v="03.012.0043" u="1"/>
        <s v="03.014.0033" u="1"/>
        <s v="06.061.0038" u="1"/>
        <s v="H710C874" u="1"/>
        <s v="H710C908" u="1"/>
        <s v="H710C884" u="1"/>
        <s v="EC-10020455430" u="1"/>
        <s v="CR-011" u="1"/>
        <s v="H710C918" u="1"/>
        <s v="01.013.0044" u="1"/>
        <s v="01.017.0024" u="1"/>
        <s v="01.019.0014" u="1"/>
        <s v="03.012.0044" u="1"/>
        <s v="03.014.0034" u="1"/>
        <s v="06.061.0039" u="1"/>
        <s v="H710C894" u="1"/>
        <s v="EC-A369000100" u="1"/>
        <s v="H710C928" u="1"/>
        <s v="SH-63840-61111" u="1"/>
        <s v="H710C938" u="1"/>
        <s v="H451A000" u="1"/>
        <s v="01.013.0045" u="1"/>
        <s v="01.017.0025" u="1"/>
        <s v="01.019.0015" u="1"/>
        <s v="03.012.0045" u="1"/>
        <s v="03.014.0035" u="1"/>
        <s v="SH-18500-90001" u="1"/>
        <s v="H461A000" u="1"/>
        <s v="H710C948" u="1"/>
        <s v="SH-20010-42002" u="1"/>
        <s v="H515A000" u="1"/>
        <s v="H710C958" u="1"/>
        <s v="01.013.0046" u="1"/>
        <s v="01.017.0026" u="1"/>
        <s v="01.019.0016" u="1"/>
        <s v="03.012.0046" u="1"/>
        <s v="03.014.0036" u="1"/>
        <s v="03.018.0016" u="1"/>
        <s v="05.019.0006" u="1"/>
        <s v="EC-13000039131" u="1"/>
        <s v="H710C968" u="1"/>
        <s v="H710C978" u="1"/>
        <s v="01.013.0047" u="1"/>
        <s v="01.017.0027" u="1"/>
        <s v="01.019.0017" u="1"/>
        <s v="03.012.0047" u="1"/>
        <s v="03.014.0037" u="1"/>
        <s v="05.019.0007" u="1"/>
        <s v="SH-20020-81140" u="1"/>
        <s v="45ST3022" u="1"/>
        <s v="H710C988" u="1"/>
        <s v="H710C998" u="1"/>
        <s v="01.013.0048" u="1"/>
        <s v="01.017.0028" u="1"/>
        <s v="01.019.0018" u="1"/>
        <s v="03.012.0048" u="1"/>
        <s v="03.014.0038" u="1"/>
        <s v="EC-12311824430" u="1"/>
        <s v="01.013.0049" u="1"/>
        <s v="01.017.0029" u="1"/>
        <s v="01.019.0019" u="1"/>
        <s v="03.014.0039" u="1"/>
        <s v="SH-20075-41111" u="1"/>
        <s v="EC-A101000150" u="1"/>
        <s v="SH-4557850" u="1"/>
        <s v="ALEN 5X16 CC" u="1"/>
        <s v="H710C1042" u="1"/>
        <s v="EC-P004000890" u="1"/>
        <s v="EC-43101530831" u="1"/>
        <s v="H710C1142" u="1"/>
        <s v="EC-22169-54103" u="1"/>
        <s v="SH-22175-12140" u="1"/>
        <s v="H710C1242" u="1"/>
        <s v="EC-A392000060" u="1"/>
        <s v="EC-V265000230" u="1"/>
        <s v="SH-99909-207" u="1"/>
        <s v="ZM-065" u="1"/>
        <s v="H710C1342" u="1"/>
        <s v="SH-63880-62391" u="1"/>
        <s v="EC-A101000350" u="1"/>
        <s v="H710C701" u="1"/>
        <s v="H710C1442" u="1"/>
        <s v="SH-20020-86140" u="1"/>
        <s v="EC-9007200012" u="1"/>
        <s v="H710C711" u="1"/>
        <s v="H710C1542" u="1"/>
        <s v="H710C721" u="1"/>
        <s v="H710C1642" u="1"/>
        <s v="H252A100" u="1"/>
        <s v="H462A000" u="1"/>
        <s v="H710C731" u="1"/>
        <s v="H710C1742" u="1"/>
        <s v="H710C2082" u="1"/>
        <s v="EC-P021010581" u="1"/>
        <s v="H710C741" u="1"/>
        <s v="H710C1842" u="1"/>
        <s v="H711G100" u="1"/>
        <s v="06.077.0024" u="1"/>
        <s v="H710C751" u="1"/>
        <s v="H710C1942" u="1"/>
        <s v="OT-227" u="1"/>
        <s v="H710C761" u="1"/>
        <s v="01.025.0050" u="1"/>
        <s v="06.077.0025" u="1"/>
        <s v="04.001.0020" u="1"/>
        <s v="04.003.0010" u="1"/>
        <s v="06.002.0010" u="1"/>
        <s v="H710C771" u="1"/>
        <s v="H710C805" u="1"/>
        <s v="H710C781" u="1"/>
        <s v="01.025.0051" u="1"/>
        <s v="06.077.0026" u="1"/>
        <s v="H710C815" u="1"/>
        <s v="04.001.0021" u="1"/>
        <s v="04.003.0011" u="1"/>
        <s v="06.002.0011" u="1"/>
        <s v="H710C791" u="1"/>
        <s v="H710C825" u="1"/>
        <s v="EC-82082" u="1"/>
        <s v="01.025.0052" u="1"/>
        <s v="H710C835" u="1"/>
        <s v="04.001.0022" u="1"/>
        <s v="04.003.0012" u="1"/>
        <s v="04.005.0002" u="1"/>
        <s v="06.002.0012" u="1"/>
        <s v="JF-286" u="1"/>
        <s v="H710C845" u="1"/>
        <s v="01.025.0053" u="1"/>
        <s v="H710C855" u="1"/>
        <s v="04.001.0023" u="1"/>
        <s v="04.003.0013" u="1"/>
        <s v="04.005.0003" u="1"/>
        <s v="06.002.0013" u="1"/>
        <s v="06.004.0003" u="1"/>
        <s v="CRE-253" u="1"/>
        <s v="H710C865" u="1"/>
        <s v="EC-SP45BPE" u="1"/>
        <s v="SH-20024-81023" u="1"/>
        <s v="CR-025" u="1"/>
        <s v="CR-PP3" u="1"/>
        <s v="01.025.0054" u="1"/>
        <s v="06.077.0029" u="1"/>
        <s v="SH-V651000540" u="1"/>
        <s v="H710C875" u="1"/>
        <s v="04.001.0024" u="1"/>
        <s v="04.003.0014" u="1"/>
        <s v="06.002.0014" u="1"/>
        <s v="06.004.0004" u="1"/>
        <s v="H710C909" u="1"/>
        <s v="H710C885" u="1"/>
        <s v="H403A000" u="1"/>
        <s v="SH-22050-12100" u="1"/>
        <s v="H710C919" u="1"/>
        <s v="H710C895" u="1"/>
        <s v="04.001.0025" u="1"/>
        <s v="04.003.0015" u="1"/>
        <s v="04.005.0005" u="1"/>
        <s v="06.002.0015" u="1"/>
        <s v="06.004.0005" u="1"/>
        <s v="H710C929" u="1"/>
        <s v="H710C939" u="1"/>
        <s v="H453A000" u="1"/>
        <s v="04.003.0016" u="1"/>
        <s v="06.002.0016" u="1"/>
        <s v="06.004.0006" u="1"/>
        <s v="H710C949" u="1"/>
        <s v="JF-023" u="1"/>
        <s v="H710C959" u="1"/>
        <s v="04.001.0027" u="1"/>
        <s v="04.003.0017" u="1"/>
        <s v="06.002.0017" u="1"/>
        <s v="06.004.0007" u="1"/>
        <s v="SH-20021-42002" u="1"/>
        <s v="H710C969" u="1"/>
        <s v="SH-20011-81140" u="1"/>
        <s v="SH-62064-81011" u="1"/>
        <s v="H710C979" u="1"/>
        <s v="04.001.0028" u="1"/>
        <s v="04.003.0018" u="1"/>
        <s v="06.004.0008" u="1"/>
        <s v="EC-61032027430" u="1"/>
        <s v="H710C989" u="1"/>
        <s v="10.009.0001" u="1"/>
        <s v="H710C999" u="1"/>
        <s v="01.025.0059" u="1"/>
        <s v="04.005.0009" u="1"/>
        <s v="06.004.0009" u="1"/>
        <s v="10.009.0002" u="1"/>
        <s v="EC-V103001040" u="1"/>
        <s v="H300A000" u="1"/>
        <s v="H710C1052" u="1"/>
        <s v="SH-22169-33740" u="1"/>
        <s v="H710C1152" u="1"/>
        <s v="EC-12313704260" u="1"/>
        <s v="CR-125" u="1"/>
        <s v="H710C1252" u="1"/>
        <s v="H710C1352" u="1"/>
        <s v="H710C702" u="1"/>
        <s v="H710C1452" u="1"/>
        <s v="H224A100" u="1"/>
        <s v="H710C712" u="1"/>
        <s v="H710C1552" u="1"/>
        <s v="H710C722" u="1"/>
        <s v="H710C1652" u="1"/>
        <s v="EC-P022007081" u="1"/>
        <s v="H710C732" u="1"/>
        <s v="H710C1752" u="1"/>
        <s v="H710C2092" u="1"/>
        <s v="SH-72030-13140" u="1"/>
        <s v="H710C742" u="1"/>
        <s v="H710C1852" u="1"/>
        <s v="01.019.0150" u="1"/>
        <s v="SH-20015-93200" u="1"/>
        <s v="SH-20024-71610" u="1"/>
        <s v="H710C752" u="1"/>
        <s v="H710C1952" u="1"/>
        <s v="EC-P021027280" u="1"/>
        <s v="H710C762" u="1"/>
        <s v="01.019.0151" u="1"/>
        <s v="06.018.0001" u="1"/>
        <s v="H710C772" u="1"/>
        <s v="H710C806" u="1"/>
        <s v="88411" u="1"/>
        <s v="H710C782" u="1"/>
        <s v="01.019.0152" u="1"/>
        <s v="H710C816" u="1"/>
        <s v="06.018.0002" u="1"/>
        <s v="06.204.0001" u="1"/>
        <s v="H710C792" u="1"/>
        <s v="SH-91032" u="1"/>
        <s v="H710C826" u="1"/>
        <s v="EC-09510" u="1"/>
        <s v="01.019.0153" u="1"/>
        <s v="H710C836" u="1"/>
        <s v="06.018.0003" u="1"/>
        <s v="06.204.0002" u="1"/>
        <s v="H710C846" u="1"/>
        <s v="CR-039" u="1"/>
        <s v="H301A000" u="1"/>
        <s v="01.019.0154" u="1"/>
        <s v="SH-62035-32331" u="1"/>
        <s v="H710C856" u="1"/>
        <s v="06.018.0004" u="1"/>
        <s v="06.204.0003" u="1"/>
        <s v="SH-22021-12100" u="1"/>
        <s v="H710C866" u="1"/>
        <s v="01.019.0155" u="1"/>
        <s v="H710C876" u="1"/>
        <s v="06.018.0005" u="1"/>
        <s v="06.204.0004" u="1"/>
        <s v="H161A100" u="1"/>
        <s v="H710C886" u="1"/>
        <s v="01.019.0156" u="1"/>
        <s v="H391A000" u="1"/>
        <s v="H710C896" u="1"/>
        <s v="06.018.0006" u="1"/>
        <s v="06.204.0005" u="1"/>
        <s v="SH-V299000410" u="1"/>
        <s v="SH-20011-35151" u="1"/>
        <s v="01.019.0157" u="1"/>
        <s v="06.018.0007" u="1"/>
        <s v="06.204.0006" u="1"/>
        <s v="SH-4070981" u="1"/>
        <s v="01.019.0158" u="1"/>
        <s v="06.018.0008" u="1"/>
        <s v="SH-62035-82011" u="1"/>
        <s v="01.019.0159" u="1"/>
        <s v="06.018.0009" u="1"/>
        <s v="06.118.0001" u="1"/>
        <s v="EC-13051039932" u="1"/>
        <s v="06.118.0002" u="1"/>
        <s v="SH-22150-75520" u="1"/>
        <s v="06.050.0010" u="1"/>
        <s v="EC-43021531731" u="1"/>
        <s v="06.118.0003" u="1"/>
        <s v="06.050.0011" u="1"/>
        <s v="06.052.0001" u="1"/>
        <s v="EC-A101000160" u="1"/>
        <s v="H710C1062" u="1"/>
        <s v="H312A000" u="1"/>
        <s v="06.118.0004" u="1"/>
        <s v="06.050.0012" u="1"/>
        <s v="H322A000" u="1"/>
        <s v="H710C1162" u="1"/>
        <s v="H332A000" u="1"/>
        <s v="H710C1262" u="1"/>
        <s v="06.118.0005" u="1"/>
        <s v="CR-DP1" u="1"/>
        <s v="H162A100" u="1"/>
        <s v="H710C1362" u="1"/>
        <s v="EC-A101000360" u="1"/>
        <s v="H710C703" u="1"/>
        <s v="H710C1462" u="1"/>
        <s v="EC-CS 420ES" u="1"/>
        <s v="H392A000" u="1"/>
        <s v="T611A100" u="1"/>
        <s v="H710C713" u="1"/>
        <s v="H710C1562" u="1"/>
        <s v="H710C723" u="1"/>
        <s v="H710C1662" u="1"/>
        <s v="SH-4525920" u="1"/>
        <s v="04.005.0140" u="1"/>
        <s v="03.001.0020" u="1"/>
        <s v="03.003.0010" u="1"/>
        <s v="H710C733" u="1"/>
        <s v="H710C1762" u="1"/>
        <s v="SH-22169-82251" u="1"/>
        <s v="EC-A101000560" u="1"/>
        <s v="H710C743" u="1"/>
        <s v="H710C1862" u="1"/>
        <s v="3982-000-1640" u="1"/>
        <s v="04.005.0141" u="1"/>
        <s v="H710C2005" u="1"/>
        <s v="01.006.0001" u="1"/>
        <s v="03.001.0021" u="1"/>
        <s v="03.003.0011" u="1"/>
        <s v="05.004.0001" u="1"/>
        <s v="06.050.0016" u="1"/>
        <s v="H710C753" u="1"/>
        <s v="H710C1962" u="1"/>
        <s v="SH-22169-21300" u="1"/>
        <s v="JF-071" u="1"/>
        <s v="H710C2105" u="1"/>
        <s v="H710C763" u="1"/>
        <s v="04.005.0142" u="1"/>
        <s v="01.006.0002" u="1"/>
        <s v="03.001.0022" u="1"/>
        <s v="03.003.0012" u="1"/>
        <s v="05.004.0002" u="1"/>
        <s v="06.050.0017" u="1"/>
        <s v="H710C773" u="1"/>
        <s v="SH-62035-71020" u="1"/>
        <s v="H710C807" u="1"/>
        <s v="H710C783" u="1"/>
        <s v="H710C817" u="1"/>
        <s v="04.005.0143" u="1"/>
        <s v="EC-A100000860" u="1"/>
        <s v="01.006.0003" u="1"/>
        <s v="03.001.0023" u="1"/>
        <s v="03.003.0013" u="1"/>
        <s v="05.004.0003" u="1"/>
        <s v="06.050.0018" u="1"/>
        <s v="06.150.0010" u="1"/>
        <s v="H710C793" u="1"/>
        <s v="H710C827" u="1"/>
        <s v="EP-13030039730" u="1"/>
        <s v="H710C837" u="1"/>
        <s v="04.005.0144" u="1"/>
        <s v="01.006.0004" u="1"/>
        <s v="03.001.0024" u="1"/>
        <s v="03.003.0014" u="1"/>
        <s v="05.004.0004" u="1"/>
        <s v="06.050.0019" u="1"/>
        <s v="06.150.0011" u="1"/>
        <s v="H710C847" u="1"/>
        <s v="H313A000" u="1"/>
        <s v="H710C857" u="1"/>
        <s v="04.005.0145" u="1"/>
        <s v="01.006.0005" u="1"/>
        <s v="03.001.0025" u="1"/>
        <s v="03.003.0015" u="1"/>
        <s v="06.150.0012" u="1"/>
        <s v="EC-BP35INTL" u="1"/>
        <s v="H323A000" u="1"/>
        <s v="H333A000" u="1"/>
        <s v="H710C867" u="1"/>
        <s v="EC-A226000020" u="1"/>
        <s v="SH-V651000550" u="1"/>
        <s v="SH-72935-63210" u="1"/>
        <s v="H710C877" u="1"/>
        <s v="04.005.0146" u="1"/>
        <s v="01.006.0006" u="1"/>
        <s v="03.001.0026" u="1"/>
        <s v="03.003.0016" u="1"/>
        <s v="05.004.0006" u="1"/>
        <s v="06.150.0013" u="1"/>
        <s v="06.152.0003" u="1"/>
        <s v="EC-A230000040" u="1"/>
        <s v="SH-62035-75020" u="1"/>
        <s v="H710C887" u="1"/>
        <s v="H407A000" u="1"/>
        <s v="SH-60023-98031" u="1"/>
        <s v="H393A000" u="1"/>
        <s v="H710C897" u="1"/>
        <s v="04.005.0147" u="1"/>
        <s v="EC-V100000410" u="1"/>
        <s v="EC-V104000210" u="1"/>
        <s v="03.001.0027" u="1"/>
        <s v="06.150.0014" u="1"/>
        <s v="06.152.0004" u="1"/>
        <s v="SH-22020-14200" u="1"/>
        <s v="ALEN 5X25" u="1"/>
        <s v="01.006.0008" u="1"/>
        <s v="03.001.0028" u="1"/>
        <s v="05.004.0008" u="1"/>
        <s v="06.150.0015" u="1"/>
        <s v="06.152.0005" u="1"/>
        <s v="04.005.0149" u="1"/>
        <s v="01.004.0019" u="1"/>
        <s v="03.001.0029" u="1"/>
        <s v="05.004.0009" u="1"/>
        <s v="06.150.0016" u="1"/>
        <s v="EC-P021005911" u="1"/>
        <s v="06.150.0017" u="1"/>
        <s v="06.152.0007" u="1"/>
        <s v="EC-A226000520" u="1"/>
        <s v="CR-71.064.10" u="1"/>
        <s v="H710C600" u="1"/>
        <s v="EC-17500539133" u="1"/>
        <s v="06.066.0001" u="1"/>
        <s v="06.150.0018" u="1"/>
        <s v="06.152.0008" u="1"/>
        <s v="01.040.0001" u="1"/>
        <s v="H710C610" u="1"/>
        <s v="H710C620" u="1"/>
        <s v="06.066.0002" u="1"/>
        <s v="06.150.0019" u="1"/>
        <s v="06.152.0009" u="1"/>
        <s v="EC-10020442230" u="1"/>
        <s v="01.040.0002" u="1"/>
        <s v="H710C630" u="1"/>
        <s v="H710C1072" u="1"/>
        <s v="H710C640" u="1"/>
        <s v="06.066.0003" u="1"/>
        <s v="H710C1172" u="1"/>
        <s v="H710C650" u="1"/>
        <s v="H710C1272" u="1"/>
        <s v="H710C660" u="1"/>
        <s v="06.066.0004" u="1"/>
        <s v="H710C1372" u="1"/>
        <s v="H710C670" u="1"/>
        <s v="H710C704" u="1"/>
        <s v="H710C1472" u="1"/>
        <s v="H710C680" u="1"/>
        <s v="T613A100" u="1"/>
        <s v="01.018.0010" u="1"/>
        <s v="03.013.0030" u="1"/>
        <s v="03.015.0020" u="1"/>
        <s v="06.066.0005" u="1"/>
        <s v="H710C714" u="1"/>
        <s v="H710C1572" u="1"/>
        <s v="H710C690" u="1"/>
        <s v="EC-P021027090" u="1"/>
        <s v="H710C724" u="1"/>
        <s v="H710C1672" u="1"/>
        <s v="01.016.0021" u="1"/>
        <s v="01.018.0011" u="1"/>
        <s v="03.013.0031" u="1"/>
        <s v="06.066.0006" u="1"/>
        <s v="H710C734" u="1"/>
        <s v="H710C1772" u="1"/>
        <s v="01.040.0006" u="1"/>
        <s v="EC-A232000940" u="1"/>
        <s v="EC-12411505530" u="1"/>
        <s v="JF-085" u="1"/>
        <s v="H710C744" u="1"/>
        <s v="H710C1872" u="1"/>
        <s v="EC-70602042040" u="1"/>
        <s v="H710C2015" u="1"/>
        <s v="01.016.0022" u="1"/>
        <s v="01.018.0012" u="1"/>
        <s v="03.013.0032" u="1"/>
        <s v="05.018.0002" u="1"/>
        <s v="H710C754" u="1"/>
        <s v="H710C1972" u="1"/>
        <s v="01.040.0007" u="1"/>
        <s v="JF-271" u="1"/>
        <s v="H710C2115" u="1"/>
        <s v="H710C764" u="1"/>
        <s v="SH-4575700" u="1"/>
        <s v="01.016.0023" u="1"/>
        <s v="01.018.0013" u="1"/>
        <s v="03.013.0033" u="1"/>
        <s v="03.017.0013" u="1"/>
        <s v="H710C774" u="1"/>
        <s v="01.040.0008" u="1"/>
        <s v="H710C808" u="1"/>
        <s v="H710C784" u="1"/>
        <s v="CR-010" u="1"/>
        <s v="H710C818" u="1"/>
        <s v="01.016.0024" u="1"/>
        <s v="01.018.0014" u="1"/>
        <s v="03.013.0034" u="1"/>
        <s v="06.166.0001" u="1"/>
        <s v="H710C794" u="1"/>
        <s v="01.040.0009" u="1"/>
        <s v="H710C828" u="1"/>
        <s v="OT-72" u="1"/>
        <s v="H710C838" u="1"/>
        <s v="SH-38500-82110" u="1"/>
        <s v="01.016.0025" u="1"/>
        <s v="01.018.0015" u="1"/>
        <s v="03.013.0035" u="1"/>
        <s v="06.166.0002" u="1"/>
        <s v="H710C848" u="1"/>
      </sharedItems>
    </cacheField>
    <cacheField name="Buffer" numFmtId="0">
      <sharedItems containsSemiMixedTypes="0" containsString="0" containsNumber="1" containsInteger="1" minValue="140" maxValue="140"/>
    </cacheField>
    <cacheField name="Fecha" numFmtId="14">
      <sharedItems containsSemiMixedTypes="0" containsNonDate="0" containsDate="1" containsString="0" minDate="2018-03-10T00:00:00" maxDate="2018-05-10T00:00:00" count="45">
        <d v="2018-03-10T00:00:00"/>
        <d v="2018-03-11T00:00:00"/>
        <d v="2018-03-12T00:00:00"/>
        <d v="2018-03-13T00:00:00"/>
        <d v="2018-03-14T00:00:00"/>
        <d v="2018-03-15T00:00:00"/>
        <d v="2018-03-16T00:00:00"/>
        <d v="2018-03-17T00:00:00"/>
        <d v="2018-03-18T00:00:00"/>
        <d v="2018-03-19T00:00:00"/>
        <d v="2018-03-20T00:00:00"/>
        <d v="2018-03-21T00:00:00"/>
        <d v="2018-03-23T00:00:00"/>
        <d v="2018-03-24T00:00:00"/>
        <d v="2018-03-25T00:00:00"/>
        <d v="2018-03-26T00:00:00"/>
        <d v="2018-03-27T00:00:00"/>
        <d v="2018-03-28T00:00:00"/>
        <d v="2018-03-29T00:00:00"/>
        <d v="2018-03-30T00:00:00"/>
        <d v="2018-04-02T00:00:00"/>
        <d v="2018-04-03T00:00:00"/>
        <d v="2018-04-04T00:00:00"/>
        <d v="2018-04-05T00:00:00"/>
        <d v="2018-04-06T00:00:00"/>
        <d v="2018-04-09T00:00:00"/>
        <d v="2018-04-10T00:00:00"/>
        <d v="2018-04-11T00:00:00"/>
        <d v="2018-04-12T00:00:00"/>
        <d v="2018-04-13T00:00:00"/>
        <d v="2018-04-17T00:00:00"/>
        <d v="2018-04-18T00:00:00"/>
        <d v="2018-04-19T00:00:00"/>
        <d v="2018-04-20T00:00:00"/>
        <d v="2018-04-21T00:00:00"/>
        <d v="2018-04-24T00:00:00"/>
        <d v="2018-04-25T00:00:00"/>
        <d v="2018-04-26T00:00:00"/>
        <d v="2018-04-30T00:00:00"/>
        <d v="2018-05-01T00:00:00"/>
        <d v="2018-05-02T00:00:00"/>
        <d v="2018-05-04T00:00:00"/>
        <d v="2018-05-05T00:00:00"/>
        <d v="2018-05-07T00:00:00"/>
        <d v="2018-05-09T00:00:00"/>
      </sharedItems>
      <fieldGroup par="12" base="3">
        <rangePr groupBy="days" startDate="2018-03-10T00:00:00" endDate="2018-05-10T00:00:00"/>
        <groupItems count="368">
          <s v="&lt;10/03/2018"/>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10/05/2018"/>
        </groupItems>
      </fieldGroup>
    </cacheField>
    <cacheField name="InvFis" numFmtId="0">
      <sharedItems containsSemiMixedTypes="0" containsString="0" containsNumber="1" containsInteger="1" minValue="8" maxValue="117"/>
    </cacheField>
    <cacheField name="InvProyAct" numFmtId="0">
      <sharedItems containsSemiMixedTypes="0" containsString="0" containsNumber="1" containsInteger="1" minValue="25" maxValue="158"/>
    </cacheField>
    <cacheField name="Zona Amar" numFmtId="0">
      <sharedItems containsSemiMixedTypes="0" containsString="0" containsNumber="1" containsInteger="1" minValue="93" maxValue="93"/>
    </cacheField>
    <cacheField name="Zona Roj" numFmtId="0">
      <sharedItems containsSemiMixedTypes="0" containsString="0" containsNumber="1" containsInteger="1" minValue="46" maxValue="46"/>
    </cacheField>
    <cacheField name="Entradas" numFmtId="0">
      <sharedItems containsNonDate="0" containsString="0" containsBlank="1"/>
    </cacheField>
    <cacheField name="Salidas" numFmtId="0">
      <sharedItems containsNonDate="0" containsString="0" containsBlank="1"/>
    </cacheField>
    <cacheField name="Causa" numFmtId="0">
      <sharedItems containsNonDate="0" containsString="0" containsBlank="1"/>
    </cacheField>
    <cacheField name="Meses" numFmtId="0" databaseField="0">
      <fieldGroup base="3">
        <rangePr groupBy="months" startDate="2018-03-10T00:00:00" endDate="2018-05-10T00:00:00"/>
        <groupItems count="14">
          <s v="&lt;10/03/2018"/>
          <s v="ene"/>
          <s v="feb"/>
          <s v="mar"/>
          <s v="abr"/>
          <s v="may"/>
          <s v="jun"/>
          <s v="jul"/>
          <s v="ago"/>
          <s v="sep"/>
          <s v="oct"/>
          <s v="nov"/>
          <s v="dic"/>
          <s v="&gt;10/05/2018"/>
        </groupItems>
      </fieldGroup>
    </cacheField>
    <cacheField name="Años" numFmtId="0" databaseField="0">
      <fieldGroup base="3">
        <rangePr groupBy="years" startDate="2018-03-10T00:00:00" endDate="2018-05-10T00:00:00"/>
        <groupItems count="3">
          <s v="&lt;10/03/2018"/>
          <s v="2018"/>
          <s v="&gt;10/05/2018"/>
        </groupItems>
      </fieldGroup>
    </cacheField>
  </cacheFields>
  <extLst>
    <ext xmlns:x14="http://schemas.microsoft.com/office/spreadsheetml/2009/9/main" uri="{725AE2AE-9491-48be-B2B4-4EB974FC3084}">
      <x14:pivotCacheDefinition pivotCacheId="2"/>
    </ext>
  </extLst>
</pivotCacheDefinition>
</file>

<file path=xl/pivotCache/pivotCacheDefinition3.xml><?xml version="1.0" encoding="utf-8"?>
<pivotCacheDefinition xmlns="http://schemas.openxmlformats.org/spreadsheetml/2006/main" xmlns:r="http://schemas.openxmlformats.org/officeDocument/2006/relationships" r:id="rId1" refreshedBy="RAMCAS" refreshedDate="43229.441207291668" createdVersion="5" refreshedVersion="5" minRefreshableVersion="3" recordCount="7">
  <cacheSource type="worksheet">
    <worksheetSource name="ConsHist"/>
  </cacheSource>
  <cacheFields count="6">
    <cacheField name="BODEGA" numFmtId="0">
      <sharedItems containsBlank="1" count="7">
        <s v="Bodega Central Agrota"/>
        <s v="BP-MATRIZ" u="1"/>
        <m u="1"/>
        <s v="BDG. DE PRODUCTO TERMI PLANTA" u="1"/>
        <s v="Bodega ECU" u="1"/>
        <s v="MCS - Bodega Macas" u="1"/>
        <s v="BOD - Centro Distribuciones" u="1"/>
      </sharedItems>
    </cacheField>
    <cacheField name="CODIGO" numFmtId="0">
      <sharedItems containsBlank="1" count="8000">
        <s v="10000000974"/>
        <s v="20951322" u="1"/>
        <s v="H281A000" u="1"/>
        <m u="1"/>
        <s v="H251A000       " u="1"/>
        <s v="760201" u="1"/>
        <s v="H710G000" u="1"/>
        <s v="01.018.0016" u="1"/>
        <s v="03.013.0036" u="1"/>
        <s v="06.166.0003" u="1"/>
        <s v="58920400B0" u="1"/>
        <s v="765015" u="1"/>
        <s v="ANU76P925317" u="1"/>
        <s v="190935315N0" u="1"/>
        <s v="H271A000       " u="1"/>
        <s v="562211" u="1"/>
        <s v="H271A020" u="1"/>
        <s v="65001801" u="1"/>
        <s v="H281A000       " u="1"/>
        <s v="ANU30212990" u="1"/>
        <s v="H710G000       " u="1"/>
        <s v="568025" u="1"/>
        <s v="768015" u="1"/>
        <s v="76P900012" u="1"/>
        <s v="58901802J0" u="1"/>
        <s v="01.018.0017" u="1"/>
        <s v="03.013.0037" u="1"/>
        <s v="06.166.0004" u="1"/>
        <s v="569025" u="1"/>
        <s v="20561589" u="1"/>
        <s v="192444" u="1"/>
        <s v="H271A020       " u="1"/>
        <s v="192933998F0" u="1"/>
        <s v="567211" u="1"/>
        <s v="191000761" u="1"/>
        <s v="190966197R0" u="1"/>
        <s v="191937610Z0" u="1"/>
        <s v="190630" u="1"/>
        <s v="314438" u="1"/>
        <s v="T614A100" u="1"/>
        <s v="191966321C0" u="1"/>
        <s v="192000761" u="1"/>
        <s v="01.018.0018" u="1"/>
        <s v="03.013.0038" u="1"/>
        <s v="06.166.0005" u="1"/>
        <s v="76P924364" u="1"/>
        <s v="192933382Z0" u="1"/>
        <s v="403060" u="1"/>
        <s v="76P924464" u="1"/>
        <s v="2516200" u="1"/>
        <s v="191966149C0" u="1"/>
        <s v="T614A100       " u="1"/>
        <s v="760378" u="1"/>
        <s v="192001004" u="1"/>
        <s v="20972834" u="1"/>
        <s v="192000961" u="1"/>
        <s v="58914163M0" u="1"/>
        <s v="01.018.0019" u="1"/>
        <s v="03.013.0039" u="1"/>
        <s v="06.166.0006" u="1"/>
        <s v="191001853MO" u="1"/>
        <s v="ANU30211228" u="1"/>
        <s v="2516201" u="1"/>
        <s v="192000689" u="1"/>
        <s v="192001104" u="1"/>
        <s v="4003890" u="1"/>
        <s v="65240430" u="1"/>
        <s v="191001204" u="1"/>
        <s v="2516202" u="1"/>
        <s v="59055026" u="1"/>
        <s v="58914207M0" u="1"/>
        <s v="192000789" u="1"/>
        <s v="192001204" u="1"/>
        <s v="4003891" u="1"/>
        <s v="06.072.0040" u="1"/>
        <s v="06.166.0007" u="1"/>
        <s v="76P924764" u="1"/>
        <s v="2516203" u="1"/>
        <s v="3330212627" u="1"/>
        <s v="191916356N0" u="1"/>
        <s v="4003892" u="1"/>
        <s v="58914193M0" u="1"/>
        <s v="76P924864" u="1"/>
        <s v="2516204" u="1"/>
        <s v="58901906J0" u="1"/>
        <s v="192000989" u="1"/>
        <s v="06.072.0041" u="1"/>
        <s v="06.166.0008" u="1"/>
        <s v="191001504" u="1"/>
        <s v="2516205" u="1"/>
        <s v="59055056" u="1"/>
        <s v="58901716J1" u="1"/>
        <s v="58914237M0" u="1"/>
        <s v="192943747Z0" u="1"/>
        <s v="2516206" u="1"/>
        <s v="H212A000" u="1"/>
        <s v="06.072.0042" u="1"/>
        <s v="06.166.0009" u="1"/>
        <s v="191001704" u="1"/>
        <s v="2516207" u="1"/>
        <s v="460037" u="1"/>
        <s v="ANU20976967" u="1"/>
        <s v="2516208" u="1"/>
        <s v="H212A000       " u="1"/>
        <s v="422039" u="1"/>
        <s v="06.072.0043" u="1"/>
        <s v="2516209" u="1"/>
        <s v="ANU192344" u="1"/>
        <s v="H282A000" u="1"/>
        <s v="191966710J0" u="1"/>
        <s v="H316A000" u="1"/>
        <s v="192933572C0" u="1"/>
        <s v="30212993" u="1"/>
        <s v="H711G000" u="1"/>
        <s v="T711A000" u="1"/>
        <s v="H336A000" u="1"/>
        <s v="192933395P0" u="1"/>
        <s v="400412" u="1"/>
        <s v="76P925707" u="1"/>
        <s v="191966004D0" u="1"/>
        <s v="ANU58901109Z0" u="1"/>
        <s v="H282A000       " u="1"/>
        <s v="H316A000       " u="1"/>
        <s v="252448" u="1"/>
        <s v="ANU401033" u="1"/>
        <s v="06.042.0090" u="1"/>
        <s v="H711G000       " u="1"/>
        <s v="T711A000       " u="1"/>
        <s v="01.024.0050" u="1"/>
        <s v="01.028.0030" u="1"/>
        <s v="03.023.0050" u="1"/>
        <s v="403412" u="1"/>
        <s v="H336A000       " u="1"/>
        <s v="H316A030" u="1"/>
        <s v="490184" u="1"/>
        <s v="20562825" u="1"/>
        <s v="251634" u="1"/>
        <s v="313538" u="1"/>
        <s v="ANU567256" u="1"/>
        <s v="405412" u="1"/>
        <s v="567311" u="1"/>
        <s v="T615A100" u="1"/>
        <s v="06.042.0091" u="1"/>
        <s v="734079" u="1"/>
        <s v="01.024.0051" u="1"/>
        <s v="01.028.0031" u="1"/>
        <s v="03.023.0051" u="1"/>
        <s v="58920658B0" u="1"/>
        <s v="02.001.0021" u="1"/>
        <s v="06.003.0001" u="1"/>
        <s v="191947026H0" u="1"/>
        <s v="H316A030       " u="1"/>
        <s v="T615A100       " u="1"/>
        <s v="06.042.0092" u="1"/>
        <s v="256196" u="1"/>
        <s v="01.024.0052" u="1"/>
        <s v="01.028.0032" u="1"/>
        <s v="03.023.0052" u="1"/>
        <s v="58901998R0" u="1"/>
        <s v="190966041Z0" u="1"/>
        <s v="191937180D0" u="1"/>
        <s v="091007" u="1"/>
        <s v="58920245G0" u="1"/>
        <s v="06.042.0093" u="1"/>
        <s v="314472" u="1"/>
        <s v="01.024.0053" u="1"/>
        <s v="03.023.0053" u="1"/>
        <s v="490799" u="1"/>
        <s v="76P926747" u="1"/>
        <s v="191946191K0" u="1"/>
        <s v="567926" u="1"/>
        <s v="567488" u="1"/>
        <s v="58914010M0" u="1"/>
        <s v="06.042.0094" u="1"/>
        <s v="1100100123" u="1"/>
        <s v="01.024.0054" u="1"/>
        <s v="03.023.0054" u="1"/>
        <s v="04.004.0004" u="1"/>
        <s v="06.003.0004" u="1"/>
        <s v="191937055B0" u="1"/>
        <s v="191966069Z0" u="1"/>
        <s v="06.042.0095" u="1"/>
        <s v="760029" u="1"/>
        <s v="H213A000" u="1"/>
        <s v="01.024.0055" u="1"/>
        <s v="03.023.0055" u="1"/>
        <s v="06.003.0005" u="1"/>
        <s v="06.094.0100" u="1"/>
        <s v="H223A000" u="1"/>
        <s v="04GR100" u="1"/>
        <s v="58902196V0" u="1"/>
        <s v="132032" u="1"/>
        <s v="06.042.0096" u="1"/>
        <s v="H213A000       " u="1"/>
        <s v="559889" u="1"/>
        <s v="760215" u="1"/>
        <s v="01.024.0056" u="1"/>
        <s v="03.023.0056" u="1"/>
        <s v="554011" u="1"/>
        <s v="58901701R0" u="1"/>
        <s v="06.094.0101" u="1"/>
        <s v="H223A000       " u="1"/>
        <s v="37938117N0" u="1"/>
        <s v="04GR100        " u="1"/>
        <s v="400326" u="1"/>
        <s v="H273A000" u="1"/>
        <s v="567039" u="1"/>
        <s v="757001" u="1"/>
        <s v="06.042.0097" u="1"/>
        <s v="01.024.0057" u="1"/>
        <s v="03.023.0057" u="1"/>
        <s v="58901721R0" u="1"/>
        <s v="02.001.0027" u="1"/>
        <s v="06.094.0102" u="1"/>
        <s v="569039" u="1"/>
        <s v="58906240W0" u="1"/>
        <s v="759001" u="1"/>
        <s v="H273A000       " u="1"/>
        <s v="H273A020" u="1"/>
        <s v="080090" u="1"/>
        <s v="58920411B0" u="1"/>
        <s v="405326" u="1"/>
        <s v="190644" u="1"/>
        <s v="06.042.0098" u="1"/>
        <s v="03.023.0058" u="1"/>
        <s v="422073" u="1"/>
        <s v="02.001.0028" u="1"/>
        <s v="06.094.0103" u="1"/>
        <s v="569225" u="1"/>
        <s v="490722" u="1"/>
        <s v="H273A020       " u="1"/>
        <s v="251734" u="1"/>
        <s v="400260" u="1"/>
        <s v="404074" u="1"/>
        <s v="10.008.0001" u="1"/>
        <s v="190830" u="1"/>
        <s v="30217836" u="1"/>
        <s v="T616A100" u="1"/>
        <s v="ANU403216" u="1"/>
        <s v="76P924374" u="1"/>
        <s v="58940017D0" u="1"/>
        <s v="192000499" u="1"/>
        <s v="192943157Z0" u="1"/>
        <s v="58901733Z0" u="1"/>
        <s v="58914154M0" u="1"/>
        <s v="76P924474" u="1"/>
        <s v="58912092V0" u="1"/>
        <s v="20971382" u="1"/>
        <s v="405260" u="1"/>
        <s v="192001014" u="1"/>
        <s v="58912126V0" u="1"/>
        <s v="190009" u="1"/>
        <s v="192000971" u="1"/>
        <s v="190966201N0" u="1"/>
        <s v="30210032" u="1"/>
        <s v="65301842" u="1"/>
        <s v="192001114" u="1"/>
        <s v="58901815R0" u="1"/>
        <s v="191966354P0" u="1"/>
        <s v="20972845" u="1"/>
        <s v="58901753Z0" u="1"/>
        <s v="58906334W0" u="1"/>
        <s v="59055027" u="1"/>
        <s v="192000799" u="1"/>
        <s v="192001214" u="1"/>
        <s v="191966704D8" u="1"/>
        <s v="76P924774" u="1"/>
        <s v="192933792Z0" u="1"/>
        <s v="ANU58920291B0" u="1"/>
        <s v="20PU650" u="1"/>
        <s v="191001414" u="1"/>
        <s v="5610209400" u="1"/>
        <s v="58920068D0" u="1"/>
        <s v="65300453" u="1"/>
        <s v="192000999" u="1"/>
        <s v="20PU651" u="1"/>
        <s v="76P925017" u="1"/>
        <s v="76P924974" u="1"/>
        <s v="58914238M0" u="1"/>
        <s v="766764" u="1"/>
        <s v="58901793Z0" u="1"/>
        <s v="270032" u="1"/>
        <s v="567774" u="1"/>
        <s v="H170A000" u="1"/>
        <s v="191001614" u="1"/>
        <s v="191966329N0" u="1"/>
        <s v="58901827Z0" u="1"/>
        <s v="192933182C0" u="1"/>
        <s v="20PU653" u="1"/>
        <s v="191947042N0" u="1"/>
        <s v="492021" u="1"/>
        <s v="710103" u="1"/>
        <s v="20218942" u="1"/>
        <s v="191001714" u="1"/>
        <s v="190935238D0" u="1"/>
        <s v="192904199Z0" u="1"/>
        <s v="H224A000" u="1"/>
        <s v="311123" u="1"/>
        <s v="192943195R0" u="1"/>
        <s v="582138" u="1"/>
        <s v="20PU654" u="1"/>
        <s v="76P925317" u="1"/>
        <s v="192001057GR" u="1"/>
        <s v="58920112G0" u="1"/>
        <s v="191001914" u="1"/>
        <s v="400426" u="1"/>
        <s v="766129" u="1"/>
        <s v="76P925517" u="1"/>
        <s v="583324" u="1"/>
        <s v="557111" u="1"/>
        <s v="T113A300" u="1"/>
        <s v="760063" u="1"/>
        <s v="191966067F0" u="1"/>
        <s v="192943347C0" u="1"/>
        <s v="403426" u="1"/>
        <s v="569139" u="1"/>
        <s v="251648" u="1"/>
        <s v="405426" u="1"/>
        <s v="567325" u="1"/>
        <s v="190935175Z0" u="1"/>
        <s v="20977540" u="1"/>
        <s v="402174" u="1"/>
        <s v="06.017.0001" u="1"/>
        <s v="490822" u="1"/>
        <s v="565073" u="1"/>
        <s v="400360" u="1"/>
        <s v="766063" u="1"/>
        <s v="20921365" u="1"/>
        <s v="ANU490861" u="1"/>
        <s v="192933552N0" u="1"/>
        <s v="252396" u="1"/>
        <s v="ANU405396" u="1"/>
        <s v="768063" u="1"/>
        <s v="T427A200" u="1"/>
        <s v="ANU567366" u="1"/>
        <s v="76P926557" u="1"/>
        <s v="58920246G0" u="1"/>
        <s v="D111C000" u="1"/>
        <s v="H111A000" u="1"/>
        <s v="76P926757" u="1"/>
        <s v="58931477D0" u="1"/>
        <s v="191947055D0" u="1"/>
        <s v="D121C000" u="1"/>
        <s v="192943817N0" u="1"/>
        <s v="D131C000" u="1"/>
        <s v="ANU568009" u="1"/>
        <s v="550025" u="1"/>
        <s v="D131C010" u="1"/>
        <s v="76P946956" u="1"/>
        <s v="191043" u="1"/>
        <s v="192001056NE" u="1"/>
        <s v="191966079Z0" u="1"/>
        <s v="20942897" u="1"/>
        <s v="191966179Z0" u="1"/>
        <s v="554025" u="1"/>
        <s v="H225A000" u="1"/>
        <s v="T620A000" u="1"/>
        <s v="192933790F0" u="1"/>
        <s v="557025" u="1"/>
        <s v="733202" u="1"/>
        <s v="760415" u="1"/>
        <s v="314223" u="1"/>
        <s v="192001073MO" u="1"/>
        <s v="192000281" u="1"/>
        <s v="192933560Q0" u="1"/>
        <s v="401088" u="1"/>
        <s v="760601" u="1"/>
        <s v="192000381" u="1"/>
        <s v="422087" u="1"/>
        <s v="191946952Z0" u="1"/>
        <s v="58906241W0" u="1"/>
        <s v="58920240Z0" u="1"/>
        <s v="ANU76P925318" u="1"/>
        <s v="251748" u="1"/>
        <s v="58914568H0" u="1"/>
        <s v="190844" u="1"/>
        <s v="76P938374" u="1"/>
        <s v="403274" u="1"/>
        <s v="58901714Z0" u="1"/>
        <s v="ANU30202193" u="1"/>
        <s v="1100000218" u="1"/>
        <s v="252496" u="1"/>
        <s v="76P924384" u="1"/>
        <s v="191946971V0" u="1"/>
        <s v="191966069C0" u="1"/>
        <s v="192933205Z0" u="1"/>
        <s v="403460" u="1"/>
        <s v="58901734Z0" u="1"/>
        <s v="58914155M0" u="1"/>
        <s v="58920452B0" u="1"/>
        <s v="20971383" u="1"/>
        <s v="192001024" u="1"/>
        <s v="192000981" u="1"/>
        <s v="58914165M0" u="1"/>
        <s v="ANU191224" u="1"/>
        <s v="191209" u="1"/>
        <s v="30210033" u="1"/>
        <s v="192933405Z0" u="1"/>
        <s v="ANU76P925348" u="1"/>
        <s v="192001124" u="1"/>
        <s v="76P924684" u="1"/>
        <s v="190966039N0" u="1"/>
        <s v="58914185M0" u="1"/>
        <s v="D112C000" u="1"/>
        <s v="270046" u="1"/>
        <s v="76P924884" u="1"/>
        <s v="600001" u="1"/>
        <s v="ANU404066" u="1"/>
        <s v="58901808Z0" u="1"/>
        <s v="0416308" u="1"/>
        <s v="192933373G0" u="1"/>
        <s v="30212935" u="1"/>
        <s v="76P925027" u="1"/>
        <s v="58906365W0" u="1"/>
        <s v="20586255" u="1"/>
        <s v="191001524" u="1"/>
        <s v="ANU162003" u="1"/>
        <s v="58901818Z0" u="1"/>
        <s v="311137" u="1"/>
        <s v="20227697" u="1"/>
        <s v="65300464" u="1"/>
        <s v="190966339N0" u="1"/>
        <s v="191937048C0" u="1"/>
        <s v="58901794Z0" u="1"/>
        <s v="ANU58901248Z0" u="1"/>
        <s v="192143" u="1"/>
        <s v="58901828Z0" u="1"/>
        <s v="251233" u="1"/>
        <s v="314137" u="1"/>
        <s v="734116" u="1"/>
        <s v="191001724" u="1"/>
        <s v="190935248D0" u="1"/>
        <s v="H226A000" u="1"/>
        <s v="ANU76P925378" u="1"/>
        <s v="T421A100" u="1"/>
        <s v="30213908P" u="1"/>
        <s v="11122300" u="1"/>
        <s v="65310300" u="1"/>
        <s v="760077" u="1"/>
        <s v="ANU58901507F0" u="1"/>
        <s v="710051" u="1"/>
        <s v="ANU76P925388" u="1"/>
        <s v="65610300" u="1"/>
        <s v="58901868Z0" u="1"/>
        <s v="31203" u="1"/>
        <s v="30212995" u="1"/>
        <s v="31303" u="1"/>
        <s v="402188" u="1"/>
        <s v="760263" u="1"/>
        <s v="314071" u="1"/>
        <s v="734050" u="1"/>
        <s v="490836" u="1"/>
        <s v="76P925727" u="1"/>
        <s v="30210721PU" u="1"/>
        <s v="400374" u="1"/>
        <s v="766077" u="1"/>
        <s v="76P926067" u="1"/>
        <s v="567087" u="1"/>
        <s v="768077" u="1"/>
        <s v="20921356" u="1"/>
        <s v="080007" u="1"/>
        <s v="191966377F0" u="1"/>
        <s v="192943371L0" u="1"/>
        <s v="T619A100" u="1"/>
        <s v="58920207G0" u="1"/>
        <s v="06.094.0078" u="1"/>
        <s v="ANU491014" u="1"/>
        <s v="ANU567376" u="1"/>
        <s v="76P926367" u="1"/>
        <s v="192692" u="1"/>
        <s v="76P926467" u="1"/>
        <s v="191946248Q0" u="1"/>
        <s v="731851" u="1"/>
        <s v="H521B200" u="1"/>
        <s v="65830403" u="1"/>
        <s v="191937003D0" u="1"/>
        <s v="58920247G0" u="1"/>
        <s v="58920704E0" u="1"/>
        <s v="360020" u="1"/>
        <s v="700003" u="1"/>
        <s v="76P926767" u="1"/>
        <s v="58902196N0" u="1"/>
        <s v="191916301Z0" u="1"/>
        <s v="BR10A000" u="1"/>
        <s v="9786196" u="1"/>
        <s v="BR20A000" u="1"/>
        <s v="D153C000" u="1"/>
        <s v="191001828VE" u="1"/>
        <s v="724002" u="1"/>
        <s v="BR30A000" u="1"/>
        <s v="192001066NE" u="1"/>
        <s v="BR40A000" u="1"/>
        <s v="191966089Z0" u="1"/>
        <s v="191937126Q0" u="1"/>
        <s v="166030" u="1"/>
        <s v="BR50A000" u="1"/>
        <s v="58901611Z0" u="1"/>
        <s v="567010" u="1"/>
        <s v="BR60A000" u="1"/>
        <s v="314237" u="1"/>
        <s v="568010" u="1"/>
        <s v="58901621Z0" u="1"/>
        <s v="T422A100" u="1"/>
        <s v="312423" u="1"/>
        <s v="270080" u="1"/>
        <s v="610063" u="1"/>
        <s v="733402" u="1"/>
        <s v="251081" u="1"/>
        <s v="192000191" u="1"/>
        <s v="314423" u="1"/>
        <s v="760177" u="1"/>
        <s v="58931542G0" u="1"/>
        <s v="1100500051" u="1"/>
        <s v="H277A000" u="1"/>
        <s v="192933475D0" u="1"/>
        <s v="400288" u="1"/>
        <s v="583624" u="1"/>
        <s v="190903486B0" u="1"/>
        <s v="760363" u="1"/>
        <s v="65920300" u="1"/>
        <s v="58906242W0" u="1"/>
        <s v="25604" u="1"/>
        <s v="403288" u="1"/>
        <s v="58901733R0" u="1"/>
        <s v="ANU2516198" u="1"/>
        <s v="567187" u="1"/>
        <s v="58901705Z0" u="1"/>
        <s v="190966202R0" u="1"/>
        <s v="58901005A0" u="1"/>
        <s v="403474" u="1"/>
        <s v="490684" u="1"/>
        <s v="58901753R0" u="1"/>
        <s v="251696" u="1"/>
        <s v="30210004" u="1"/>
        <s v="405474" u="1"/>
        <s v="190792" u="1"/>
        <s v="192000791" u="1"/>
        <s v="490870" u="1"/>
        <s v="58906292W0" u="1"/>
        <s v="192001034" u="1"/>
        <s v="58928010C0" u="1"/>
        <s v="192000991" u="1"/>
        <s v="H912B000" u="1"/>
        <s v="192001134" u="1"/>
        <s v="192409" u="1"/>
        <s v="58901793R0" u="1"/>
        <s v="600015" u="1"/>
        <s v="192001234" u="1"/>
        <s v="58901827R0" u="1"/>
        <s v="190966049N0" u="1"/>
        <s v="421024" u="1"/>
        <s v="550139" u="1"/>
        <s v="422024" u="1"/>
        <s v="760100" u="1"/>
        <s v="76P924894" u="1"/>
        <s v="ANU20559986" u="1"/>
        <s v="58901809Z0" u="1"/>
        <s v="251247" u="1"/>
        <s v="20970039" u="1"/>
        <s v="58901785Z0" u="1"/>
        <s v="58906366W0" u="1"/>
        <s v="20218924" u="1"/>
        <s v="191001534" u="1"/>
        <s v="1102100054" u="1"/>
        <s v="764100" u="1"/>
        <s v="58901819Z0" u="1"/>
        <s v="191937058C0" u="1"/>
        <s v="58901795Z0" u="1"/>
        <s v="ANU20559987" u="1"/>
        <s v="58901829Z0" u="1"/>
        <s v="191937539G0" u="1"/>
        <s v="ANU58920006A0" u="1"/>
        <s v="567110" u="1"/>
        <s v="252433" u="1"/>
        <s v="20218944" u="1"/>
        <s v="191001734" u="1"/>
        <s v="191966449N0" u="1"/>
        <s v="710065" u="1"/>
        <s v="768100" u="1"/>
        <s v="58901839Z0" u="1"/>
        <s v="191937200N0" u="1"/>
        <s v="191091" u="1"/>
        <s v="569110" u="1"/>
        <s v="76P925337" u="1"/>
        <s v="58901077I0" u="1"/>
        <s v="65330300" u="1"/>
        <s v="ANU58901530R0" u="1"/>
        <s v="58901849Z0" u="1"/>
        <s v="192943162P0" u="1"/>
        <s v="192933375D8" u="1"/>
        <s v="760277" u="1"/>
        <s v="191001934" u="1"/>
        <s v="ANU400423" u="1"/>
        <s v="554073" u="1"/>
        <s v="734064" u="1"/>
        <s v="ANU20970151" u="1"/>
        <s v="H278A000" u="1"/>
        <s v="76P925537" u="1"/>
        <s v="192933400P0" u="1"/>
        <s v="ANU58901531R0" u="1"/>
        <s v="316085" u="1"/>
        <s v="577072" u="1"/>
        <s v="76P925637" u="1"/>
        <s v="192933405C0" u="1"/>
        <s v="65930300" u="1"/>
        <s v="256181" u="1"/>
        <s v="20556134" u="1"/>
        <s v="58920497R0" u="1"/>
        <s v="6291003" u="1"/>
        <s v="ANU58901532R0" u="1"/>
        <s v="405388" u="1"/>
        <s v="567287" u="1"/>
        <s v="76P925837" u="1"/>
        <s v="76P926177" u="1"/>
        <s v="490784" u="1"/>
        <s v="HM750-3020" u="1"/>
        <s v="20921367" u="1"/>
        <s v="192935295Z0" u="1"/>
        <s v="190892" u="1"/>
        <s v="ANU567386" u="1"/>
        <s v="6291007" u="1"/>
        <s v="ANU58901534R0" u="1"/>
        <s v="76P926477" u="1"/>
        <s v="ANU251236" u="1"/>
        <s v="160044" u="1"/>
        <s v="700017" u="1"/>
        <s v="720016" u="1"/>
        <s v="701017" u="1"/>
        <s v="761014" u="1"/>
        <s v="191966071Z0" u="1"/>
        <s v="400125" u="1"/>
        <s v="562024" u="1"/>
        <s v="763014" u="1"/>
        <s v="564024" u="1"/>
        <s v="760200" u="1"/>
        <s v="403125" u="1"/>
        <s v="765014" u="1"/>
        <s v="768014" u="1"/>
        <s v="58920278G0" u="1"/>
        <s v="403311" u="1"/>
        <s v="569024" u="1"/>
        <s v="192443" u="1"/>
        <s v="76P962922" u="1"/>
        <s v="58914033M0" u="1"/>
        <s v="191937185B0" u="1"/>
        <s v="65001721" u="1"/>
        <s v="251095" u="1"/>
        <s v="567210" u="1"/>
        <s v="65785230" u="1"/>
        <s v="65240300" u="1"/>
        <s v="58920240R0" u="1"/>
        <s v="58914496H0" u="1"/>
        <s v="65440300" u="1"/>
        <s v="192943803H0" u="1"/>
        <s v="760377" u="1"/>
        <s v="314185" u="1"/>
        <s v="192943522D0" u="1"/>
        <s v="575172" u="1"/>
        <s v="30211350" u="1"/>
        <s v="65301741" u="1"/>
        <s v="58901714R0" u="1"/>
        <s v="259533" u="1"/>
        <s v="58901329L0" u="1"/>
        <s v="557173" u="1"/>
        <s v="760563" u="1"/>
        <s v="65940300" u="1"/>
        <s v="30212813" u="1"/>
        <s v="65440330" u="1"/>
        <s v="58901734R0" u="1"/>
        <s v="567387" u="1"/>
        <s v="58901706Z0" u="1"/>
        <s v="58914127M0" u="1"/>
        <s v="191946791V0" u="1"/>
        <s v="192944924L0" u="1"/>
        <s v="58901716Z0" u="1"/>
        <s v="192000504" u="1"/>
        <s v="30210005" u="1"/>
        <s v="310986" u="1"/>
        <s v="H450B200" u="1"/>
        <s v="76P924207" u="1"/>
        <s v="58906317W0" u="1"/>
        <s v="600029" u="1"/>
        <s v="20971385" u="1"/>
        <s v="76P924307" u="1"/>
        <s v="192001044" u="1"/>
        <s v="58901808R0" u="1"/>
        <s v="9789192" u="1"/>
        <s v="58914167M0" u="1"/>
        <s v="58920326Z0" u="1"/>
        <s v="422038" u="1"/>
        <s v="192001144" u="1"/>
        <s v="58901818R0" u="1"/>
        <s v="58901794R0" u="1"/>
        <s v="400225" u="1"/>
        <s v="404039" u="1"/>
        <s v="76P924507" u="1"/>
        <s v="192933525Z0" u="1"/>
        <s v="192001244" u="1"/>
        <s v="58901828R0" u="1"/>
        <s v="192933193G0" u="1"/>
        <s v="20916003" u="1"/>
        <s v="191966059N0" u="1"/>
        <s v="402225" u="1"/>
        <s v="764114" u="1"/>
        <s v="T511A000" u="1"/>
        <s v="76P924607" u="1"/>
        <s v="190966159N0" u="1"/>
        <s v="191966006L0" u="1"/>
        <s v="400411" u="1"/>
        <s v="T511A010" u="1"/>
        <s v="65300456" u="1"/>
        <s v="76P925047" u="1"/>
        <s v="95IB78231" u="1"/>
        <s v="58901786Z0" u="1"/>
        <s v="58906367W0" u="1"/>
        <s v="252447" u="1"/>
        <s v="192933825Z0" u="1"/>
        <s v="192943787Z0" u="1"/>
        <s v="311099" u="1"/>
        <s v="403411" u="1"/>
        <s v="569124" u="1"/>
        <s v="191001644" u="1"/>
        <s v="490183" u="1"/>
        <s v="ANU58901705R0" u="1"/>
        <s v="251633" u="1"/>
        <s v="20237491" u="1"/>
        <s v="58901868R0" u="1"/>
        <s v="251195" u="1"/>
        <s v="20218945" u="1"/>
        <s v="T415A100" u="1"/>
        <s v="191001744" u="1"/>
        <s v="734078" u="1"/>
        <s v="T425A100" u="1"/>
        <s v="ANU30212709" u="1"/>
        <s v="191001844" u="1"/>
        <s v="R122CC000" u="1"/>
        <s v="ANU191946241D8" u="1"/>
        <s v="256195" u="1"/>
        <s v="191943228R0" u="1"/>
        <s v="ANU76P925389" u="1"/>
        <s v="95IB84168" u="1"/>
        <s v="76P925547" u="1"/>
        <s v="582486" u="1"/>
        <s v="591006611" u="1"/>
        <s v="192933182N0" u="1"/>
        <s v="ANU192484" u="1"/>
        <s v="091006" u="1"/>
        <s v="76P925647" u="1"/>
        <s v="65950300" u="1"/>
        <s v="314471" u="1"/>
        <s v="20552069PRM" u="1"/>
        <s v="02.002.0013" u="1"/>
        <s v="567925" u="1"/>
        <s v="192943577C0" u="1"/>
        <s v="20921358" u="1"/>
        <s v="76P926187" u="1"/>
        <s v="250996" u="1"/>
        <s v="ANU567396" u="1"/>
        <s v="H451B200" u="1"/>
        <s v="76P926387" u="1"/>
        <s v="710002" u="1"/>
        <s v="132031" u="1"/>
        <s v="559888" u="1"/>
        <s v="191966081Z0" u="1"/>
        <s v="400325" u="1"/>
        <s v="766028" u="1"/>
        <s v="76P967100" u="1"/>
        <s v="58901611R0" u="1"/>
        <s v="567038" u="1"/>
        <s v="76P962632" u="1"/>
        <s v="1103600036" u="1"/>
        <s v="568038" u="1"/>
        <s v="768028" u="1"/>
        <s v="58901621R0" u="1"/>
        <s v="569038" u="1"/>
        <s v="490097" u="1"/>
        <s v="250103661" u="1"/>
        <s v="567224" u="1"/>
        <s v="58920726E0" u="1"/>
        <s v="190937476F0" u="1"/>
        <s v="190643" u="1"/>
        <s v="191001857RS" u="1"/>
        <s v="ANU76P924891" u="1"/>
        <s v="1100100085" u="1"/>
        <s v="422072" u="1"/>
        <s v="569224" u="1"/>
        <s v="490721" u="1"/>
        <s v="312199" u="1"/>
        <s v="251733" u="1"/>
        <s v="404073" u="1"/>
        <s v="567410" u="1"/>
        <s v="30217736" u="1"/>
        <s v="ANU58920781F0" u="1"/>
        <s v="731802" u="1"/>
        <s v="ANU190114" u="1"/>
        <s v="58914092E0" u="1"/>
        <s v="557187" u="1"/>
        <s v="30212760" u="1"/>
        <s v="760577" u="1"/>
        <s v="58901705R0" u="1"/>
        <s v="190008" u="1"/>
        <s v="190935012L0" u="1"/>
        <s v="192943809V7" u="1"/>
        <s v="58901815B0" u="1"/>
        <s v="191947025Z0" u="1"/>
        <s v="65960300" u="1"/>
        <s v="65716510" u="1"/>
        <s v="191966071C0" u="1"/>
        <s v="20PU640" u="1"/>
        <s v="40076400" u="1"/>
        <s v="58901707Z0" u="1"/>
        <s v="H622B100" u="1"/>
        <s v="766763" u="1"/>
        <s v="080069" u="1"/>
        <s v="20PU642" u="1"/>
        <s v="H632B100" u="1"/>
        <s v="58901693Z0" u="1"/>
        <s v="567773" u="1"/>
        <s v="20942603" u="1"/>
        <s v="58901827J0" u="1"/>
        <s v="20196000" u="1"/>
        <s v="760128" u="1"/>
        <s v="20PU643" u="1"/>
        <s v="20218842" u="1"/>
        <s v="58906318W0" u="1"/>
        <s v="192000714" u="1"/>
        <s v="084069" u="1"/>
        <s v="20PU644" u="1"/>
        <s v="20971386" u="1"/>
        <s v="ANU191937007P0" u="1"/>
        <s v="192000814" u="1"/>
        <s v="58901785R0" u="1"/>
        <s v="760314" u="1"/>
        <s v="20PU645" u="1"/>
        <s v="76P924417" u="1"/>
        <s v="314122" u="1"/>
        <s v="734101" u="1"/>
        <s v="192001154" u="1"/>
        <s v="30213793P" u="1"/>
        <s v="58901819R0" u="1"/>
        <s v="5540100" u="1"/>
        <s v="58901757Z0" u="1"/>
        <s v="190966341N0" u="1"/>
        <s v="191937050C0" u="1"/>
        <s v="58901795R0" u="1"/>
        <s v="400425" u="1"/>
        <s v="766128" u="1"/>
        <s v="76P924517" u="1"/>
        <s v="190935150D0" u="1"/>
        <s v="192933535Z0" u="1"/>
        <s v="192001254" u="1"/>
        <s v="58901829R0" u="1"/>
        <s v="58928032C0" u="1"/>
        <s v="557110" u="1"/>
        <s v="191001354" u="1"/>
        <s v="191966069N0" u="1"/>
        <s v="T113A200" u="1"/>
        <s v="T513A000" u="1"/>
        <s v="76P924617" u="1"/>
        <s v="58901839R0" u="1"/>
        <s v="403425" u="1"/>
        <s v="56110219" u="1"/>
        <s v="251647" u="1"/>
        <s v="400173" u="1"/>
        <s v="58901849R0" u="1"/>
        <s v="58906368W0" u="1"/>
        <s v="ANU600033" u="1"/>
        <s v="402173" u="1"/>
        <s v="R110G000" u="1"/>
        <s v="30193863P" u="1"/>
        <s v="192001067RO" u="1"/>
        <s v="192943797Z0" u="1"/>
        <s v="30212948" u="1"/>
        <s v="76P925157" u="1"/>
        <s v="403173" u="1"/>
        <s v="58931255L0" u="1"/>
        <s v="76P924917" u="1"/>
        <s v="586071" u="1"/>
        <s v="766062" u="1"/>
        <s v="R140G000" u="1"/>
        <s v="T617A000" u="1"/>
        <s v="191001754" u="1"/>
        <s v="252395" u="1"/>
        <s v="1103600053" u="1"/>
        <s v="768062" u="1"/>
        <s v="65270300" u="1"/>
        <s v="T427A100" u="1"/>
        <s v="191946995P0" u="1"/>
        <s v="R160G000" u="1"/>
        <s v="ANU552001132" u="1"/>
        <s v="ANU58920007B0" u="1"/>
        <s v="76P965455" u="1"/>
        <s v="191937092L0" u="1"/>
        <s v="20931101" u="1"/>
        <s v="191937048N0" u="1"/>
        <s v="ANU192394" u="1"/>
        <s v="583686" u="1"/>
        <s v="30212998" u="1"/>
        <s v="ANU30215199" u="1"/>
        <s v="76P925857" u="1"/>
        <s v="192943157N0" u="1"/>
        <s v="20921359" u="1"/>
        <s v="192933492N0" u="1"/>
        <s v="190042" u="1"/>
        <s v="550024" u="1"/>
        <s v="710016" u="1"/>
        <s v="ANU490604" u="1"/>
        <s v="191042" u="1"/>
        <s v="610114" u="1"/>
        <s v="760228" u="1"/>
        <s v="H453B200" u="1"/>
        <s v="554024" u="1"/>
        <s v="734015" u="1"/>
        <s v="2500321" u="1"/>
        <s v="58901520Z0" u="1"/>
        <s v="T420A000" u="1"/>
        <s v="59MS21231" u="1"/>
        <s v="190909" u="1"/>
        <s v="2500322" u="1"/>
        <s v="58901530Z0" u="1"/>
        <s v="557024" u="1"/>
        <s v="58901207L0" u="1"/>
        <s v="760414" u="1"/>
        <s v="191001830VE" u="1"/>
        <s v="403339" u="1"/>
        <s v="2500323" u="1"/>
        <s v="58920120Z0" u="1"/>
        <s v="191966091Z0" u="1"/>
        <s v="2500324" u="1"/>
        <s v="192933567L0" u="1"/>
        <s v="192943757N0" u="1"/>
        <s v="401087" u="1"/>
        <s v="9789672" u="1"/>
        <s v="760600" u="1"/>
        <s v="422086" u="1"/>
        <s v="760162" u="1"/>
        <s v="06.114.0010" u="1"/>
        <s v="403087" u="1"/>
        <s v="192904199N0" u="1"/>
        <s v="251747" u="1"/>
        <s v="400273" u="1"/>
        <s v="190843" u="1"/>
        <s v="9789675" u="1"/>
        <s v="490483" u="1"/>
        <s v="ID301001" u="1"/>
        <s v="405273" u="1"/>
        <s v="252495" u="1"/>
        <s v="569172" u="1"/>
        <s v="9789677" u="1"/>
        <s v="11192300" u="1"/>
        <s v="58901706R0" u="1"/>
        <s v="H720B000" u="1"/>
        <s v="58901716R0" u="1"/>
        <s v="20551348" u="1"/>
        <s v="65880300" u="1"/>
        <s v="ANU252496" u="1"/>
        <s v="58931150D0" u="1"/>
        <s v="ANU31203" u="1"/>
        <s v="191946992Z0" u="1"/>
        <s v="191966991Z0" u="1"/>
        <s v="20551358" u="1"/>
        <s v="3330197082" u="1"/>
        <s v="766777" u="1"/>
        <s v="192000324" u="1"/>
        <s v="76P9962620" u="1"/>
        <s v="191937098Z0" u="1"/>
        <s v="270045" u="1"/>
        <s v="58901708Z0" u="1"/>
        <s v="58901808J0" u="1"/>
        <s v="58920326R0" u="1"/>
        <s v="58901684Z0" u="1"/>
        <s v="252046" u="1"/>
        <s v="550124" u="1"/>
        <s v="311136" u="1"/>
        <s v="731115" u="1"/>
        <s v="58901694Z0" u="1"/>
        <s v="58901794J0" u="1"/>
        <s v="192142" u="1"/>
        <s v="312136" u="1"/>
        <s v="58901828J0" u="1"/>
        <s v="190966051N0" u="1"/>
        <s v="251232" u="1"/>
        <s v="760328" u="1"/>
        <s v="314136" u="1"/>
        <s v="734115" u="1"/>
        <s v="T411A000" u="1"/>
        <s v="58928003C0" u="1"/>
        <s v="58914201H0" u="1"/>
        <s v="T421A000" u="1"/>
        <s v="ANU311158" u="1"/>
        <s v="400439" u="1"/>
        <s v="20971387" u="1"/>
        <s v="58906295W0" u="1"/>
        <s v="192933345Z0" u="1"/>
        <s v="58901786R0" u="1"/>
        <s v="191937598Z0" u="1"/>
        <s v="192001164" u="1"/>
        <s v="403439" u="1"/>
        <s v="710050" u="1"/>
        <s v="191937060C0" u="1"/>
        <s v="490649" u="1"/>
        <s v="192000924" u="1"/>
        <s v="192933545Z0" u="1"/>
        <s v="192001264" u="1"/>
        <s v="567338" u="1"/>
        <s v="191937541G0" u="1"/>
        <s v="551003363" u="1"/>
        <s v="ANU76P926779" u="1"/>
        <s v="402187" u="1"/>
        <s v="58901878J0" u="1"/>
        <s v="490835" u="1"/>
        <s v="766076" u="1"/>
        <s v="76P925067" u="1"/>
        <s v="58901788Z0" u="1"/>
        <s v="58931308D0" u="1"/>
        <s v="ANU562023" u="1"/>
        <s v="30212949" u="1"/>
        <s v="58901798Z0" u="1"/>
        <s v="191001664" u="1"/>
        <s v="081006" u="1"/>
        <s v="567272" u="1"/>
        <s v="T619A000" u="1"/>
        <s v="190933383R0" u="1"/>
        <s v="192943420R0" u="1"/>
        <s v="192691" u="1"/>
        <s v="192933383R0" u="1"/>
        <s v="110106923600" u="1"/>
        <s v="76P925467" u="1"/>
        <s v="0486097" u="1"/>
        <s v="731850" u="1"/>
        <s v="30212989" u="1"/>
        <s v="H721B000" u="1"/>
        <s v="191966037E7" u="1"/>
        <s v="20PU590CU" u="1"/>
        <s v="65890300" u="1"/>
        <s v="733850" u="1"/>
        <s v="30212999" u="1"/>
        <s v="76P925667" u="1"/>
        <s v="20951121" u="1"/>
        <s v="58931278F9" u="1"/>
        <s v="590036" u="1"/>
        <s v="700002" u="1"/>
        <s v="192943829V0" u="1"/>
        <s v="ANU20969507" u="1"/>
        <s v="190935028Z0" u="1"/>
        <s v="3330179884" u="1"/>
        <s v="723001" u="1"/>
        <s v="ANU567019" u="1"/>
        <s v="734029" u="1"/>
        <s v="724001" u="1"/>
        <s v="ANU20165992" u="1"/>
        <s v="191946790F0" u="1"/>
        <s v="557038" u="1"/>
        <s v="405110" u="1"/>
        <s v="ANU567319" u="1"/>
        <s v="6942100" u="1"/>
        <s v="58901531Z0" u="1"/>
        <s v="760614" u="1"/>
        <s v="314422" u="1"/>
        <s v="760176" u="1"/>
        <s v="490749" u="1"/>
        <s v="400287" u="1"/>
        <s v="2500466" u="1"/>
        <s v="58931029I0" u="1"/>
        <s v="760362" u="1"/>
        <s v="314170" u="1"/>
        <s v="766176" u="1"/>
        <s v="567186" u="1"/>
        <s v="403473" u="1"/>
        <s v="490683" u="1"/>
        <s v="251695" u="1"/>
        <s v="ID301002" u="1"/>
        <s v="405473" u="1"/>
        <s v="567372" u="1"/>
        <s v="190791" u="1"/>
        <s v="30212752" u="1"/>
        <s v="58931536G0" u="1"/>
        <s v="58901635Z0" u="1"/>
        <s v="166009" u="1"/>
        <s v="2084151267" u="1"/>
        <s v="58901707R0" u="1"/>
        <s v="19191940N0" u="1"/>
        <s v="191916941Z0" u="1"/>
        <s v="20234693PRM" u="1"/>
        <s v="H722B000" u="1"/>
        <s v="192000134" u="1"/>
        <s v="192408" u="1"/>
        <s v="191966704Z0" u="1"/>
        <s v="270059" u="1"/>
        <s v="58901693R0" u="1"/>
        <s v="420023" u="1"/>
        <s v="600014" u="1"/>
        <s v="190966042R0" u="1"/>
        <s v="421023" u="1"/>
        <s v="590136" u="1"/>
        <s v="320121" u="1"/>
        <s v="422023" u="1"/>
        <s v="H224C700" u="1"/>
        <s v="251246" u="1"/>
        <s v="ANU190634" u="1"/>
        <s v="402210" u="1"/>
        <s v="58931500Z0" u="1"/>
        <s v="192000534" u="1"/>
        <s v="58901757R0" u="1"/>
        <s v="30210008" u="1"/>
        <s v="58901695Z0" u="1"/>
        <s v="58901829J0" u="1"/>
        <s v="76P924237" u="1"/>
        <s v="252432" u="1"/>
        <s v="T413A000" u="1"/>
        <s v="58901839J0" u="1"/>
        <s v="191090" u="1"/>
        <s v="76P924337" u="1"/>
        <s v="192090" u="1"/>
        <s v="191001174" u="1"/>
        <s v="191916301N0" u="1"/>
        <s v="ANU56259" u="1"/>
        <s v="192001174" u="1"/>
        <s v="58901759Z0" u="1"/>
        <s v="192944920F0" u="1"/>
        <s v="490849" u="1"/>
        <s v="192000934" u="1"/>
        <s v="192001274" u="1"/>
        <s v="58931193L0" u="1"/>
        <s v="95IB78061" u="1"/>
        <s v="58912270A0" u="1"/>
        <s v="191966089N0" u="1"/>
        <s v="256180" u="1"/>
        <s v="191966036L0" u="1"/>
        <s v="403387" u="1"/>
        <s v="58920497B0" u="1"/>
        <s v="65205020" u="1"/>
        <s v="191947035C0" u="1"/>
        <s v="ANU58940004C0" u="1"/>
        <s v="76P925077" u="1"/>
        <s v="58931309D0" u="1"/>
        <s v="ANU562033" u="1"/>
        <s v="58920064G0" u="1"/>
        <s v="191937040N0" u="1"/>
        <s v="58901941E0" u="1"/>
        <s v="191001674" u="1"/>
        <s v="76P959466" u="1"/>
        <s v="190891" u="1"/>
        <s v="58920084G0" u="1"/>
        <s v="76P925377" u="1"/>
        <s v="250981" u="1"/>
        <s v="20931103" u="1"/>
        <s v="20558956" u="1"/>
        <s v="191966102F0" u="1"/>
        <s v="700016" u="1"/>
        <s v="720015" u="1"/>
        <s v="760013" u="1"/>
        <s v="76P925577" u="1"/>
        <s v="76P959766" u="1"/>
        <s v="192933345C0" u="1"/>
        <s v="H523B100" u="1"/>
        <s v="761013" u="1"/>
        <s v="ANU405131" u="1"/>
        <s v="191937540N0" u="1"/>
        <s v="562023" u="1"/>
        <s v="76P925677" u="1"/>
        <s v="ANU557064" u="1"/>
        <s v="58931279F9" u="1"/>
        <s v="ANU20953329" u="1"/>
        <s v="564023" u="1"/>
        <s v="65685100" u="1"/>
        <s v="76P925777" u="1"/>
        <s v="58901520R0" u="1"/>
        <s v="765013" u="1"/>
        <s v="ANU567301" u="1"/>
        <s v="191937740N0" u="1"/>
        <s v="400310" u="1"/>
        <s v="65001601" u="1"/>
        <s v="58901530R0" u="1"/>
        <s v="567023" u="1"/>
        <s v="568023" u="1"/>
        <s v="768013" u="1"/>
        <s v="192943277N0" u="1"/>
        <s v="192442" u="1"/>
        <s v="191001821CA" u="1"/>
        <s v="405310" u="1"/>
        <s v="314436" u="1"/>
        <s v="192943477N0" u="1"/>
        <s v="58931038A0" u="1"/>
        <s v="30211230" u="1"/>
        <s v="58901532Z0" u="1"/>
        <s v="58901632J0" u="1"/>
        <s v="CS2000P1-B3" u="1"/>
        <s v="191966149B0" u="1"/>
        <s v="760376" u="1"/>
        <s v="314184" u="1"/>
        <s v="65001651" u="1"/>
        <s v="20PU645JU15" u="1"/>
        <s v="191947018D0" u="1"/>
        <s v="58906153W0" u="1"/>
        <s v="567386" u="1"/>
        <s v="9073" u="1"/>
        <s v="58901706J0" u="1"/>
        <s v="192933353F0" u="1"/>
        <s v="58901716J0" u="1"/>
        <s v="ANU37938037S0" u="1"/>
        <s v="ANU20976956" u="1"/>
        <s v="ANU192944491D8" u="1"/>
        <s v="30212753" u="1"/>
        <s v="H450B100" u="1"/>
        <s v="58906183W0" u="1"/>
        <s v="58931537G0" u="1"/>
        <s v="190937476Q0" u="1"/>
        <s v="400038" u="1"/>
        <s v="58901708R0" u="1"/>
        <s v="9789182" u="1"/>
        <s v="58901684R0" u="1"/>
        <s v="191608" u="1"/>
        <s v="422037" u="1"/>
        <s v="760113" u="1"/>
        <s v="30212773" u="1"/>
        <s v="283044" u="1"/>
        <s v="58901694R0" u="1"/>
        <s v="400224" u="1"/>
        <s v="191947055Z0" u="1"/>
        <s v="192000244" u="1"/>
        <s v="58906247W0" u="1"/>
        <s v="402224" u="1"/>
        <s v="65695100" u="1"/>
        <s v="T311A000" u="1"/>
        <s v="56127724" u="1"/>
        <s v="192000344" u="1"/>
        <s v="403224" u="1"/>
        <s v="400410" u="1"/>
        <s v="567123" u="1"/>
        <s v="19966064P1" u="1"/>
        <s v="252446" u="1"/>
        <s v="710078" u="1"/>
        <s v="311098" u="1"/>
        <s v="ANU20942465" u="1"/>
        <s v="T311A030" u="1"/>
        <s v="ANU20559663" u="1"/>
        <s v="251632" u="1"/>
        <s v="ANU191084" u="1"/>
        <s v="9789188" u="1"/>
        <s v="191966071N0" u="1"/>
        <s v="T415A000" u="1"/>
        <s v="58940004G0" u="1"/>
        <s v="20969491PRM" u="1"/>
        <s v="ANU30212989" u="1"/>
        <s v="734077" u="1"/>
        <s v="58931521Z0" u="1"/>
        <s v="T425A000" u="1"/>
        <s v="192000744" u="1"/>
        <s v="02.003.0001" u="1"/>
        <s v="76P924347" u="1"/>
        <s v="58906397G0" u="1"/>
        <s v="192001084" u="1"/>
        <s v="58901788R0" u="1"/>
        <s v="58920468B0" u="1"/>
        <s v="76P924447" u="1"/>
        <s v="760476" u="1"/>
        <s v="192001184" u="1"/>
        <s v="1103100005" u="1"/>
        <s v="256194" u="1"/>
        <s v="191001284" u="1"/>
        <s v="192000944" u="1"/>
        <s v="58901798R0" u="1"/>
        <s v="582485" u="1"/>
        <s v="192001284" u="1"/>
        <s v="090005" u="1"/>
        <s v="58912271A0" u="1"/>
        <s v="091005" u="1"/>
        <s v="76P924647" u="1"/>
        <s v="20PU293" u="1"/>
        <s v="190966199N0" u="1"/>
        <s v="314470" u="1"/>
        <s v="ANU132002" u="1"/>
        <s v="02.001.0013" u="1"/>
        <s v="490797" u="1"/>
        <s v="65205021" u="1"/>
        <s v="191946191J0" u="1"/>
        <s v="567924" u="1"/>
        <s v="20213933" u="1"/>
        <s v="58901932E0" u="1"/>
        <s v="76P924847" u="1"/>
        <s v="191937050N0" u="1"/>
        <s v="ANU166019" u="1"/>
        <s v="02.001.0014" u="1"/>
        <s v="191937006P0" u="1"/>
        <s v="191001784" u="1"/>
        <s v="58931310G0" u="1"/>
        <s v="H451B100" u="1"/>
        <s v="06.176.0012" u="1"/>
        <s v="710001" u="1"/>
        <s v="191001884" u="1"/>
        <s v="191947015N0" u="1"/>
        <s v="192933250P0" u="1"/>
        <s v="761027" u="1"/>
        <s v="191946972N0" u="1"/>
        <s v="132030" u="1"/>
        <s v="ANU567011" u="1"/>
        <s v="402138" u="1"/>
        <s v="584036" u="1"/>
        <s v="403138" u="1"/>
        <s v="591006651" u="1"/>
        <s v="58901716U1" u="1"/>
        <s v="766027" u="1"/>
        <s v="567037" u="1"/>
        <s v="568037" u="1"/>
        <s v="T312A000" u="1"/>
        <s v="ANU192427" u="1"/>
        <s v="403324" u="1"/>
        <s v="ANU567311" u="1"/>
        <s v="190937478N0" u="1"/>
        <s v="58901531R0" u="1"/>
        <s v="567223" u="1"/>
        <s v="190642" u="1"/>
        <s v="192943287N0" u="1"/>
        <s v="422071" u="1"/>
        <s v="569223" u="1"/>
        <s v="251732" u="1"/>
        <s v="ANU76P924863" u="1"/>
        <s v="40000022" u="1"/>
        <s v="405072" u="1"/>
        <s v="192933525N0" u="1"/>
        <s v="314198" u="1"/>
        <s v="T312A040" u="1"/>
        <s v="58901523Z0" u="1"/>
        <s v="58901623J0" u="1"/>
        <s v="ANU76P925020" u="1"/>
        <s v="65301622" u="1"/>
        <s v="58901533Z0" u="1"/>
        <s v="190903966A0" u="1"/>
        <s v="20951183" u="1"/>
        <s v="30212660" u="1"/>
        <s v="760576" u="1"/>
        <s v="65301632" u="1"/>
        <s v="190007" u="1"/>
        <s v="58920261B0" u="1"/>
        <s v="190943200F0" u="1"/>
        <s v="65301642" u="1"/>
        <s v="192943787N0" u="1"/>
        <s v="191966024Z0" u="1"/>
        <s v="192943200F0" u="1"/>
        <s v="65360230" u="1"/>
        <s v="19966141P0" u="1"/>
        <s v="58920143Z0" u="1"/>
        <s v="191937110B0" u="1"/>
        <s v="58901635R0" u="1"/>
        <s v="58920315B0" u="1"/>
        <s v="58906154W0" u="1"/>
        <s v="ANU251686" u="1"/>
        <s v="58920291B0" u="1"/>
        <s v="ANU20559834" u="1"/>
        <s v="65301672" u="1"/>
        <s v="58920325B0" u="1"/>
        <s v="ANU58920778D0" u="1"/>
        <s v="191966324Z0" u="1"/>
        <s v="766762" u="1"/>
        <s v="080068" u="1"/>
        <s v="ID301004" u="1"/>
        <s v="567772" u="1"/>
        <s v="ANU314473" u="1"/>
        <s v="65301692" u="1"/>
        <s v="58901765B0" u="1"/>
        <s v="192933563F0" u="1"/>
        <s v="58906184W0" u="1"/>
        <s v="191946247L9" u="1"/>
        <s v="710101" u="1"/>
        <s v="30208452P" u="1"/>
        <s v="311121" u="1"/>
        <s v="400238" u="1"/>
        <s v="ANU20559836" u="1"/>
        <s v="190903521B0" u="1"/>
        <s v="192943800F0" u="1"/>
        <s v="734100" u="1"/>
        <s v="192000154" u="1"/>
        <s v="58931500R0" u="1"/>
        <s v="58901695R0" u="1"/>
        <s v="400424" u="1"/>
        <s v="567137" u="1"/>
        <s v="192943772D0" u="1"/>
        <s v="T113A100" u="1"/>
        <s v="T313A000" u="1"/>
        <s v="56127725" u="1"/>
        <s v="192000354" u="1"/>
        <s v="ANU311160" u="1"/>
        <s v="190935308N0" u="1"/>
        <s v="251646" u="1"/>
        <s v="567323" u="1"/>
        <s v="191936988Z0" u="1"/>
        <s v="402172" u="1"/>
        <s v="76P900005" u="1"/>
        <s v="58901759R0" u="1"/>
        <s v="ANU30211350" u="1"/>
        <s v="192933175Z0" u="1"/>
        <s v="490820" u="1"/>
        <s v="565071" u="1"/>
        <s v="T313A030" u="1"/>
        <s v="313736" u="1"/>
        <s v="766061" u="1"/>
        <s v="567071" u="1"/>
        <s v="1103000017" u="1"/>
        <s v="58931165L0" u="1"/>
        <s v="58940005G0" u="1"/>
        <s v="20942617" u="1"/>
        <s v="T427A000" u="1"/>
        <s v="192000754" u="1"/>
        <s v="58906398G0" u="1"/>
        <s v="191000854" u="1"/>
        <s v="192000854" u="1"/>
        <s v="76P924457" u="1"/>
        <s v="192001194" u="1"/>
        <s v="190107" u="1"/>
        <s v="9786030" u="1"/>
        <s v="191001294" u="1"/>
        <s v="192000954" u="1"/>
        <s v="ANU166001" u="1"/>
        <s v="58901799R0" u="1"/>
        <s v="192001294" u="1"/>
        <s v="58920489B0" u="1"/>
        <s v="3FPAP310218" u="1"/>
        <s v="191001494" u="1"/>
        <s v="192943812Z0" u="1"/>
        <s v="ANU404039" u="1"/>
        <s v="ANU166029" u="1"/>
        <s v="190041" u="1"/>
        <s v="710015" u="1"/>
        <s v="76P924957" u="1"/>
        <s v="58901400Z0" u="1"/>
        <s v="191041" u="1"/>
        <s v="610113" u="1"/>
        <s v="58931311G0" u="1"/>
        <s v="58901410Z0" u="1"/>
        <s v="H453B100" u="1"/>
        <s v="76P925397" u="1"/>
        <s v="314035" u="1"/>
        <s v="554023" u="1"/>
        <s v="191001894" u="1"/>
        <s v="192943831V0" u="1"/>
        <s v="191946982N0" u="1"/>
        <s v="76P925497" u="1"/>
        <s v="190935030Z0" u="1"/>
        <s v="190908" u="1"/>
        <s v="58901530J0" u="1"/>
        <s v="557023" u="1"/>
        <s v="9789660" u="1"/>
        <s v="76P969823" u="1"/>
        <s v="191966122F0" u="1"/>
        <s v="76P925597" u="1"/>
        <s v="314221" u="1"/>
        <s v="65300110" u="1"/>
        <s v="403338" u="1"/>
        <s v="591006661" u="1"/>
        <s v="65200120" u="1"/>
        <s v="191966222F0" u="1"/>
        <s v="76P926112" u="1"/>
        <s v="190943097N0" u="1"/>
        <s v="420085" u="1"/>
        <s v="65700100" u="1"/>
        <s v="567237" u="1"/>
        <s v="58901450Z0" u="1"/>
        <s v="ANU567221" u="1"/>
        <s v="191966322F0" u="1"/>
        <s v="T314A000" u="1"/>
        <s v="422085" u="1"/>
        <s v="760161" u="1"/>
        <s v="58920202B0" u="1"/>
        <s v="ANU58901632E0" u="1"/>
        <s v="ANU567321" u="1"/>
        <s v="192933235N0" u="1"/>
        <s v="595002236" u="1"/>
        <s v="76P926312" u="1"/>
        <s v="251746" u="1"/>
        <s v="400272" u="1"/>
        <s v="58901532R0" u="1"/>
        <s v="58920050Z0" u="1"/>
        <s v="190842" u="1"/>
        <s v="9789665" u="1"/>
        <s v="372395" u="1"/>
        <s v="T314A030" u="1"/>
        <s v="766161" u="1"/>
        <s v="313398" u="1"/>
        <s v="405272" u="1"/>
        <s v="192933535N0" u="1"/>
        <s v="192944490R0" u="1"/>
        <s v="252494" u="1"/>
        <s v="569171" u="1"/>
        <s v="11192200" u="1"/>
        <s v="58901534Z0" u="1"/>
        <s v="58931173O1" u="1"/>
        <s v="40000043" u="1"/>
        <s v="76P952248" u="1"/>
        <s v="20917200" u="1"/>
        <s v="192943797N0" u="1"/>
        <s v="20976199" u="1"/>
        <s v="191937129F0" u="1"/>
        <s v="766776" u="1"/>
        <s v="58906155W0" u="1"/>
        <s v="ANU251696" u="1"/>
        <s v="65780230" u="1"/>
        <s v="550123" u="1"/>
        <s v="710115" u="1"/>
        <s v="311135" u="1"/>
        <s v="192933473F0" u="1"/>
        <s v="192141" u="1"/>
        <s v="251231" u="1"/>
        <s v="20226088" u="1"/>
        <s v="760327" u="1"/>
        <s v="58906185W0" u="1"/>
        <s v="58920551Z9" u="1"/>
        <s v="400438" u="1"/>
        <s v="192933248D0" u="1"/>
        <s v="ANU407034" u="1"/>
        <s v="95IB56612" u="1"/>
        <s v="760075" u="1"/>
        <s v="403438" u="1"/>
        <s v="ANU20926322" u="1"/>
        <s v="582522" u="1"/>
        <s v="192000264" u="1"/>
        <s v="405438" u="1"/>
        <s v="192933543Q0" u="1"/>
        <s v="20557342" u="1"/>
        <s v="65810100" u="1"/>
        <s v="402186" u="1"/>
        <s v="564085" u="1"/>
        <s v="760261" u="1"/>
        <s v="56127726" u="1"/>
        <s v="58931521R0" u="1"/>
        <s v="490834" u="1"/>
        <s v="586084" u="1"/>
        <s v="766075" u="1"/>
        <s v="19966066P1" u="1"/>
        <s v="191946295D8" u="1"/>
        <s v="76P900015" u="1"/>
        <s v="192942" u="1"/>
        <s v="191966091N0" u="1"/>
        <s v="081005" u="1"/>
        <s v="405372" u="1"/>
        <s v="567271" u="1"/>
        <s v="30216001" u="1"/>
        <s v="58940006G0" u="1"/>
        <s v="58906399G0" u="1"/>
        <s v="58920298Z0" u="1"/>
        <s v="192933385Z0" u="1"/>
        <s v="192690" u="1"/>
        <s v="76P924467" u="1"/>
        <s v="192001007" u="1"/>
        <s v="58901904E0" u="1"/>
        <s v="086005" u="1"/>
        <s v="192000964" u="1"/>
        <s v="191001856MO" u="1"/>
        <s v="25999990" u="1"/>
        <s v="76P924567" u="1"/>
        <s v="58931258D0" u="1"/>
        <s v="191001207" u="1"/>
        <s v="192001207" u="1"/>
        <s v="190055" u="1"/>
        <s v="710029" u="1"/>
        <s v="191937103C0" u="1"/>
        <s v="ANU30210495" u="1"/>
        <s v="320020" u="1"/>
        <s v="700001" u="1"/>
        <s v="76P924767" u="1"/>
        <s v="192933785Z0" u="1"/>
        <s v="191916359N0" u="1"/>
        <s v="ANU20975291" u="1"/>
        <s v="65790230" u="1"/>
        <s v="191001507" u="1"/>
        <s v="58901401Z0" u="1"/>
        <s v="191916559N0" u="1"/>
        <s v="312235" u="1"/>
        <s v="191936988C0" u="1"/>
        <s v="191001607" u="1"/>
        <s v="58901511J0" u="1"/>
        <s v="192001051CA" u="1"/>
        <s v="557037" u="1"/>
        <s v="192933175C0" u="1"/>
        <s v="T212A000" u="1"/>
        <s v="191947035N0" u="1"/>
        <s v="ANU30210497" u="1"/>
        <s v="191001707" u="1"/>
        <s v="58928001V0" u="1"/>
        <s v="191966991N0" u="1"/>
        <s v="575222" u="1"/>
        <s v="T222A000" u="1"/>
        <s v="312421" u="1"/>
        <s v="610061" u="1"/>
        <s v="191001807" u="1"/>
        <s v="58901531J0" u="1"/>
        <s v="314421" u="1"/>
        <s v="760175" u="1"/>
        <s v="191001907" u="1"/>
        <s v="65200121" u="1"/>
        <s v="65200131" u="1"/>
        <s v="520811" u="1"/>
        <s v="T316A000" u="1"/>
        <s v="760361" u="1"/>
        <s v="58901523R0" u="1"/>
        <s v="30212612" u="1"/>
        <s v="ANU567331" u="1"/>
        <s v="76P926322" u="1"/>
        <s v="191001822GR" u="1"/>
        <s v="192933398P0" u="1"/>
        <s v="58901533R0" u="1"/>
        <s v="191966007D0" u="1"/>
        <s v="ANU76P924854" u="1"/>
        <s v="ANU58901409Z0" u="1"/>
        <s v="190935168Z0" u="1"/>
        <s v="192944152C0" u="1"/>
        <s v="191946954V7" u="1"/>
        <s v="403472" u="1"/>
        <s v="ANU76P924864" u="1"/>
        <s v="251694" u="1"/>
        <s v="ANU567259" u="1"/>
        <s v="405472" u="1"/>
        <s v="567371" u="1"/>
        <s v="ANU490854" u="1"/>
        <s v="192933545N0" u="1"/>
        <s v="190790" u="1"/>
        <s v="58901625J0" u="1"/>
        <s v="653049057" u="1"/>
        <s v="191001851N0" u="1"/>
        <s v="58931174O1" u="1"/>
        <s v="191947020D0" u="1"/>
        <s v="166008" u="1"/>
        <s v="313784" u="1"/>
        <s v="40000044" u="1"/>
        <s v="65300215" u="1"/>
        <s v="192407" u="1"/>
        <s v="270058" u="1"/>
        <s v="191937183D0" u="1"/>
        <s v="600013" u="1"/>
        <s v="401023" u="1"/>
        <s v="421022" u="1"/>
        <s v="492047" u="1"/>
        <s v="320120" u="1"/>
        <s v="422022" u="1"/>
        <s v="311149" u="1"/>
        <s v="403023" u="1"/>
        <s v="58920712H0" u="1"/>
        <s v="251245" u="1"/>
        <s v="ANU564046" u="1"/>
        <s v="ANU20237849" u="1"/>
        <s v="30212736" u="1"/>
        <s v="ANU58931315C0" u="1"/>
        <s v="58931043L0" u="1"/>
        <s v="58901695J0" u="1"/>
        <s v="58906176W0" u="1"/>
        <s v="20563943" u="1"/>
        <s v="760527" u="1"/>
        <s v="252431" u="1"/>
        <s v="760089" u="1"/>
        <s v="T213A000" u="1"/>
        <s v="190946594K0" u="1"/>
        <s v="710063" u="1"/>
        <s v="190935300N0" u="1"/>
        <s v="58931107L0" u="1"/>
        <s v="192943592D0" u="1"/>
        <s v="564099" u="1"/>
        <s v="65711510" u="1"/>
        <s v="192000174" u="1"/>
        <s v="734062" u="1"/>
        <s v="58901716A7" u="1"/>
        <s v="490848" u="1"/>
        <s v="190935272L0" u="1"/>
        <s v="557071" u="1"/>
        <s v="T317A000" u="1"/>
        <s v="ANU569214" u="1"/>
        <s v="58920397B0" u="1"/>
        <s v="080019" u="1"/>
        <s v="19966067P1" u="1"/>
        <s v="405386" u="1"/>
        <s v="20557363" u="1"/>
        <s v="ANU20557342" u="1"/>
        <s v="191937091G0" u="1"/>
        <s v="76P900025" u="1"/>
        <s v="490782" u="1"/>
        <s v="58931314Z1" u="1"/>
        <s v="76P924277" u="1"/>
        <s v="190890" u="1"/>
        <s v="ANU191017" u="1"/>
        <s v="191946964V0" u="1"/>
        <s v="192001017" u="1"/>
        <s v="58914226H0" u="1"/>
        <s v="192000974" u="1"/>
        <s v="ANU166021" u="1"/>
        <s v="58901005L0" u="1"/>
        <s v="700015" u="1"/>
        <s v="720014" u="1"/>
        <s v="760012" u="1"/>
        <s v="25999991" u="1"/>
        <s v="ANU191217" u="1"/>
        <s v="58901400R0" u="1"/>
        <s v="192001117" u="1"/>
        <s v="400123" u="1"/>
        <s v="562022" u="1"/>
        <s v="76P924677" u="1"/>
        <s v="58901410R0" u="1"/>
        <s v="192943832Z0" u="1"/>
        <s v="ANU30213793P" u="1"/>
        <s v="584021" u="1"/>
        <s v="R110B000" u="1"/>
        <s v="58920481E0" u="1"/>
        <s v="20556048" u="1"/>
        <s v="766012" u="1"/>
        <s v="191001417" u="1"/>
        <s v="76P924877" u="1"/>
        <s v="ANU20218842" u="1"/>
        <s v="405123" u="1"/>
        <s v="567022" u="1"/>
        <s v="R140B000" u="1"/>
        <s v="ANU30213354" u="1"/>
        <s v="768012" u="1"/>
        <s v="R150B000" u="1"/>
        <s v="76P924977" u="1"/>
        <s v="58920120B0" u="1"/>
        <s v="ANU58920006E0" u="1"/>
        <s v="569022" u="1"/>
        <s v="192441" u="1"/>
        <s v="65301501" u="1"/>
        <s v="191916941N0" u="1"/>
        <s v="R170B000" u="1"/>
        <s v="191001617" u="1"/>
        <s v="58901450R0" u="1"/>
        <s v="760627" u="1"/>
        <s v="192933185C0" u="1"/>
        <s v="314435" u="1"/>
        <s v="760189" u="1"/>
        <s v="30216092" u="1"/>
        <s v="192933236R0" u="1"/>
        <s v="190937480N0" u="1"/>
        <s v="58901532J0" u="1"/>
        <s v="191966142F0" u="1"/>
        <s v="76P926032" u="1"/>
        <s v="2500597" u="1"/>
        <s v="191001917" u="1"/>
        <s v="ANU400406" u="1"/>
        <s v="56127500" u="1"/>
        <s v="58901452Z0" u="1"/>
        <s v="567199" u="1"/>
        <s v="ANU567241" u="1"/>
        <s v="ANU20560330" u="1"/>
        <s v="557171" u="1"/>
        <s v="T318A000" u="1"/>
        <s v="20956098" u="1"/>
        <s v="58920204B0" u="1"/>
        <s v="30212613" u="1"/>
        <s v="58901562J0" u="1"/>
        <s v="403486" u="1"/>
        <s v="569199" u="1"/>
        <s v="490696" u="1"/>
        <s v="58901534R0" u="1"/>
        <s v="ANU567069" u="1"/>
        <s v="405486" u="1"/>
        <s v="567385" u="1"/>
        <s v="58901506Z0" u="1"/>
        <s v="192933785C0" u="1"/>
        <s v="ANU58931174Z1" u="1"/>
        <s v="H410B000" u="1"/>
        <s v="H410B010" u="1"/>
        <s v="ANU567269" u="1"/>
        <s v="ANU490864" u="1"/>
        <s v="1100000417" u="1"/>
        <s v="192933555N0" u="1"/>
        <s v="310984" u="1"/>
        <s v="H460B000" u="1"/>
        <s v="58931175O1" u="1"/>
        <s v="65460203" u="1"/>
        <s v="65560203" u="1"/>
        <s v="401037" u="1"/>
        <s v="422036" u="1"/>
        <s v="760112" u="1"/>
        <s v="283043" u="1"/>
        <s v="420222" u="1"/>
        <s v="251259" u="1"/>
        <s v="405037" u="1"/>
        <s v="58906147W0" u="1"/>
        <s v="402223" u="1"/>
        <s v="T111A000" u="1"/>
        <s v="58912101A0" u="1"/>
        <s v="191947058D0" u="1"/>
        <s v="403223" u="1"/>
        <s v="T121A000" u="1"/>
        <s v="58906157W0" u="1"/>
        <s v="20558703" u="1"/>
        <s v="20961042" u="1"/>
        <s v="30212737" u="1"/>
        <s v="252445" u="1"/>
        <s v="710077" u="1"/>
        <s v="58931501J0" u="1"/>
        <s v="191966354Z0" u="1"/>
        <s v="58901700M0" u="1"/>
        <s v="311097" u="1"/>
        <s v="T121A020" u="1"/>
        <s v="58906177W0" u="1"/>
        <s v="20563944" u="1"/>
        <s v="R171B000" u="1"/>
        <s v="251631" u="1"/>
        <s v="734076" u="1"/>
        <s v="192000084" u="1"/>
        <s v="190935310N0" u="1"/>
        <s v="312283" u="1"/>
        <s v="316097" u="1"/>
        <s v="58912151A0" u="1"/>
        <s v="58931108L0" u="1"/>
        <s v="ANU58931283C0" u="1"/>
        <s v="191936990Z0" u="1"/>
        <s v="ANU20155678" u="1"/>
        <s v="760475" u="1"/>
        <s v="192000184" u="1"/>
        <s v="256193" u="1"/>
        <s v="ANU58901941E0" u="1"/>
        <s v="090004" u="1"/>
        <s v="551006611" u="1"/>
        <s v="091004" u="1"/>
        <s v="192000384" u="1"/>
        <s v="58920402E0" u="1"/>
        <s v="58912181A0" u="1"/>
        <s v="490796" u="1"/>
        <s v="567923" u="1"/>
        <s v="191966144C0" u="1"/>
        <s v="192943805D0" u="1"/>
        <s v="192000584" u="1"/>
        <s v="ANU165019" u="1"/>
        <s v="06.077.0009" u="1"/>
        <s v="250994" u="1"/>
        <s v="58901852E0" u="1"/>
        <s v="66930103" u="1"/>
        <s v="192000784" u="1"/>
        <s v="65370203" u="1"/>
        <s v="H461B000" u="1"/>
        <s v="25999982" u="1"/>
        <s v="58901906E0" u="1"/>
        <s v="ANU166031" u="1"/>
        <s v="65205005" u="1"/>
        <s v="58901401R0" u="1"/>
        <s v="191937171R0" u="1"/>
        <s v="ANU58901005E0" u="1"/>
        <s v="192001127" u="1"/>
        <s v="58901716E1" u="1"/>
        <s v="562222" u="1"/>
        <s v="766026" u="1"/>
        <s v="3330196047" u="1"/>
        <s v="118808026600" u="1"/>
        <s v="192001227" u="1"/>
        <s v="768026" u="1"/>
        <s v="76P924787" u="1"/>
        <s v="58901064D0" u="1"/>
        <s v="403323" u="1"/>
        <s v="569036" u="1"/>
        <s v="T122A000" u="1"/>
        <s v="19943034D0" u="1"/>
        <s v="313449" u="1"/>
        <s v="405323" u="1"/>
        <s v="567222" u="1"/>
        <s v="20931044" u="1"/>
        <s v="190641" u="1"/>
        <s v="314449" u="1"/>
        <s v="76P925402" u="1"/>
        <s v="422070" u="1"/>
        <s v="569222" u="1"/>
        <s v="ANU76P924825" u="1"/>
        <s v="76P925502" u="1"/>
        <s v="251731" u="1"/>
        <s v="404071" u="1"/>
        <s v="191001727" u="1"/>
        <s v="731800" u="1"/>
        <s v="65200103" u="1"/>
        <s v="58901533J0" u="1"/>
        <s v="190943102N0" u="1"/>
        <s v="557185" u="1"/>
        <s v="76P926042" u="1"/>
        <s v="192933395C0" u="1"/>
        <s v="760575" u="1"/>
        <s v="190006" u="1"/>
        <s v="58901581B0" u="1"/>
        <s v="132009" u="1"/>
        <s v="31209" u="1"/>
        <s v="20956099" u="1"/>
        <s v="76P965728" u="1"/>
        <s v="58920215B0" u="1"/>
        <s v="192933212L0" u="1"/>
        <s v="190966127D0" u="1"/>
        <s v="259999988" u="1"/>
        <s v="76P926442" u="1"/>
        <s v="58901507Z0" u="1"/>
        <s v="20PU621" u="1"/>
        <s v="ANU30212660" u="1"/>
        <s v="190935288Z0" u="1"/>
        <s v="080067" u="1"/>
        <s v="20PU622" u="1"/>
        <s v="567771" u="1"/>
        <s v="76P926642" u="1"/>
        <s v="58901527Z0" u="1"/>
        <s v="9792503" u="1"/>
        <s v="58920245B0" u="1"/>
        <s v="760126" u="1"/>
        <s v="20PU623" u="1"/>
        <s v="710100" u="1"/>
        <s v="ANU58902180S0" u="1"/>
        <s v="58931176O1" u="1"/>
        <s v="20PU624" u="1"/>
        <s v="9792505" u="1"/>
        <s v="20PU625" u="1"/>
        <s v="191937059F0" u="1"/>
        <s v="76P926942" u="1"/>
        <s v="400423" u="1"/>
        <s v="20PU626" u="1"/>
        <s v="19943212G0" u="1"/>
        <s v="ANU58901714Z0" u="1"/>
        <s v="58920309B0" u="1"/>
        <s v="58906148W0" u="1"/>
        <s v="252459" u="1"/>
        <s v="550099" u="1"/>
        <s v="760060" u="1"/>
        <s v="403423" u="1"/>
        <s v="58901577Z0" u="1"/>
        <s v="191916304Z0" u="1"/>
        <s v="ANU554104" u="1"/>
        <s v="251645" u="1"/>
        <s v="58920329B0" u="1"/>
        <s v="405423" u="1"/>
        <s v="567322" u="1"/>
        <s v="20961043" u="1"/>
        <s v="30212738" u="1"/>
        <s v="58906168W0" u="1"/>
        <s v="554099" u="1"/>
        <s v="191966699B0" u="1"/>
        <s v="565070" u="1"/>
        <s v="20558690" u="1"/>
        <s v="20917253" u="1"/>
        <s v="20563945" u="1"/>
        <s v="58931412Z0" u="1"/>
        <s v="191937129Q0" u="1"/>
        <s v="766060" u="1"/>
        <s v="557099" u="1"/>
        <s v="310921" u="1"/>
        <s v="65170100" u="1"/>
        <s v="ANU20970282" u="1"/>
        <s v="768060" u="1"/>
        <s v="192000194" u="1"/>
        <s v="190106" u="1"/>
        <s v="3330207660" u="1"/>
        <s v="37938119Q0" u="1"/>
        <s v="192933478D0" u="1"/>
        <s v="9786021" u="1"/>
        <s v="3330196250" u="1"/>
        <s v="9786022" u="1"/>
        <s v="58901823E0" u="1"/>
        <s v="58920403E0" u="1"/>
        <s v="190966054C0" u="1"/>
        <s v="58930181B0" u="1"/>
        <s v="191966054C0" u="1"/>
        <s v="9786023" u="1"/>
        <s v="58931472Z0" u="1"/>
        <s v="58931149L0" u="1"/>
        <s v="H403B000" u="1"/>
        <s v="9786024" u="1"/>
        <s v="58901005D0" u="1"/>
        <s v="58920423E0" u="1"/>
        <s v="190040" u="1"/>
        <s v="191040" u="1"/>
        <s v="791010" u="1"/>
        <s v="9786025" u="1"/>
        <s v="312034" u="1"/>
        <s v="610112" u="1"/>
        <s v="192000794" u="1"/>
        <s v="190966024N0" u="1"/>
        <s v="760226" u="1"/>
        <s v="554022" u="1"/>
        <s v="65390203" u="1"/>
        <s v="58914541V0" u="1"/>
        <s v="191916361N0" u="1"/>
        <s v="400337" u="1"/>
        <s v="25999983" u="1"/>
        <s v="65300000" u="1"/>
        <s v="58914551V0" u="1"/>
        <s v="191946953F8" u="1"/>
        <s v="190907" u="1"/>
        <s v="192001037" u="1"/>
        <s v="9789650" u="1"/>
        <s v="192000994" u="1"/>
        <s v="25999993" u="1"/>
        <s v="65300010" u="1"/>
        <s v="403337" u="1"/>
        <s v="30213910" u="1"/>
        <s v="192001137" u="1"/>
        <s v="76P924697" u="1"/>
        <s v="400085" u="1"/>
        <s v="65300020" u="1"/>
        <s v="192933518Z0" u="1"/>
        <s v="192001237" u="1"/>
        <s v="58901450J0" u="1"/>
        <s v="191966096L0" u="1"/>
        <s v="192933186G0" u="1"/>
        <s v="401085" u="1"/>
        <s v="191001337" u="1"/>
        <s v="76P945211" u="1"/>
        <s v="190966196L0" u="1"/>
        <s v="422084" u="1"/>
        <s v="760160" u="1"/>
        <s v="58928002N0" u="1"/>
        <s v="58931261G0" u="1"/>
        <s v="192904194Z0" u="1"/>
        <s v="C100A900" u="1"/>
        <s v="19943035D0" u="1"/>
        <s v="76P944896" u="1"/>
        <s v="251745" u="1"/>
        <s v="58901370Z0" u="1"/>
        <s v="190841" u="1"/>
        <s v="405085" u="1"/>
        <s v="9789654" u="1"/>
        <s v="191001537" u="1"/>
        <s v="ANU600016" u="1"/>
        <s v="95IB14371" u="1"/>
        <s v="58931315G0" u="1"/>
        <s v="191001637" u="1"/>
        <s v="766160" u="1"/>
        <s v="252493" u="1"/>
        <s v="65236300" u="1"/>
        <s v="191937203N0" u="1"/>
        <s v="191946978P0" u="1"/>
        <s v="569170" u="1"/>
        <s v="20968690" u="1"/>
        <s v="191001837" u="1"/>
        <s v="58901534J0" u="1"/>
        <s v="ANU567061" u="1"/>
        <s v="65436300" u="1"/>
        <s v="9789658" u="1"/>
        <s v="58901506R0" u="1"/>
        <s v="192933208C0" u="1"/>
        <s v="192933378D8" u="1"/>
        <s v="191001937" u="1"/>
        <s v="76P925812" u="1"/>
        <s v="65680100" u="1"/>
        <s v="1101900061" u="1"/>
        <s v="20931095" u="1"/>
        <s v="ANU192377" u="1"/>
        <s v="ANU567261" u="1"/>
        <s v="191966362F0" u="1"/>
        <s v="30212615" u="1"/>
        <s v="ANU567361" u="1"/>
        <s v="766775" u="1"/>
        <s v="65300144" u="1"/>
        <s v="191966362F1" u="1"/>
        <s v="192933375N0" u="1"/>
        <s v="710114" u="1"/>
        <s v="904192N0" u="1"/>
        <s v="H224B100" u="1"/>
        <s v="191937041F0" u="1"/>
        <s v="311134" u="1"/>
        <s v="ANU567289" u="1"/>
        <s v="192140" u="1"/>
        <s v="251230" u="1"/>
        <s v="9788790" u="1"/>
        <s v="58920246B0" u="1"/>
        <s v="ANU567389" u="1"/>
        <s v="314134" u="1"/>
        <s v="734113" u="1"/>
        <s v="585149" u="1"/>
        <s v="76P926752" u="1"/>
        <s v="58901538Z0" u="1"/>
        <s v="400437" u="1"/>
        <s v="192943812N0" u="1"/>
        <s v="11122000" u="1"/>
        <s v="H224B130" u="1"/>
        <s v="192944152N0" u="1"/>
        <s v="557122" u="1"/>
        <s v="9788792" u="1"/>
        <s v="760074" u="1"/>
        <s v="403437" u="1"/>
        <s v="30212709" u="1"/>
        <s v="192001051NE" u="1"/>
        <s v="19943213G0" u="1"/>
        <s v="251659" u="1"/>
        <s v="402185" u="1"/>
        <s v="760260" u="1"/>
        <s v="403185" u="1"/>
        <s v="490833" u="1"/>
        <s v="400371" u="1"/>
        <s v="766074" u="1"/>
        <s v="20558705" u="1"/>
        <s v="250103654" u="1"/>
        <s v="58901588Z0" u="1"/>
        <s v="768074" u="1"/>
        <s v="T427B300" u="1"/>
        <s v="58920120E1" u="1"/>
        <s v="192941" u="1"/>
        <s v="9788797" u="1"/>
        <s v="191937188B0" u="1"/>
        <s v="58920330E0" u="1"/>
        <s v="405371" u="1"/>
        <s v="9788798" u="1"/>
        <s v="ANU76P924722" u="1"/>
        <s v="9788799" u="1"/>
        <s v="65346300" u="1"/>
        <s v="192943806H0" u="1"/>
        <s v="ANU403021" u="1"/>
        <s v="086004" u="1"/>
        <s v="65690100" u="1"/>
        <s v="191947018Z0" u="1"/>
        <s v="192001074MOL" u="1"/>
        <s v="192000207" u="1"/>
        <s v="191946975Z0" u="1"/>
        <s v="530037" u="1"/>
        <s v="590034" u="1"/>
        <s v="710028" u="1"/>
        <s v="192933200Z0" u="1"/>
        <s v="132009PU" u="1"/>
        <s v="58931535R0" u="1"/>
        <s v="190966115R0" u="1"/>
        <s v="192943162Z0" u="1"/>
        <s v="3330179883" u="1"/>
        <s v="58931507Z0" u="1"/>
        <s v="20932361" u="1"/>
        <s v="ANU403421" u="1"/>
        <s v="20969487PRM" u="1"/>
        <s v="58901401J0" u="1"/>
        <s v="ANU20933146" u="1"/>
        <s v="192000707" u="1"/>
        <s v="312420" u="1"/>
        <s v="65300001" u="1"/>
        <s v="610060" u="1"/>
        <s v="192001047" u="1"/>
        <s v="58901431J0" u="1"/>
        <s v="557222" u="1"/>
        <s v="760612" u="1"/>
        <s v="25999994" u="1"/>
        <s v="65205007" u="1"/>
        <s v="76P925022" u="1"/>
        <s v="1100100098" u="1"/>
        <s v="58931204O0" u="1"/>
        <s v="314420" u="1"/>
        <s v="760174" u="1"/>
        <s v="65300011" u="1"/>
        <s v="58920921C0" u="1"/>
        <s v="65766403" u="1"/>
        <s v="192001147" u="1"/>
        <s v="251759" u="1"/>
        <s v="400285" u="1"/>
        <s v="65300021" u="1"/>
        <s v="192933528Z0" u="1"/>
        <s v="192001247" u="1"/>
        <s v="ANU20960624" u="1"/>
        <s v="65301450" u="1"/>
        <s v="190966009L0" u="1"/>
        <s v="552003346" u="1"/>
        <s v="19943036D0" u="1"/>
        <s v="191001447" u="1"/>
        <s v="76P925322" u="1"/>
        <s v="192001062GR" u="1"/>
        <s v="766174" u="1"/>
        <s v="ANU58931005F0" u="1"/>
        <s v="76P925422" u="1"/>
        <s v="58901505J0" u="1"/>
        <s v="160007" u="1"/>
        <s v="403471" u="1"/>
        <s v="490681" u="1"/>
        <s v="76P925522" u="1"/>
        <s v="251693" u="1"/>
        <s v="405471" u="1"/>
        <s v="567370" u="1"/>
        <s v="191001747" u="1"/>
        <s v="58901425Z0" u="1"/>
        <s v="ANU20973148" u="1"/>
        <s v="65200105" u="1"/>
        <s v="H710C200" u="1"/>
        <s v="165007" u="1"/>
        <s v="65356300" u="1"/>
        <s v="191001847" u="1"/>
        <s v="76P925722" u="1"/>
        <s v="ANU58901851Z0" u="1"/>
        <s v="166007" u="1"/>
        <s v="ANU567071" u="1"/>
        <s v="110102906800" u="1"/>
        <s v="192933218C0" u="1"/>
        <s v="76P926162" u="1"/>
        <s v="191937185L0" u="1"/>
        <s v="192406" u="1"/>
        <s v="ANU58901852Z0" u="1"/>
        <s v="270057" u="1"/>
        <s v="192933185N0" u="1"/>
        <s v="600012" u="1"/>
        <s v="H342B000" u="1"/>
        <s v="58901527R0" u="1"/>
        <s v="58920207B0" u="1"/>
        <s v="421021" u="1"/>
        <s v="30212616" u="1"/>
        <s v="66900043" u="1"/>
        <s v="H352B000" u="1"/>
        <s v="ANU567371" u="1"/>
        <s v="422021" u="1"/>
        <s v="76P926362" u="1"/>
        <s v="311148" u="1"/>
        <s v="58901609J0" u="1"/>
        <s v="251244" u="1"/>
        <s v="191946243Q0" u="1"/>
        <s v="314148" u="1"/>
        <s v="192933485N0" u="1"/>
        <s v="30211227" u="1"/>
        <s v="58901495Z0" u="1"/>
        <s v="58920247B0" u="1"/>
        <s v="760526" u="1"/>
        <s v="252430" u="1"/>
        <s v="760088" u="1"/>
        <s v="ANU567771" u="1"/>
        <s v="76P926762" u="1"/>
        <s v="58901639J0" u="1"/>
        <s v="58901577R0" u="1"/>
        <s v="564098" u="1"/>
        <s v="403199" u="1"/>
        <s v="19943214G0" u="1"/>
        <s v="191966084Z0" u="1"/>
        <s v="400385" u="1"/>
        <s v="76P967103" u="1"/>
        <s v="557070" u="1"/>
        <s v="9786508" u="1"/>
        <s v="58912104A0" u="1"/>
        <s v="ANU314136" u="1"/>
        <s v="313949" u="1"/>
        <s v="20942465" u="1"/>
        <s v="ANU58931315E0" u="1"/>
        <s v="405385" u="1"/>
        <s v="192933370D0" u="1"/>
        <s v="20558716" u="1"/>
        <s v="20558692" u="1"/>
        <s v="20917255" u="1"/>
        <s v="20563947" u="1"/>
        <s v="58931029F9" u="1"/>
        <s v="110103301900" u="1"/>
        <s v="192943235D0" u="1"/>
        <s v="0415556" u="1"/>
        <s v="H711C200" u="1"/>
        <s v="ANU402219" u="1"/>
        <s v="9788161" u="1"/>
        <s v="9788162" u="1"/>
        <s v="192000017" u="1"/>
        <s v="190935015L0" u="1"/>
        <s v="320033" u="1"/>
        <s v="700014" u="1"/>
        <s v="720013" u="1"/>
        <s v="760011" u="1"/>
        <s v="791038" u="1"/>
        <s v="132009P" u="1"/>
        <s v="562021" u="1"/>
        <s v="763011" u="1"/>
        <s v="9788164" u="1"/>
        <s v="71420544" u="1"/>
        <s v="584020" u="1"/>
        <s v="1400086" u="1"/>
        <s v="765011" u="1"/>
        <s v="9788165" u="1"/>
        <s v="766011" u="1"/>
        <s v="58931508Z0" u="1"/>
        <s v="191916314C0" u="1"/>
        <s v="568021" u="1"/>
        <s v="768011" u="1"/>
        <s v="192440" u="1"/>
        <s v="58906374J0" u="1"/>
        <s v="58914533V0" u="1"/>
        <s v="191966325R0" u="1"/>
        <s v="610074" u="1"/>
        <s v="760626" u="1"/>
        <s v="314434" u="1"/>
        <s v="760188" u="1"/>
        <s v="65301411" u="1"/>
        <s v="C600A600" u="1"/>
        <s v="58901360R0" u="1"/>
        <s v="192000717" u="1"/>
        <s v="65300002" u="1"/>
        <s v="30213902" u="1"/>
        <s v="58901370R0" u="1"/>
        <s v="58920922C0" u="1"/>
        <s v="314182" u="1"/>
        <s v="192001157" u="1"/>
        <s v="191001257" u="1"/>
        <s v="192933538Z0" u="1"/>
        <s v="192001257" u="1"/>
        <s v="567198" u="1"/>
        <s v="65001461" u="1"/>
        <s v="191001357" u="1"/>
        <s v="760560" u="1"/>
        <s v="190935253D0" u="1"/>
        <s v="ANU58940004G0" u="1"/>
        <s v="58901362Z0" u="1"/>
        <s v="403485" u="1"/>
        <s v="569198" u="1"/>
        <s v="65001471" u="1"/>
        <s v="19943037D0" u="1"/>
        <s v="490695" u="1"/>
        <s v="ANU76P925157" u="1"/>
        <s v="405485" u="1"/>
        <s v="567384" u="1"/>
        <s v="191966219L0" u="1"/>
        <s v="3330196095" u="1"/>
        <s v="191947085N0" u="1"/>
        <s v="76P925632" u="1"/>
        <s v="58920006Z0" u="1"/>
        <s v="192933400C0" u="1"/>
        <s v="30216096" u="1"/>
        <s v="460033" u="1"/>
        <s v="256893" u="1"/>
        <s v="401036" u="1"/>
        <s v="H314B000" u="1"/>
        <s v="422035" u="1"/>
        <s v="ANU167004" u="1"/>
        <s v="ANU192397" u="1"/>
        <s v="190935290Z0" u="1"/>
        <s v="H324B000" u="1"/>
        <s v="283042" u="1"/>
        <s v="76P925932" u="1"/>
        <s v="H334B000" u="1"/>
        <s v="ANU567281" u="1"/>
        <s v="420221" u="1"/>
        <s v="65876300" u="1"/>
        <s v="251258" u="1"/>
        <s v="30212617" u="1"/>
        <s v="ANU567381" u="1"/>
        <s v="58920084R0" u="1"/>
        <s v="402222" u="1"/>
        <s v="76P926372" u="1"/>
        <s v="H364B000" u="1"/>
        <s v="58901538R0" u="1"/>
        <s v="403222" u="1"/>
        <s v="H374B000" u="1"/>
        <s v="191946964J0" u="1"/>
        <s v="ANU58920309B0" u="1"/>
        <s v="405222" u="1"/>
        <s v="252444" u="1"/>
        <s v="H394B000" u="1"/>
        <s v="768111" u="1"/>
        <s v="191937061F0" u="1"/>
        <s v="311096" u="1"/>
        <s v="569121" u="1"/>
        <s v="30211228" u="1"/>
        <s v="76P962145" u="1"/>
        <s v="251630" u="1"/>
        <s v="251192" u="1"/>
        <s v="58906087W0" u="1"/>
        <s v="734075" u="1"/>
        <s v="02.001.0001" u="1"/>
        <s v="76P942346" u="1"/>
        <s v="400399" u="1"/>
        <s v="58901588R0" u="1"/>
        <s v="760474" u="1"/>
        <s v="20917182" u="1"/>
        <s v="1103100004" u="1"/>
        <s v="256192" u="1"/>
        <s v="76P926972" u="1"/>
        <s v="19966138P0" u="1"/>
        <s v="19943215G0" u="1"/>
        <s v="191966094Z0" u="1"/>
        <s v="090003" u="1"/>
        <s v="191937180B0" u="1"/>
        <s v="20218709" u="1"/>
        <s v="5610219" u="1"/>
        <s v="191947045B0" u="1"/>
        <s v="567922" u="1"/>
        <s v="20558717" u="1"/>
        <s v="20558693" u="1"/>
        <s v="192933480D0" u="1"/>
        <s v="ID207001" u="1"/>
        <s v="760025" u="1"/>
        <s v="65286300" u="1"/>
        <s v="02.001.0005" u="1"/>
        <s v="761025" u="1"/>
        <s v="191001849BL" u="1"/>
        <s v="ANU58931283E0" u="1"/>
        <s v="400136" u="1"/>
        <s v="600126" u="1"/>
        <s v="65586300" u="1"/>
        <s v="H315B000" u="1"/>
        <s v="191937173Z0" u="1"/>
        <s v="H710H000" u="1"/>
        <s v="H325B000" u="1"/>
        <s v="551006651" u="1"/>
        <s v="H335B000" u="1"/>
        <s v="400322" u="1"/>
        <s v="562221" u="1"/>
        <s v="766025" u="1"/>
        <s v="65886300" u="1"/>
        <s v="ANU403241" u="1"/>
        <s v="191946995Z0" u="1"/>
        <s v="768025" u="1"/>
        <s v="ANU310990" u="1"/>
        <s v="569035" u="1"/>
        <s v="192454" u="1"/>
        <s v="76P924302" u="1"/>
        <s v="400070" u="1"/>
        <s v="567221" u="1"/>
        <s v="190640" u="1"/>
        <s v="314448" u="1"/>
        <s v="H395B000" u="1"/>
        <s v="569221" u="1"/>
        <s v="58906375J0" u="1"/>
        <s v="192933520Z0" u="1"/>
        <s v="251730" u="1"/>
        <s v="404070" u="1"/>
        <s v="58920903C0" u="1"/>
        <s v="192000727" u="1"/>
        <s v="65300003" u="1"/>
        <s v="192933348Z0" u="1"/>
        <s v="25999996" u="1"/>
        <s v="65205009" u="1"/>
        <s v="192000827" u="1"/>
        <s v="58920923C0" u="1"/>
        <s v="190005" u="1"/>
        <s v="192001167" u="1"/>
        <s v="190966201L0" u="1"/>
        <s v="403499" u="1"/>
        <s v="191916591N0" u="1"/>
        <s v="192000927" u="1"/>
        <s v="65300023" u="1"/>
        <s v="65301442" u="1"/>
        <s v="192933548Z0" u="1"/>
        <s v="132008" u="1"/>
        <s v="192001267" u="1"/>
        <s v="405499" u="1"/>
        <s v="58901425R0" u="1"/>
        <s v="191937110A0" u="1"/>
        <s v="19943038D0" u="1"/>
        <s v="191946980P0" u="1"/>
        <s v="76P925342" u="1"/>
        <s v="30211105" u="1"/>
        <s v="58901373Z0" u="1"/>
        <s v="191946985C0" u="1"/>
        <s v="58931308G0" u="1"/>
        <s v="191001567" u="1"/>
        <s v="ANU600046" u="1"/>
        <s v="192933210C0" u="1"/>
        <s v="ANU562026" u="1"/>
        <s v="58901383Z0" u="1"/>
        <s v="06.080.0052" u="1"/>
        <s v="191936990N0" u="1"/>
        <s v="58901417Z0" u="1"/>
        <s v="192933463E0" u="1"/>
        <s v="080066" u="1"/>
        <s v="H232B000" u="1"/>
        <s v="410021" u="1"/>
        <s v="567770" u="1"/>
        <s v="ANU400256" u="1"/>
        <s v="58901427Z0" u="1"/>
        <s v="58901527J0" u="1"/>
        <s v="58920007Z0" u="1"/>
        <s v="191966701L0" u="1"/>
        <s v="30216097" u="1"/>
        <s v="422049" u="1"/>
        <s v="65296300" u="1"/>
        <s v="76P950938" u="1"/>
        <s v="110102906801" u="1"/>
        <s v="H711H000" u="1"/>
        <s v="76P926182" u="1"/>
        <s v="192806" u="1"/>
        <s v="372359" u="1"/>
        <s v="490446" u="1"/>
        <s v="ANU567291" u="1"/>
        <s v="58901495R0" u="1"/>
        <s v="400422" u="1"/>
        <s v="T531B100" u="1"/>
        <s v="ANU20559827" u="1"/>
        <s v="ANU567391" u="1"/>
        <s v="ANU76P942018" u="1"/>
        <s v="403422" u="1"/>
        <s v="191944925Z0" u="1"/>
        <s v="76P926482" u="1"/>
        <s v="251644" u="1"/>
        <s v="ANU20559828" u="1"/>
        <s v="567321" u="1"/>
        <s v="192933352L0" u="1"/>
        <s v="554098" u="1"/>
        <s v="734089" u="1"/>
        <s v="190933408N0" u="1"/>
        <s v="30211229" u="1"/>
        <s v="58901497Z0" u="1"/>
        <s v="20558590" u="1"/>
        <s v="191001814CA" u="1"/>
        <s v="557098" u="1"/>
        <s v="252392" u="1"/>
        <s v="76P926782" u="1"/>
        <s v="65326200" u="1"/>
        <s v="30212678" u="1"/>
        <s v="190105" u="1"/>
        <s v="19966139P0" u="1"/>
        <s v="19943216G0" u="1"/>
        <s v="20917193" u="1"/>
        <s v="191937190B0" u="1"/>
        <s v="760039" u="1"/>
        <s v="710013" u="1"/>
        <s v="ANU564109" u="1"/>
        <s v="191947020Z0" u="1"/>
        <s v="584048" u="1"/>
        <s v="760225" u="1"/>
        <s v="ANU58901620E0" u="1"/>
        <s v="58931474R0" u="1"/>
        <s v="400336" u="1"/>
        <s v="766039" u="1"/>
        <s v="58931508R0" u="1"/>
        <s v="190906" u="1"/>
        <s v="ANU30173491" u="1"/>
        <s v="191916944Z0" u="1"/>
        <s v="551006661" u="1"/>
        <s v="58901240Z0" u="1"/>
        <s v="191946240D8" u="1"/>
        <s v="9789642" u="1"/>
        <s v="422083" u="1"/>
        <s v="C100A800" u="1"/>
        <s v="400270" u="1"/>
        <s v="192944957L0" u="1"/>
        <s v="9789644" u="1"/>
        <s v="59LIFA120" u="1"/>
        <s v="58906376J0" u="1"/>
        <s v="76P924512" u="1"/>
        <s v="58901452B0" u="1"/>
        <s v="59LIFA220" u="1"/>
        <s v="760588" u="1"/>
        <s v="65390207" u="1"/>
        <s v="1100000216" u="1"/>
        <s v="252492" u="1"/>
        <s v="310582" u="1"/>
        <s v="59071020" u="1"/>
        <s v="58901362R0" u="1"/>
        <s v="191966011L0" u="1"/>
        <s v="65300004" u="1"/>
        <s v="191916357P0" u="1"/>
        <s v="192001077" u="1"/>
        <s v="191916304N0" u="1"/>
        <s v="192001177" u="1"/>
        <s v="5610341827" u="1"/>
        <s v="192943792Z0" u="1"/>
        <s v="192944923F0" u="1"/>
        <s v="192000937" u="1"/>
        <s v="76P925152" u="1"/>
        <s v="65300024" u="1"/>
        <s v="192001277" u="1"/>
        <s v="76P924912" u="1"/>
        <s v="58920006R0" u="1"/>
        <s v="191946990P0" u="1"/>
        <s v="ANU58901626E0" u="1"/>
        <s v="191001477" u="1"/>
        <s v="76P925352" u="1"/>
        <s v="766774" u="1"/>
        <s v="258109" u="1"/>
        <s v="ANU312283" u="1"/>
        <s v="58931309G0" u="1"/>
        <s v="192933220C0" u="1"/>
        <s v="760139" u="1"/>
        <s v="20552497" u="1"/>
        <s v="58901384Z0" u="1"/>
        <s v="191937043N0" u="1"/>
        <s v="H224B000" u="1"/>
        <s v="76P925552" u="1"/>
        <s v="311133" u="1"/>
        <s v="190966339L0" u="1"/>
        <s v="191946765N0" u="1"/>
        <s v="191966711L0" u="1"/>
        <s v="314133" u="1"/>
        <s v="734112" u="1"/>
        <s v="191001877" u="1"/>
        <s v="191966222E7" u="1"/>
        <s v="76P926092" u="1"/>
        <s v="H224B030" u="1"/>
        <s v="557121" u="1"/>
        <s v="30173491P" u="1"/>
        <s v="06.094.0055" u="1"/>
        <s v="191966105F0" u="1"/>
        <s v="760073" u="1"/>
        <s v="56127506" u="1"/>
        <s v="192933348C0" u="1"/>
        <s v="403436" u="1"/>
        <s v="569149" u="1"/>
        <s v="65756303" u="1"/>
        <s v="58901383NO" u="1"/>
        <s v="20917114" u="1"/>
        <s v="58901496R0" u="1"/>
        <s v="582520" u="1"/>
        <s v="76P926292" u="1"/>
        <s v="191937543N0" u="1"/>
        <s v="251658" u="1"/>
        <s v="567335" u="1"/>
        <s v="66960043" u="1"/>
        <s v="402184" u="1"/>
        <s v="58901620E0" u="1"/>
        <s v="490832" u="1"/>
        <s v="20917134" u="1"/>
        <s v="56121121" u="1"/>
        <s v="191937743N0" u="1"/>
        <s v="192933218N0" u="1"/>
        <s v="766073" u="1"/>
        <s v="58901588J0" u="1"/>
        <s v="58920068Z0" u="1"/>
        <s v="192943552N0" u="1"/>
        <s v="190933418N0" u="1"/>
        <s v="T427B200" u="1"/>
        <s v="192940" u="1"/>
        <s v="58931313Z0" u="1"/>
        <s v="192944373R0" u="1"/>
        <s v="58906089W0" u="1"/>
        <s v="191916942F0" u="1"/>
        <s v="192933562L0" u="1"/>
        <s v="190119" u="1"/>
        <s v="9786150" u="1"/>
        <s v="76P926792" u="1"/>
        <s v="58912043A0" u="1"/>
        <s v="76P962365" u="1"/>
        <s v="192904194N0" u="1"/>
        <s v="192001069BL" u="1"/>
        <s v="251209" u="1"/>
        <s v="190937481F0" u="1"/>
        <s v="ANU58931177R0" u="1"/>
        <s v="D111D000" u="1"/>
        <s v="H111B000" u="1"/>
        <s v="ANU20975280" u="1"/>
        <s v="ANU58931178R0" u="1"/>
        <s v="256209" u="1"/>
        <s v="710027" u="1"/>
        <s v="191053" u="1"/>
        <s v="132008PU" u="1"/>
        <s v="58931173Z1" u="1"/>
        <s v="192053" u="1"/>
        <s v="490131" u="1"/>
        <s v="251143" u="1"/>
        <s v="20933680" u="1"/>
        <s v="192933356F0" u="1"/>
        <s v="ANU58906359S0" u="1"/>
        <s v="314233" u="1"/>
        <s v="65501300" u="1"/>
        <s v="191966136V0" u="1"/>
        <s v="190668" u="1"/>
        <s v="191946237V0" u="1"/>
        <s v="760611" u="1"/>
        <s v="760173" u="1"/>
        <s v="490746" u="1"/>
        <s v="190935298N0" u="1"/>
        <s v="251758" u="1"/>
        <s v="19943211Z0" u="1"/>
        <s v="191947058Z0" u="1"/>
        <s v="58901828E0" u="1"/>
        <s v="190854" u="1"/>
        <s v="ANU30215199PU" u="1"/>
        <s v="192933240Z0" u="1"/>
        <s v="58940002B0" u="1"/>
        <s v="ANU76P926320" u="1"/>
        <s v="ANU58906365W0" u="1"/>
        <s v="766173" u="1"/>
        <s v="ANU403461" u="1"/>
        <s v="58901271Z0" u="1"/>
        <s v="405284" u="1"/>
        <s v="191937593Z0" u="1"/>
        <s v="76P940193" u="1"/>
        <s v="403470" u="1"/>
        <s v="58906377J0" u="1"/>
        <s v="490680" u="1"/>
        <s v="ANU58906366W0" u="1"/>
        <s v="ANU76P924764" u="1"/>
        <s v="251692" u="1"/>
        <s v="405470" u="1"/>
        <s v="65390208" u="1"/>
        <s v="59071021" u="1"/>
        <s v="H710C100" u="1"/>
        <s v="191219" u="1"/>
        <s v="58901878E0" u="1"/>
        <s v="65300005" u="1"/>
        <s v="192001087" u="1"/>
        <s v="76P924722" u="1"/>
        <s v="ANU58906367W0" u="1"/>
        <s v="166006" u="1"/>
        <s v="58901373R0" u="1"/>
        <s v="25999998" u="1"/>
        <s v="76P939252" u="1"/>
        <s v="191916314N0" u="1"/>
        <s v="192001187" u="1"/>
        <s v="H112B000" u="1"/>
        <s v="58901383R0" u="1"/>
        <s v="191001287" u="1"/>
        <s v="65300025" u="1"/>
        <s v="58901417R0" u="1"/>
        <s v="192405" u="1"/>
        <s v="192001287" u="1"/>
        <s v="270056" u="1"/>
        <s v="400021" u="1"/>
        <s v="600011" u="1"/>
        <s v="58901427R0" u="1"/>
        <s v="58920007R0" u="1"/>
        <s v="421020" u="1"/>
        <s v="422020" u="1"/>
        <s v="ANU132005" u="1"/>
        <s v="311147" u="1"/>
        <s v="403021" u="1"/>
        <s v="191001587" u="1"/>
        <s v="58901409Z0" u="1"/>
        <s v="251243" u="1"/>
        <s v="314147" u="1"/>
        <s v="734126" u="1"/>
        <s v="76P925562" u="1"/>
        <s v="65311300" u="1"/>
        <s v="760087" u="1"/>
        <s v="191001887" u="1"/>
        <s v="ANU192402" u="1"/>
        <s v="191916356W0" u="1"/>
        <s v="191947018N0" u="1"/>
        <s v="190935023Z0" u="1"/>
        <s v="567349" u="1"/>
        <s v="31204" u="1"/>
        <s v="ANU567014" u="1"/>
        <s v="31304" u="1"/>
        <s v="402198" u="1"/>
        <s v="760273" u="1"/>
        <s v="490846" u="1"/>
        <s v="58901497R0" u="1"/>
        <s v="76P926105" u="1"/>
        <s v="01203349" u="1"/>
        <s v="20917125" u="1"/>
        <s v="59MASK21231" u="1"/>
        <s v="ANU557177" u="1"/>
        <s v="58912004A0" u="1"/>
        <s v="405384" u="1"/>
        <s v="ANU401019" u="1"/>
        <s v="58931280Z0" u="1"/>
        <s v="490780" u="1"/>
        <s v="58931314Z0" u="1"/>
        <s v="191966234B0" u="1"/>
        <s v="76P926505" u="1"/>
        <s v="192943762N0" u="1"/>
        <s v="59MASK21233" u="1"/>
        <s v="192933528N0" u="1"/>
        <s v="H711C100" u="1"/>
        <s v="H521C200" u="1"/>
        <s v="190903969A0" u="1"/>
        <s v="ANU251661" u="1"/>
        <s v="192943003F0" u="1"/>
        <s v="58912026I0" u="1"/>
        <s v="191946200Z0" u="1"/>
        <s v="190067" u="1"/>
        <s v="76P926805" u="1"/>
        <s v="700013" u="1"/>
        <s v="720012" u="1"/>
        <s v="19943218G0" u="1"/>
        <s v="190943203F0" u="1"/>
        <s v="2500570" u="1"/>
        <s v="BR10B000" u="1"/>
        <s v="591003369" u="1"/>
        <s v="763010" u="1"/>
        <s v="20961039" u="1"/>
        <s v="BR20B000" u="1"/>
        <s v="192943737L0" u="1"/>
        <s v="191916364Z0" u="1"/>
        <s v="765010" u="1"/>
        <s v="BR40B000" u="1"/>
        <s v="58931174Z1" u="1"/>
        <s v="ANU58931315G0" u="1"/>
        <s v="766010" u="1"/>
        <s v="ANU251689" u="1"/>
        <s v="65001301" u="1"/>
        <s v="ANU20973599" u="1"/>
        <s v="567020" u="1"/>
        <s v="20933681" u="1"/>
        <s v="ANU584028" u="1"/>
        <s v="768010" u="1"/>
        <s v="H521C260" u="1"/>
        <s v="58901240R0" u="1"/>
        <s v="65321300" u="1"/>
        <s v="1400079" u="1"/>
        <s v="58931428Z0" u="1"/>
        <s v="251091" u="1"/>
        <s v="58901765E0" u="1"/>
        <s v="192933566F0" u="1"/>
        <s v="ANU192933354L0" u="1"/>
        <s v="314433" u="1"/>
        <s v="760187" u="1"/>
        <s v="58931438Z0" u="1"/>
        <s v="C600A500" u="1"/>
        <s v="191966146V0" u="1"/>
        <s v="192933513D0" u="1"/>
        <s v="192000057" u="1"/>
        <s v="58901232Z0" u="1"/>
        <s v="191937006Z0" u="1"/>
        <s v="760373" u="1"/>
        <s v="314181" u="1"/>
        <s v="25605" u="1"/>
        <s v="766187" u="1"/>
        <s v="192000257" u="1"/>
        <s v="58920409E0" u="1"/>
        <s v="567197" u="1"/>
        <s v="192943775D0" u="1"/>
        <s v="192000357" u="1"/>
        <s v="403484" u="1"/>
        <s v="30218328P" u="1"/>
        <s v="191947011G0" u="1"/>
        <s v="192933350Z0" u="1"/>
        <s v="405484" u="1"/>
        <s v="567383" u="1"/>
        <s v="58906378J0" u="1"/>
        <s v="192933178Z0" u="1"/>
        <s v="20552429" u="1"/>
        <s v="65301381" u="1"/>
        <s v="65390209" u="1"/>
        <s v="76P964258" u="1"/>
        <s v="58901426J0" u="1"/>
        <s v="58920006J0" u="1"/>
        <s v="191937606Z0" u="1"/>
        <s v="192000757" u="1"/>
        <s v="65300006" u="1"/>
        <s v="H522C200" u="1"/>
        <s v="192419" u="1"/>
        <s v="250509" u="1"/>
        <s v="192001097" u="1"/>
        <s v="600025" u="1"/>
        <s v="25999999" u="1"/>
        <s v="76P925072" u="1"/>
        <s v="6115884" u="1"/>
        <s v="65300016" u="1"/>
        <s v="252509" u="1"/>
        <s v="256892" u="1"/>
        <s v="192001197" u="1"/>
        <s v="58901384R0" u="1"/>
        <s v="422034" u="1"/>
        <s v="760110" u="1"/>
        <s v="65300026" u="1"/>
        <s v="192001297" u="1"/>
        <s v="76P924932" u="1"/>
        <s v="190966331L0" u="1"/>
        <s v="400221" u="1"/>
        <s v="251257" u="1"/>
        <s v="ANU5511448" u="1"/>
        <s v="402221" u="1"/>
        <s v="564120" u="1"/>
        <s v="191001497" u="1"/>
        <s v="76P925372" u="1"/>
        <s v="192943815Z0" u="1"/>
        <s v="403221" u="1"/>
        <s v="192353" u="1"/>
        <s v="191001597" u="1"/>
        <s v="76P925472" u="1"/>
        <s v="760539" u="1"/>
        <s v="252443" u="1"/>
        <s v="710075" u="1"/>
        <s v="H522C260" u="1"/>
        <s v="191937010L0" u="1"/>
        <s v="311095" u="1"/>
        <s v="65331300" u="1"/>
        <s v="312095" u="1"/>
        <s v="191001797" u="1"/>
        <s v="192933821G0" u="1"/>
        <s v="251191" u="1"/>
        <s v="734074" u="1"/>
        <s v="191001897" u="1"/>
        <s v="76P925772" u="1"/>
        <s v="192943834V0" u="1"/>
        <s v="191946985N0" u="1"/>
        <s v="400398" u="1"/>
        <s v="312281" u="1"/>
        <s v="316095" u="1"/>
        <s v="58920068R0" u="1"/>
        <s v="191966125F0" u="1"/>
        <s v="190933410N0" u="1"/>
        <s v="256191" u="1"/>
        <s v="76P925972" u="1"/>
        <s v="192944374V0" u="1"/>
        <s v="58931313R0" u="1"/>
        <s v="ANU58901532Z0" u="1"/>
        <s v="405398" u="1"/>
        <s v="192933568C0" u="1"/>
        <s v="76P926315" u="1"/>
        <s v="191001815GR" u="1"/>
        <s v="ANU58901533Z0" u="1"/>
        <s v="567921" u="1"/>
        <s v="58901632E0" u="1"/>
        <s v="191946293Q0" u="1"/>
        <s v="95IB30608" u="1"/>
        <s v="ANU58901534Z0" u="1"/>
        <s v="192933538N0" u="1"/>
        <s v="192944493R0" u="1"/>
        <s v="H523C200" u="1"/>
        <s v="192519" u="1"/>
        <s v="191947013D0" u="1"/>
        <s v="20917186" u="1"/>
        <s v="190705" u="1"/>
        <s v="402135" u="1"/>
        <s v="764024" u="1"/>
        <s v="191937076D0" u="1"/>
        <s v="58901716E0" u="1"/>
        <s v="ANU58901581B0" u="1"/>
        <s v="400321" u="1"/>
        <s v="562220" u="1"/>
        <s v="766024" u="1"/>
        <s v="568034" u="1"/>
        <s v="768024" u="1"/>
        <s v="191966137Z0" u="1"/>
        <s v="569034" u="1"/>
        <s v="58931175Z1" u="1"/>
        <s v="20558687" u="1"/>
        <s v="567220" u="1"/>
        <s v="65786230" u="1"/>
        <s v="314447" u="1"/>
        <s v="20558697" u="1"/>
        <s v="191916574Z0" u="1"/>
        <s v="38T619A100" u="1"/>
        <s v="H523C260" u="1"/>
        <s v="ANU30211822" u="1"/>
        <s v="569220" u="1"/>
        <s v="65341300" u="1"/>
        <s v="313633" u="1"/>
        <s v="65441300" u="1"/>
        <s v="760387" u="1"/>
        <s v="314195" u="1"/>
        <s v="ANU315001" u="1"/>
        <s v="58901271R0" u="1"/>
        <s v="557183" u="1"/>
        <s v="192000167" u="1"/>
        <s v="06.175.0007" u="1"/>
        <s v="58901796E0" u="1"/>
        <s v="65301342" u="1"/>
        <s v="132007" u="1"/>
        <s v="192000267" u="1"/>
        <s v="405498" u="1"/>
        <s v="567397" u="1"/>
        <s v="192933546Q0" u="1"/>
        <s v="58920386E0" u="1"/>
        <s v="5610210388" u="1"/>
        <s v="ANU403381" u="1"/>
        <s v="58920400H0" u="1"/>
        <s v="191943225Z0" u="1"/>
        <s v="H450C200" u="1"/>
        <s v="59LIFA150" u="1"/>
        <s v="58931499Z0" u="1"/>
        <s v="58906379J0" u="1"/>
        <s v="65301382" u="1"/>
        <s v="080065" u="1"/>
        <s v="420048" u="1"/>
        <s v="600039" u="1"/>
        <s v="410020" u="1"/>
        <s v="191966094N0" u="1"/>
        <s v="20939297PRM" u="1"/>
        <s v="191000767" u="1"/>
        <s v="58901427J0" u="1"/>
        <s v="58931166O0" u="1"/>
        <s v="59071023" u="1"/>
        <s v="422048" u="1"/>
        <s v="192000767" u="1"/>
        <s v="65300007" u="1"/>
        <s v="65761403" u="1"/>
        <s v="76P924742" u="1"/>
        <s v="20PU604" u="1"/>
        <s v="76P925082" u="1"/>
        <s v="58901409R0" u="1"/>
        <s v="58914568V0" u="1"/>
        <s v="583133" u="1"/>
        <s v="191937054R0" u="1"/>
        <s v="ANU76P924809" u="1"/>
        <s v="402235" u="1"/>
        <s v="20PU605" u="1"/>
        <s v="76P925182" u="1"/>
        <s v="65300027" u="1"/>
        <s v="407049" u="1"/>
        <s v="190966341L0" u="1"/>
        <s v="400421" u="1"/>
        <s v="20PU606" u="1"/>
        <s v="76P925282" u="1"/>
        <s v="20PU607" u="1"/>
        <s v="ANU20970270" u="1"/>
        <s v="192933788Z0" u="1"/>
        <s v="403421" u="1"/>
        <s v="58901849D7" u="1"/>
        <s v="20PU608" u="1"/>
        <s v="76P925482" u="1"/>
        <s v="ANU420095" u="1"/>
        <s v="251643" u="1"/>
        <s v="58931230R0" u="1"/>
        <s v="191966056V7" u="1"/>
        <s v="405421" u="1"/>
        <s v="567320" u="1"/>
        <s v="9786776" u="1"/>
        <s v="554097" u="1"/>
        <s v="734088" u="1"/>
        <s v="20PU609" u="1"/>
        <s v="76P925582" u="1"/>
        <s v="192933350C0" u="1"/>
        <s v="ANU260006" u="1"/>
        <s v="95IB168732" u="1"/>
        <s v="58901916P0" u="1"/>
        <s v="65351300" u="1"/>
        <s v="76P925682" u="1"/>
        <s v="19943052G0" u="1"/>
        <s v="5610220974" u="1"/>
        <s v="192001054CA" u="1"/>
        <s v="557097" u="1"/>
        <s v="192933178C0" u="1"/>
        <s v="252391" u="1"/>
        <s v="1103600051" u="1"/>
        <s v="191947038N0" u="1"/>
        <s v="ANU20970272" u="1"/>
        <s v="58920159B0" u="1"/>
        <s v="192933229R0" u="1"/>
        <s v="192933220N0" u="1"/>
        <s v="190933420N0" u="1"/>
        <s v="190104" u="1"/>
        <s v="65707510" u="1"/>
        <s v="192943282N0" u="1"/>
        <s v="20917117" u="1"/>
        <s v="58931280R0" u="1"/>
        <s v="58931314R0" u="1"/>
        <s v="190966335F0" u="1"/>
        <s v="ANU76P925006" u="1"/>
        <s v="76P926225" u="1"/>
        <s v="58901623E0" u="1"/>
        <s v="192001071BL" u="1"/>
        <s v="ANU76P925016" u="1"/>
        <s v="760038" u="1"/>
        <s v="H451C200" u="1"/>
        <s v="710012" u="1"/>
        <s v="930001" u="1"/>
        <s v="76P926525" u="1"/>
        <s v="65306161" u="1"/>
        <s v="312032" u="1"/>
        <s v="610110" u="1"/>
        <s v="190719" u="1"/>
        <s v="20932204" u="1"/>
        <s v="591003361" u="1"/>
        <s v="ANU490857" u="1"/>
        <s v="192933548N0" u="1"/>
        <s v="402149" u="1"/>
        <s v="403149" u="1"/>
        <s v="561127053" u="1"/>
        <s v="58912056A0" u="1"/>
        <s v="190905" u="1"/>
        <s v="T512B000" u="1"/>
        <s v="403335" u="1"/>
        <s v="30213710" u="1"/>
        <s v="9789631" u="1"/>
        <s v="T512B010" u="1"/>
        <s v="422082" u="1"/>
        <s v="C100A700" u="1"/>
        <s v="58931176Z1" u="1"/>
        <s v="190937481Q0" u="1"/>
        <s v="251743" u="1"/>
        <s v="58901232R0" u="1"/>
        <s v="58920750C0" u="1"/>
        <s v="20558698" u="1"/>
        <s v="65361300" u="1"/>
        <s v="58920770C0" u="1"/>
        <s v="252491" u="1"/>
        <s v="310581" u="1"/>
        <s v="190946597K0" u="1"/>
        <s v="58901362B0" u="1"/>
        <s v="191018" u="1"/>
        <s v="ANU30212613PS" u="1"/>
        <s v="190935303N0" u="1"/>
        <s v="65861300" u="1"/>
        <s v="251108" u="1"/>
        <s v="192000177" u="1"/>
        <s v="58901716D7" u="1"/>
        <s v="191966366V0" u="1"/>
        <s v="192001069MO" u="1"/>
        <s v="58920387E0" u="1"/>
        <s v="ANU569217" u="1"/>
        <s v="58901326R0" u="1"/>
        <s v="65717530" u="1"/>
        <s v="58901364J0" u="1"/>
        <s v="766773" u="1"/>
        <s v="58914495V0" u="1"/>
        <s v="080079" u="1"/>
        <s v="258108" u="1"/>
        <s v="76P924452" u="1"/>
        <s v="20559820" u="1"/>
        <s v="760138" u="1"/>
        <s v="76P900028" u="1"/>
        <s v="710112" u="1"/>
        <s v="192933198Z0" u="1"/>
        <s v="192933570Z0" u="1"/>
        <s v="ANU58920586C0" u="1"/>
        <s v="311132" u="1"/>
        <s v="20559830" u="1"/>
        <s v="400249" u="1"/>
        <s v="ANU58901823R0" u="1"/>
        <s v="76P924652" u="1"/>
        <s v="66916103" u="1"/>
        <s v="760324" u="1"/>
        <s v="192000777" u="1"/>
        <s v="314132" u="1"/>
        <s v="734111" u="1"/>
        <s v="65300008" u="1"/>
        <s v="191946967V0" u="1"/>
        <s v="30213908" u="1"/>
        <s v="76P924752" u="1"/>
        <s v="400435" u="1"/>
        <s v="65300018" u="1"/>
        <s v="191937064R0" u="1"/>
        <s v="9788772" u="1"/>
        <s v="192000977" u="1"/>
        <s v="760072" u="1"/>
        <s v="65300028" u="1"/>
        <s v="58931259G0" u="1"/>
        <s v="403435" u="1"/>
        <s v="65756203" u="1"/>
        <s v="76P924952" u="1"/>
        <s v="9788773" u="1"/>
        <s v="251657" u="1"/>
        <s v="567334" u="1"/>
        <s v="58901368Z0" u="1"/>
        <s v="192943835Z0" u="1"/>
        <s v="764072" u="1"/>
        <s v="58931221R0" u="1"/>
        <s v="191947020N0" u="1"/>
        <s v="490831" u="1"/>
        <s v="76P925492" u="1"/>
        <s v="191937216C0" u="1"/>
        <s v="766072" u="1"/>
        <s v="58931231R0" u="1"/>
        <s v="ANU191946246Q0" u="1"/>
        <s v="58920068J0" u="1"/>
        <s v="192933369G0" u="1"/>
        <s v="76P925592" u="1"/>
        <s v="T427B100" u="1"/>
        <s v="58901398Z0" u="1"/>
        <s v="191916944N0" u="1"/>
        <s v="190118" u="1"/>
        <s v="ANU192432" u="1"/>
        <s v="192933239R0" u="1"/>
        <s v="192933230N0" u="1"/>
        <s v="595002231" u="1"/>
        <s v="190937483N0" u="1"/>
        <s v="084002" u="1"/>
        <s v="583696" u="1"/>
        <s v="65871300" u="1"/>
        <s v="251208" u="1"/>
        <s v="191966145F0" u="1"/>
        <s v="76P926135" u="1"/>
        <s v="191001829AM" u="1"/>
        <s v="58901590E0" u="1"/>
        <s v="191966345F0" u="1"/>
        <s v="256208" u="1"/>
        <s v="58931263Z0" u="1"/>
        <s v="190052" u="1"/>
        <s v="710026" u="1"/>
        <s v="20917138" u="1"/>
        <s v="ANU567344" u="1"/>
        <s v="191052" u="1"/>
        <s v="132007PU" u="1"/>
        <s v="9786145" u="1"/>
        <s v="56259" u="1"/>
        <s v="192052" u="1"/>
        <s v="3330179882" u="1"/>
        <s v="251142" u="1"/>
        <s v="192933788C0" u="1"/>
        <s v="20562397" u="1"/>
        <s v="H453C200" u="1"/>
        <s v="T420B000" u="1"/>
        <s v="190919" u="1"/>
        <s v="192943367L0" u="1"/>
        <s v="557034" u="1"/>
        <s v="314232" u="1"/>
        <s v="403349" u="1"/>
        <s v="420096" u="1"/>
        <s v="20917188" u="1"/>
        <s v="76P927075" u="1"/>
        <s v="ANU251691" u="1"/>
        <s v="58931032G0" u="1"/>
        <s v="567248" u="1"/>
        <s v="190667" u="1"/>
        <s v="557220" u="1"/>
        <s v="760610" u="1"/>
        <s v="1100900057" u="1"/>
        <s v="58901684E0" u="1"/>
        <s v="20917198" u="1"/>
        <s v="490745" u="1"/>
        <s v="251757" u="1"/>
        <s v="58931429R0" u="1"/>
        <s v="191966057Z0" u="1"/>
        <s v="190966157Z0" u="1"/>
        <s v="766172" u="1"/>
        <s v="58901271J0" u="1"/>
        <s v="20558699" u="1"/>
        <s v="160005" u="1"/>
        <s v="569182" u="1"/>
        <s v="20969890" u="1"/>
        <s v="58920771C0" u="1"/>
        <s v="251691" u="1"/>
        <s v="65581300" u="1"/>
        <s v="ANU20929285" u="1"/>
        <s v="191218" u="1"/>
        <s v="H720C000" u="1"/>
        <s v="9787141" u="1"/>
        <s v="190935313N0" u="1"/>
        <s v="166005" u="1"/>
        <s v="58931489R0" u="1"/>
        <s v="167005" u="1"/>
        <s v="20947083" u="1"/>
        <s v="9787142" u="1"/>
        <s v="76P900010" u="1"/>
        <s v="192943552B0" u="1"/>
        <s v="192404" u="1"/>
        <s v="9787143" u="1"/>
        <s v="270055" u="1"/>
        <s v="400020" u="1"/>
        <s v="600010" u="1"/>
        <s v="30212382" u="1"/>
        <s v="192933996F0" u="1"/>
        <s v="58920007B0" u="1"/>
        <s v="191966328G0" u="1"/>
        <s v="401020" u="1"/>
        <s v="311146" u="1"/>
        <s v="58901275Z0" u="1"/>
        <s v="58901409J0" u="1"/>
        <s v="251242" u="1"/>
        <s v="9787146" u="1"/>
        <s v="192001002" u="1"/>
        <s v="734125" u="1"/>
        <s v="T411B000" u="1"/>
        <s v="65301384" u="1"/>
        <s v="T421B000" u="1"/>
        <s v="9787147" u="1"/>
        <s v="192001102" u="1"/>
        <s v="59071025" u="1"/>
        <s v="760524" u="1"/>
        <s v="192001202" u="1"/>
        <s v="760086" u="1"/>
        <s v="710060" u="1"/>
        <s v="65300019" u="1"/>
        <s v="567348" u="1"/>
        <s v="58901349Z0" u="1"/>
        <s v="402197" u="1"/>
        <s v="584095" u="1"/>
        <s v="760272" u="1"/>
        <s v="191001502" u="1"/>
        <s v="76P924962" u="1"/>
        <s v="76P964960" u="1"/>
        <s v="191966217N0" u="1"/>
        <s v="490845" u="1"/>
        <s v="586095" u="1"/>
        <s v="76P925105" u="1"/>
        <s v="58901511E0" u="1"/>
        <s v="95IB78017" u="1"/>
        <s v="58901379Z0" u="1"/>
        <s v="403383" u="1"/>
        <s v="191966361L1" u="1"/>
        <s v="58931232R0" u="1"/>
        <s v="ANU20559470" u="1"/>
        <s v="405383" u="1"/>
        <s v="76P963133RV" u="1"/>
        <s v="6921208" u="1"/>
        <s v="191001902" u="1"/>
        <s v="19943054G0" u="1"/>
        <s v="192933570C0" u="1"/>
        <s v="H511C100" u="1"/>
        <s v="731860" u="1"/>
        <s v="H721C000" u="1"/>
        <s v="I302B000" u="1"/>
        <s v="192933240N0" u="1"/>
        <s v="20923749" u="1"/>
        <s v="ANU76P926416" u="1"/>
        <s v="190943105N0" u="1"/>
        <s v="192943158P0" u="1"/>
        <s v="192933398C0" u="1"/>
        <s v="190066" u="1"/>
        <s v="700012" u="1"/>
        <s v="191937593N0" u="1"/>
        <s v="400120" u="1"/>
        <s v="ANU20976930" u="1"/>
        <s v="58901625E0" u="1"/>
        <s v="ANU405384" u="1"/>
        <s v="191947024H0" u="1"/>
        <s v="312246" u="1"/>
        <s v="192933215L0" u="1"/>
        <s v="20973603" u="1"/>
        <s v="65001201" u="1"/>
        <s v="76P926445" u="1"/>
        <s v="20558596" u="1"/>
        <s v="76P942019" u="1"/>
        <s v="T422B000" u="1"/>
        <s v="76P926545" u="1"/>
        <s v="312432" u="1"/>
        <s v="ANU37938013S0" u="1"/>
        <s v="610072" u="1"/>
        <s v="6942200" u="1"/>
        <s v="191966374B0" u="1"/>
        <s v="ANU20941613" u="1"/>
        <s v="760624" u="1"/>
        <s v="314432" u="1"/>
        <s v="760186" u="1"/>
        <s v="C600A400" u="1"/>
        <s v="58912058A0" u="1"/>
        <s v="312180" u="1"/>
        <s v="191946956F0" u="1"/>
        <s v="C600A410" u="1"/>
        <s v="65001251" u="1"/>
        <s v="191937053B0" u="1"/>
        <s v="766186" u="1"/>
        <s v="191937009D0" u="1"/>
        <s v="58931510E0" u="1"/>
        <s v="76P962618" u="1"/>
        <s v="403483" u="1"/>
        <s v="58920752C0" u="1"/>
        <s v="191947018B0" u="1"/>
        <s v="567382" u="1"/>
        <s v="165019" u="1"/>
        <s v="166019" u="1"/>
        <s v="76P962918" u="1"/>
        <s v="3330196094" u="1"/>
        <s v="H512C100" u="1"/>
        <s v="58914457V0" u="1"/>
        <s v="192418" u="1"/>
        <s v="270069" u="1"/>
        <s v="400034" u="1"/>
        <s v="460031" u="1"/>
        <s v="600024" u="1"/>
        <s v="252508" u="1"/>
        <s v="256891" u="1"/>
        <s v="401034" u="1"/>
        <s v="76P900020" u="1"/>
        <s v="422033" u="1"/>
        <s v="06.072.0013" u="1"/>
        <s v="251256" u="1"/>
        <s v="20138404" u="1"/>
        <s v="569997" u="1"/>
        <s v="402220" u="1"/>
        <s v="76P924372" u="1"/>
        <s v="ANU191012" u="1"/>
        <s v="407034" u="1"/>
        <s v="192352" u="1"/>
        <s v="191001851A8" u="1"/>
        <s v="192001012" u="1"/>
        <s v="59LIFA180" u="1"/>
        <s v="252442" u="1"/>
        <s v="710074" u="1"/>
        <s v="30193862" u="1"/>
        <s v="ANU191212" u="1"/>
        <s v="311094" u="1"/>
        <s v="192943355Z0" u="1"/>
        <s v="59071026" u="1"/>
        <s v="1106200068" u="1"/>
        <s v="58901368R0" u="1"/>
        <s v="251190" u="1"/>
        <s v="192000797" u="1"/>
        <s v="192001212" u="1"/>
        <s v="252190" u="1"/>
        <s v="734073" u="1"/>
        <s v="192933790Z0" u="1"/>
        <s v="490859" u="1"/>
        <s v="191916364N0" u="1"/>
        <s v="400397" u="1"/>
        <s v="58901788D7" u="1"/>
        <s v="316094" u="1"/>
        <s v="191946956F8" u="1"/>
        <s v="192000997" u="1"/>
        <s v="76P925015" u="1"/>
        <s v="BROCAS0108" u="1"/>
        <s v="ANU400001" u="1"/>
        <s v="58920920F0" u="1"/>
        <s v="192967" u="1"/>
        <s v="403397" u="1"/>
        <s v="58901398R0" u="1"/>
        <s v="090001" u="1"/>
        <s v="191966327N0" u="1"/>
        <s v="405397" u="1"/>
        <s v="567296" u="1"/>
        <s v="192933189G0" u="1"/>
        <s v="30212497" u="1"/>
        <s v="95IB78027" u="1"/>
        <s v="192933180C0" u="1"/>
        <s v="190966199L0" u="1"/>
        <s v="191947040N0" u="1"/>
        <s v="150220102453393" u="1"/>
        <s v="191001712" u="1"/>
        <s v="192904197Z0" u="1"/>
        <s v="192933231R0" u="1"/>
        <s v="490793" u="1"/>
        <s v="191937617G0" u="1"/>
        <s v="76P925315" u="1"/>
        <s v="58931233R0" u="1"/>
        <s v="589131255F0" u="1"/>
        <s v="567920" u="1"/>
        <s v="191001812" u="1"/>
        <s v="58920950F0" u="1"/>
        <s v="191946958C0" u="1"/>
        <s v="ANU400029" u="1"/>
        <s v="191001912" u="1"/>
        <s v="79401281" u="1"/>
        <s v="58931263R0" u="1"/>
        <s v="58901562E0" u="1"/>
        <s v="192518" u="1"/>
        <s v="761023" u="1"/>
        <s v="58931235Z0" u="1"/>
        <s v="562033" u="1"/>
        <s v="30219980" u="1"/>
        <s v="58931283R0" u="1"/>
        <s v="764023" u="1"/>
        <s v="65686100" u="1"/>
        <s v="58931255Z0" u="1"/>
        <s v="20559986" u="1"/>
        <s v="766023" u="1"/>
        <s v="192933550N0" u="1"/>
        <s v="58901626E0" u="1"/>
        <s v="568033" u="1"/>
        <s v="768023" u="1"/>
        <s v="403320" u="1"/>
        <s v="65122610" u="1"/>
        <s v="191966365F1" u="1"/>
        <s v="192933378N0" u="1"/>
        <s v="ANU20234791" u="1"/>
        <s v="314446" u="1"/>
        <s v="T424B000" u="1"/>
        <s v="191937044F0" u="1"/>
        <s v="65301202" u="1"/>
        <s v="312194" u="1"/>
        <s v="58901666E0" u="1"/>
        <s v="760386" u="1"/>
        <s v="252290" u="1"/>
        <s v="314194" u="1"/>
        <s v="76P926755" u="1"/>
        <s v="ANU20545156" u="1"/>
        <s v="192943815N0" u="1"/>
        <s v="ANU402181" u="1"/>
        <s v="58931501E0" u="1"/>
        <s v="192001054NE" u="1"/>
        <s v="132006" u="1"/>
        <s v="405497" u="1"/>
        <s v="567396" u="1"/>
        <s v="583581" u="1"/>
        <s v="191937544F0" u="1"/>
        <s v="20569916" u="1"/>
        <s v="65301252" u="1"/>
        <s v="191916317Z0" u="1"/>
        <s v="58920753C0" u="1"/>
        <s v="ANU564079" u="1"/>
        <s v="65301272" u="1"/>
        <s v="H450C100" u="1"/>
        <s v="58914438V0" u="1"/>
        <s v="192001071MO" u="1"/>
        <s v="58901217Z0" u="1"/>
        <s v="080064" u="1"/>
        <s v="58901712P0" u="1"/>
        <s v="65301292" u="1"/>
        <s v="422047" u="1"/>
        <s v="580132" u="1"/>
        <s v="760123" u="1"/>
        <s v="H450C120" u="1"/>
        <s v="58901275R0" u="1"/>
        <s v="400234" u="1"/>
        <s v="404048" u="1"/>
        <s v="420233" u="1"/>
        <s v="19943207Z0" u="1"/>
        <s v="405048" u="1"/>
        <s v="76P900030" u="1"/>
        <s v="402234" u="1"/>
        <s v="65696100" u="1"/>
        <s v="407048" u="1"/>
        <s v="372357" u="1"/>
        <s v="400420" u="1"/>
        <s v="710088" u="1"/>
        <s v="76P924382" u="1"/>
        <s v="20138415" u="1"/>
        <s v="192933203Z0" u="1"/>
        <s v="403420" u="1"/>
        <s v="569133" u="1"/>
        <s v="251642" u="1"/>
        <s v="58901349R0" u="1"/>
        <s v="192001022" u="1"/>
        <s v="554096" u="1"/>
        <s v="734087" u="1"/>
        <s v="30193863" u="1"/>
        <s v="20559833" u="1"/>
        <s v="65301386" u="1"/>
        <s v="192933403Z0" u="1"/>
        <s v="192001122" u="1"/>
        <s v="20PU701J" u="1"/>
        <s v="76P924682" u="1"/>
        <s v="59071027" u="1"/>
        <s v="557096" u="1"/>
        <s v="191001322" u="1"/>
        <s v="191966037N0" u="1"/>
        <s v="58901379R0" u="1"/>
        <s v="20PU392" u="1"/>
        <s v="76P924882" u="1"/>
        <s v="192933371G0" u="1"/>
        <s v="20PU393" u="1"/>
        <s v="190966337N0" u="1"/>
        <s v="191916574N0" u="1"/>
        <s v="191937046C0" u="1"/>
        <s v="20PU394" u="1"/>
        <s v="10SW5008N" u="1"/>
        <s v="192103" u="1"/>
        <s v="583681" u="1"/>
        <s v="20PU395" u="1"/>
        <s v="191946819R0" u="1"/>
        <s v="01824649" u="1"/>
        <s v="58914201V0" u="1"/>
        <s v="30212012S" u="1"/>
        <s v="76P925325" u="1"/>
        <s v="58931234R0" u="1"/>
        <s v="191001849AZ" u="1"/>
        <s v="95IB78237" u="1"/>
        <s v="ANU76P926373" u="1"/>
        <s v="20PU397" u="1"/>
        <s v="760037" u="1"/>
        <s v="H451C100" u="1"/>
        <s v="710011" u="1"/>
        <s v="79401282" u="1"/>
        <s v="19943056G0" u="1"/>
        <s v="20PU398" u="1"/>
        <s v="65306061" u="1"/>
        <s v="191001831AM" u="1"/>
        <s v="190718" u="1"/>
        <s v="564047" u="1"/>
        <s v="20212145" u="1"/>
        <s v="H451C120" u="1"/>
        <s v="403148" u="1"/>
        <s v="58931236Z0" u="1"/>
        <s v="400334" u="1"/>
        <s v="766037" u="1"/>
        <s v="20937086" u="1"/>
        <s v="76P926065" u="1"/>
        <s v="190904" u="1"/>
        <s v="567047" u="1"/>
        <s v="191937994R0" u="1"/>
        <s v="191937188L0" u="1"/>
        <s v="ANU20168030" u="1"/>
        <s v="9789621" u="1"/>
        <s v="20559987" u="1"/>
        <s v="600072" u="1"/>
        <s v="58931428B0" u="1"/>
        <s v="405334" u="1"/>
        <s v="58920007E1" u="1"/>
        <s v="58920207E0" u="1"/>
        <s v="76P942211" u="1"/>
        <s v="ANU567374" u="1"/>
        <s v="422081" u="1"/>
        <s v="76P926365" u="1"/>
        <s v="C100A600" u="1"/>
        <s v="9789623" u="1"/>
        <s v="191946246Q0" u="1"/>
        <s v="192933488N0" u="1"/>
        <s v="191001927C0" u="1"/>
        <s v="9789625" u="1"/>
        <s v="191937001D0" u="1"/>
        <s v="58901090Z0" u="1"/>
        <s v="760586" u="1"/>
        <s v="9789626" u="1"/>
        <s v="252490" u="1"/>
        <s v="310580" u="1"/>
        <s v="ANU567774" u="1"/>
        <s v="19943060Z0" u="1"/>
        <s v="191017" u="1"/>
        <s v="58901134Z0" u="1"/>
        <s v="58901244J0" u="1"/>
        <s v="58931502E0" u="1"/>
        <s v="56112424" u="1"/>
        <s v="192001064NE" u="1"/>
        <s v="191966087Z0" u="1"/>
        <s v="191946188Z0" u="1"/>
        <s v="192943784V7" u="1"/>
        <s v="080078" u="1"/>
        <s v="258107" u="1"/>
        <s v="ANU58901217Z0" u="1"/>
        <s v="58901208Z0" u="1"/>
        <s v="192933373D0" u="1"/>
        <s v="710111" u="1"/>
        <s v="ANU20168036" u="1"/>
        <s v="311131" u="1"/>
        <s v="58901713P0" u="1"/>
        <s v="190903484B0" u="1"/>
        <s v="191946960Z0" u="1"/>
        <s v="314131" u="1"/>
        <s v="734110" u="1"/>
        <s v="66916013" u="1"/>
        <s v="400434" u="1"/>
        <s v="191937066Z0" u="1"/>
        <s v="19943208Z0" u="1"/>
        <s v="58901248Z0" u="1"/>
        <s v="20559760" u="1"/>
        <s v="190966200R0" u="1"/>
        <s v="191937166Z0" u="1"/>
        <s v="191566" u="1"/>
        <s v="ANU58901165R0" u="1"/>
        <s v="251656" u="1"/>
        <s v="567333" u="1"/>
        <s v="66916043" u="1"/>
        <s v="402182" u="1"/>
        <s v="58931221B0" u="1"/>
        <s v="490830" u="1"/>
        <s v="192001059AZ" u="1"/>
        <s v="192001032" u="1"/>
        <s v="567081" u="1"/>
        <s v="191916317C0" u="1"/>
        <s v="20559834" u="1"/>
        <s v="T427B000" u="1"/>
        <s v="192001132" u="1"/>
        <s v="191966224A0" u="1"/>
        <s v="080001" u="1"/>
        <s v="58920788S0" u="1"/>
        <s v="192001232" u="1"/>
        <s v="190117" u="1"/>
        <s v="20932001" u="1"/>
        <s v="76P924792" u="1"/>
        <s v="20559854" u="1"/>
        <s v="58931261B0" u="1"/>
        <s v="493009" u="1"/>
        <s v="58901460E0" u="1"/>
        <s v="ANU20926305" u="1"/>
        <s v="084001" u="1"/>
        <s v="ANU404074" u="1"/>
        <s v="251207" u="1"/>
        <s v="65371230" u="1"/>
        <s v="191001532" u="1"/>
        <s v="19937610N0" u="1"/>
        <s v="256207" u="1"/>
        <s v="20932041" u="1"/>
        <s v="58920942F0" u="1"/>
        <s v="190051" u="1"/>
        <s v="530034" u="1"/>
        <s v="710025" u="1"/>
        <s v="30212013S" u="1"/>
        <s v="191051" u="1"/>
        <s v="791021" u="1"/>
        <s v="192943160P0" u="1"/>
        <s v="95IB78247" u="1"/>
        <s v="251141" u="1"/>
        <s v="20552080" u="1"/>
        <s v="H453C100" u="1"/>
        <s v="191001932" u="1"/>
        <s v="58901001Z0" u="1"/>
        <s v="76P925535" u="1"/>
        <s v="R230C000" u="1"/>
        <s v="190918" u="1"/>
        <s v="192933403C0" u="1"/>
        <s v="H453C120" u="1"/>
        <s v="314231" u="1"/>
        <s v="2085309" u="1"/>
        <s v="58931237Z0" u="1"/>
        <s v="66926013" u="1"/>
        <s v="400096" u="1"/>
        <s v="420095" u="1"/>
        <s v="567247" u="1"/>
        <s v="190666" u="1"/>
        <s v="20559978" u="1"/>
        <s v="76P925835" u="1"/>
        <s v="190935293Z0" u="1"/>
        <s v="58920974N0" u="1"/>
        <s v="58931429B0" u="1"/>
        <s v="58901051Z0" u="1"/>
        <s v="ANU567384" u="1"/>
        <s v="58901061Z0" u="1"/>
        <s v="58901105Z0" u="1"/>
        <s v="191966705E7" u="1"/>
        <s v="20562010" u="1"/>
        <s v="191937011D0" u="1"/>
        <s v="251690" u="1"/>
        <s v="191217" u="1"/>
        <s v="76P942349" u="1"/>
        <s v="191947020B0" u="1"/>
        <s v="166004" u="1"/>
        <s v="167004" u="1"/>
        <s v="58931503E0" u="1"/>
        <s v="56112425" u="1"/>
        <s v="37938118D0" u="1"/>
        <s v="58901217R0" u="1"/>
        <s v="192403" u="1"/>
        <s v="76P962920" u="1"/>
        <s v="270054" u="1"/>
        <s v="191937183B0" u="1"/>
        <s v="191916237Z0" u="1"/>
        <s v="191946198Z0" u="1"/>
        <s v="58901165Z0" u="1"/>
        <s v="58910943F0" u="1"/>
        <s v="191966707B0" u="1"/>
        <s v="H224C200" u="1"/>
        <s v="311145" u="1"/>
        <s v="191947048B0" u="1"/>
        <s v="20933688" u="1"/>
        <s v="19966210N0" u="1"/>
        <s v="192943420D0" u="1"/>
        <s v="251241" u="1"/>
        <s v="58901185Z0" u="1"/>
        <s v="314145" u="1"/>
        <s v="734124" u="1"/>
        <s v="T211B000" u="1"/>
        <s v="58931100J0" u="1"/>
        <s v="192943520D0" u="1"/>
        <s v="ANU76P926270" u="1"/>
        <s v="192000102" u="1"/>
        <s v="19943193R0" u="1"/>
        <s v="403448" u="1"/>
        <s v="ANU559105" u="1"/>
        <s v="19943209Z0" u="1"/>
        <s v="405448" u="1"/>
        <s v="567347" u="1"/>
        <s v="58931130J0" u="1"/>
        <s v="20559761" u="1"/>
        <s v="30212376" u="1"/>
        <s v="192944922L0" u="1"/>
        <s v="760271" u="1"/>
        <s v="490844" u="1"/>
        <s v="766085" u="1"/>
        <s v="20138407" u="1"/>
        <s v="191946998Z0" u="1"/>
        <s v="ANU191042" u="1"/>
        <s v="768085" u="1"/>
        <s v="76P924205" u="1"/>
        <s v="403382" u="1"/>
        <s v="260006" u="1"/>
        <s v="76P924305" u="1"/>
        <s v="192001042" u="1"/>
        <s v="58901431E0" u="1"/>
        <s v="567281" u="1"/>
        <s v="20559835" u="1"/>
        <s v="6919201" u="1"/>
        <s v="191966234A0" u="1"/>
        <s v="192933523Z0" u="1"/>
        <s v="192001242" u="1"/>
        <s v="191001342" u="1"/>
        <s v="191966057N0" u="1"/>
        <s v="H511C000" u="1"/>
        <s v="653047312" u="1"/>
        <s v="190966157N0" u="1"/>
        <s v="191946960C0" u="1"/>
        <s v="76P925045" u="1"/>
        <s v="58901505E0" u="1"/>
        <s v="190065" u="1"/>
        <s v="710039" u="1"/>
        <s v="653047512" u="1"/>
        <s v="192933823Z0" u="1"/>
        <s v="700011" u="1"/>
        <s v="900001" u="1"/>
        <s v="9788133" u="1"/>
        <s v="191001642" u="1"/>
        <s v="76P924905" u="1"/>
        <s v="19937611N0" u="1"/>
        <s v="58901868P0" u="1"/>
        <s v="65791230" u="1"/>
        <s v="9788134" u="1"/>
        <s v="191001742" u="1"/>
        <s v="58920943F0" u="1"/>
        <s v="554047" u="1"/>
        <s v="9788135" u="1"/>
        <s v="191001842" u="1"/>
        <s v="316059" u="1"/>
        <s v="11114500" u="1"/>
        <s v="653047812" u="1"/>
        <s v="76P950913" u="1"/>
        <s v="ANU58901506R0" u="1"/>
        <s v="65001101" u="1"/>
        <s v="9788136" u="1"/>
        <s v="ANU562029" u="1"/>
        <s v="58920963F0" u="1"/>
        <s v="79401284" u="1"/>
        <s v="191943226R0" u="1"/>
        <s v="ANU76P926408" u="1"/>
        <s v="20969711" u="1"/>
        <s v="9788137" u="1"/>
        <s v="20552091" u="1"/>
        <s v="192933466E0" u="1"/>
        <s v="312431" u="1"/>
        <s v="192933180N0" u="1"/>
        <s v="76P956021" u="1"/>
        <s v="314431" u="1"/>
        <s v="760185" u="1"/>
        <s v="65301111" u="1"/>
        <s v="191937617R0" u="1"/>
        <s v="58931238Z0" u="1"/>
        <s v="490758" u="1"/>
        <s v="C600A300" u="1"/>
        <s v="191946958N0" u="1"/>
        <s v="400296" u="1"/>
        <s v="65301121" u="1"/>
        <s v="76P926085" u="1"/>
        <s v="58901609E0" u="1"/>
        <s v="ANU76P926394" u="1"/>
        <s v="C600A310" u="1"/>
        <s v="76P925845" u="1"/>
        <s v="58920965N0" u="1"/>
        <s v="192943575C0" u="1"/>
        <s v="731839" u="1"/>
        <s v="65301131" u="1"/>
        <s v="76P926185" u="1"/>
        <s v="ANU58901511V0" u="1"/>
        <s v="19943040R0" u="1"/>
        <s v="65001151" u="1"/>
        <s v="65301141" u="1"/>
        <s v="76P926285" u="1"/>
        <s v="1100000229" u="1"/>
        <s v="58901090R0" u="1"/>
        <s v="65301151" u="1"/>
        <s v="76P926385" u="1"/>
        <s v="58920642C0" u="1"/>
        <s v="58901062Z0" u="1"/>
        <s v="58901639E0" u="1"/>
        <s v="58931278Z0" u="1"/>
        <s v="ANU76P925019" u="1"/>
        <s v="569195" u="1"/>
        <s v="162018" u="1"/>
        <s v="65301161" u="1"/>
        <s v="58901134R0" u="1"/>
        <s v="58931288Z0" u="1"/>
        <s v="405482" u="1"/>
        <s v="567381" u="1"/>
        <s v="192933355L0" u="1"/>
        <s v="165018" u="1"/>
        <s v="166018" u="1"/>
        <s v="191966217B0" u="1"/>
        <s v="H512C000" u="1"/>
        <s v="76P926785" u="1"/>
        <s v="19943062Z0" u="1"/>
        <s v="192417" u="1"/>
        <s v="270068" u="1"/>
        <s v="600023" u="1"/>
        <s v="58901208R0" u="1"/>
        <s v="58920726C0" u="1"/>
        <s v="252507" u="1"/>
        <s v="256890" u="1"/>
        <s v="401033" u="1"/>
        <s v="76P927028" u="1"/>
        <s v="58931504E0" u="1"/>
        <s v="191001855RS" u="1"/>
        <s v="422032" u="1"/>
        <s v="37938119D0" u="1"/>
        <s v="58931480E0" u="1"/>
        <s v="311159" u="1"/>
        <s v="20569909" u="1"/>
        <s v="403033" u="1"/>
        <s v="58901156Z0" u="1"/>
        <s v="58931514E0" u="1"/>
        <s v="20944880" u="1"/>
        <s v="314159" u="1"/>
        <s v="569996" u="1"/>
        <s v="30212293" u="1"/>
        <s v="192943330D0" u="1"/>
        <s v="ANU76P926478" u="1"/>
        <s v="192351" u="1"/>
        <s v="372342" u="1"/>
        <s v="ANU190112" u="1"/>
        <s v="255255" u="1"/>
        <s v="58901248R0" u="1"/>
        <s v="ANU58931261C0" u="1"/>
        <s v="252441" u="1"/>
        <s v="760099" u="1"/>
        <s v="710073" u="1"/>
        <s v="192943807V7" u="1"/>
        <s v="311093" u="1"/>
        <s v="19943194R0" u="1"/>
        <s v="58901715P0" u="1"/>
        <s v="ANU58901520Z0" u="1"/>
        <s v="191947023Z0" u="1"/>
        <s v="314093" u="1"/>
        <s v="734072" u="1"/>
        <s v="58920800F0" u="1"/>
        <s v="490858" u="1"/>
        <s v="400396" u="1"/>
        <s v="316093" u="1"/>
        <s v="192933793D0" u="1"/>
        <s v="577080" u="1"/>
        <s v="191916947Z0" u="1"/>
        <s v="733939" u="1"/>
        <s v="405396" u="1"/>
        <s v="567295" u="1"/>
        <s v="ANU403254" u="1"/>
        <s v="191947042V0" u="1"/>
        <s v="192000712" u="1"/>
        <s v="20559826" u="1"/>
        <s v="192000812" u="1"/>
        <s v="20559836" u="1"/>
        <s v="192001152" u="1"/>
        <s v="192001252" u="1"/>
        <s v="191001352" u="1"/>
        <s v="191966067N0" u="1"/>
        <s v="20577017" u="1"/>
        <s v="191946821R0" u="1"/>
        <s v="760022" u="1"/>
        <s v="791049" u="1"/>
        <s v="65751203" u="1"/>
        <s v="192517" u="1"/>
        <s v="761022" u="1"/>
        <s v="58931235J0" u="1"/>
        <s v="191001851AZ" u="1"/>
        <s v="192079" u="1"/>
        <s v="ANU20563943" u="1"/>
        <s v="562032" u="1"/>
        <s v="58920890F0" u="1"/>
        <s v="190703" u="1"/>
        <s v="763022" u="1"/>
        <s v="191001552" u="1"/>
        <s v="ANU30218328P" u="1"/>
        <s v="192001065RO" u="1"/>
        <s v="192943795Z0" u="1"/>
        <s v="76P925155" u="1"/>
        <s v="58901001R0" u="1"/>
        <s v="ANU30211810" u="1"/>
        <s v="20932033" u="1"/>
        <s v="766022" u="1"/>
        <s v="405133" u="1"/>
        <s v="191001752" u="1"/>
        <s v="58920006U0" u="1"/>
        <s v="191947036P0" u="1"/>
        <s v="191946993P0" u="1"/>
        <s v="569032" u="1"/>
        <s v="192451" u="1"/>
        <s v="30215199PU" u="1"/>
        <s v="ANU20563945" u="1"/>
        <s v="314445" u="1"/>
        <s v="191937046N0" u="1"/>
        <s v="20PU587MA15" u="1"/>
        <s v="58931257R0" u="1"/>
        <s v="191937190L0" u="1"/>
        <s v="58931229Z0" u="1"/>
        <s v="76P925655" u="1"/>
        <s v="58901051R0" u="1"/>
        <s v="760385" u="1"/>
        <s v="314193" u="1"/>
        <s v="58931239Z0" u="1"/>
        <s v="58901061R0" u="1"/>
        <s v="56113722" u="1"/>
        <s v="191946968N0" u="1"/>
        <s v="58901933S0" u="1"/>
        <s v="ANU20563947" u="1"/>
        <s v="557181" u="1"/>
        <s v="76P926195" u="1"/>
        <s v="58901105R0" u="1"/>
        <s v="192933490N0" u="1"/>
        <s v="191002" u="1"/>
        <s v="132005" u="1"/>
        <s v="567395" u="1"/>
        <s v="76P926395" u="1"/>
        <s v="ANU567207" u="1"/>
        <s v="H410C000" u="1"/>
        <s v="58901063Z0" u="1"/>
        <s v="58931279Z0" u="1"/>
        <s v="H410C010" u="1"/>
        <s v="76P926595" u="1"/>
        <s v="490509" u="1"/>
        <s v="H460C000" u="1"/>
        <s v="ANU20942897" u="1"/>
        <s v="080063" u="1"/>
        <s v="460044" u="1"/>
        <s v="191916945F0" u="1"/>
        <s v="192933565L0" u="1"/>
        <s v="58901165R0" u="1"/>
        <s v="422046" u="1"/>
        <s v="760122" u="1"/>
        <s v="76P942741" u="1"/>
        <s v="192904197N0" u="1"/>
        <s v="404047" u="1"/>
        <s v="420232" u="1"/>
        <s v="19966110V0" u="1"/>
        <s v="19966210F0" u="1"/>
        <s v="251269" u="1"/>
        <s v="58920727C0" u="1"/>
        <s v="76P927038" u="1"/>
        <s v="58931505E0" u="1"/>
        <s v="58901185R0" u="1"/>
        <s v="319994" u="1"/>
        <s v="402233" u="1"/>
        <s v="60000075" u="1"/>
        <s v="P111D000" u="1"/>
        <s v="T111B000" u="1"/>
        <s v="407047" u="1"/>
        <s v="R121C000" u="1"/>
        <s v="T121B000" u="1"/>
        <s v="766122" u="1"/>
        <s v="20944905" u="1"/>
        <s v="R131C000" u="1"/>
        <s v="10.001.0007" u="1"/>
        <s v="405233" u="1"/>
        <s v="R121C010" u="1"/>
        <s v="252455" u="1"/>
        <s v="ANU402224" u="1"/>
        <s v="192943493F0" u="1"/>
        <s v="791083" u="1"/>
        <s v="R171C000" u="1"/>
        <s v="251641" u="1"/>
        <s v="76P9000023" u="1"/>
        <s v="190935020L0" u="1"/>
        <s v="554095" u="1"/>
        <s v="734086" u="1"/>
        <s v="ANU76P926271" u="1"/>
        <s v="19943195R0" u="1"/>
        <s v="ANU252494" u="1"/>
        <s v="191946990Z0" u="1"/>
        <s v="760485" u="1"/>
        <s v="192933559F0" u="1"/>
        <s v="65507300" u="1"/>
        <s v="1103600050" u="1"/>
        <s v="ANU76P926281" u="1"/>
        <s v="65607300" u="1"/>
        <s v="192001061AZ" u="1"/>
        <s v="20PU383" u="1"/>
        <s v="20PU384" u="1"/>
        <s v="20138409" u="1"/>
        <s v="192102" u="1"/>
        <s v="I610C100" u="1"/>
        <s v="20PU385" u="1"/>
        <s v="58940002E0" u="1"/>
        <s v="ANU311156" u="1"/>
        <s v="20559827" u="1"/>
        <s v="192933343Z0" u="1"/>
        <s v="ANU20939303" u="1"/>
        <s v="192000822" u="1"/>
        <s v="191937596Z0" u="1"/>
        <s v="65712571" u="1"/>
        <s v="76P924425" u="1"/>
        <s v="ANU20235337" u="1"/>
        <s v="760036" u="1"/>
        <s v="192001162" u="1"/>
        <s v="710010" u="1"/>
        <s v="19966336N0" u="1"/>
        <s v="H461C000" u="1"/>
        <s v="191001814MO" u="1"/>
        <s v="192001262" u="1"/>
        <s v="191001362" u="1"/>
        <s v="551003361" u="1"/>
        <s v="20559857" u="1"/>
        <s v="564046" u="1"/>
        <s v="760222" u="1"/>
        <s v="58931236J0" u="1"/>
        <s v="20577028" u="1"/>
        <s v="400333" u="1"/>
        <s v="58920510C0" u="1"/>
        <s v="191916317N0" u="1"/>
        <s v="190903" u="1"/>
        <s v="191001562" u="1"/>
        <s v="58931146Z0" u="1"/>
        <s v="76P924825" u="1"/>
        <s v="768036" u="1"/>
        <s v="403333" u="1"/>
        <s v="T122B000" u="1"/>
        <s v="610099" u="1"/>
        <s v="R132C000" u="1"/>
        <s v="ANU76P926365" u="1"/>
        <s v="600071" u="1"/>
        <s v="314459" u="1"/>
        <s v="422080" u="1"/>
        <s v="76P925365" u="1"/>
        <s v="ANU132008" u="1"/>
        <s v="192943808Z0" u="1"/>
        <s v="569232" u="1"/>
        <s v="191001862" u="1"/>
        <s v="192933381R0" u="1"/>
        <s v="251741" u="1"/>
        <s v="76P925465" u="1"/>
        <s v="20552083" u="1"/>
        <s v="20969723" u="1"/>
        <s v="760585" u="1"/>
        <s v="190016" u="1"/>
        <s v="58901062R0" u="1"/>
        <s v="58931278R0" u="1"/>
        <s v="191916359W0" u="1"/>
        <s v="192943827V0" u="1"/>
        <s v="ANU30212813" u="1"/>
        <s v="191016" u="1"/>
        <s v="56113723" u="1"/>
        <s v="1140109248" u="1"/>
        <s v="191946978N0" u="1"/>
        <s v="132019" u="1"/>
        <s v="190935026Z0" u="1"/>
        <s v="58920590C0" u="1"/>
        <s v="58931288R0" u="1"/>
        <s v="19943042R0" u="1"/>
        <s v="9789619" u="1"/>
        <s v="76P926108" u="1"/>
        <s v="766771" u="1"/>
        <s v="ANU567317" u="1"/>
        <s v="080077" u="1"/>
        <s v="258106" u="1"/>
        <s v="H232C100" u="1"/>
        <s v="76P926308" u="1"/>
        <s v="58901208J0" u="1"/>
        <s v="65722571" u="1"/>
        <s v="76P926408" u="1"/>
        <s v="710110" u="1"/>
        <s v="H462C000" u="1"/>
        <s v="38T316A000" u="1"/>
        <s v="311130" u="1"/>
        <s v="58901156R0" u="1"/>
        <s v="58901994S0" u="1"/>
        <s v="084077" u="1"/>
        <s v="58901094Z0" u="1"/>
        <s v="192943765N0" u="1"/>
        <s v="20582022" u="1"/>
        <s v="760322" u="1"/>
        <s v="76P926608" u="1"/>
        <s v="192379" u="1"/>
        <s v="400433" u="1"/>
        <s v="766136" u="1"/>
        <s v="76P926708" u="1"/>
        <s v="19966111V0" u="1"/>
        <s v="2500068" u="1"/>
        <s v="58920728C0" u="1"/>
        <s v="58901248J0" u="1"/>
        <s v="252469" u="1"/>
        <s v="56112428" u="1"/>
        <s v="76P926808" u="1"/>
        <s v="760070" u="1"/>
        <s v="403433" u="1"/>
        <s v="ANU192933400C0" u="1"/>
        <s v="251655" u="1"/>
        <s v="567332" u="1"/>
        <s v="9786896" u="1"/>
        <s v="ANU76P926479" u="1"/>
        <s v="402181" u="1"/>
        <s v="58920315H0" u="1"/>
        <s v="191966179K0" u="1"/>
        <s v="ANU191946965V0" u="1"/>
        <s v="766070" u="1"/>
        <s v="58920325H0" u="1"/>
        <s v="19943196R0" u="1"/>
        <s v="191966179K1" u="1"/>
        <s v="192933469F0" u="1"/>
        <s v="190116" u="1"/>
        <s v="493008" u="1"/>
        <s v="191966149V0" u="1"/>
        <s v="192933516D0" u="1"/>
        <s v="58920712V0" u="1"/>
        <s v="251206" u="1"/>
        <s v="191000532" u="1"/>
        <s v="ANU190632" u="1"/>
        <s v="58931143J0" u="1"/>
        <s v="192000532" u="1"/>
        <s v="ANU58901819R0" u="1"/>
        <s v="190935258L0" u="1"/>
        <s v="192933539Q0" u="1"/>
        <s v="76P924235" u="1"/>
        <s v="256206" u="1"/>
        <s v="9786124" u="1"/>
        <s v="190050" u="1"/>
        <s v="710024" u="1"/>
        <s v="191050" u="1"/>
        <s v="20559828" u="1"/>
        <s v="191947014G0" u="1"/>
        <s v="H233C100" u="1"/>
        <s v="191001172" u="1"/>
        <s v="3330179881" u="1"/>
        <s v="191966698G0" u="1"/>
        <s v="760236" u="1"/>
        <s v="191000932" u="1"/>
        <s v="490809" u="1"/>
        <s v="192000932" u="1"/>
        <s v="58931217J0" u="1"/>
        <s v="192001272" u="1"/>
        <s v="190917" u="1"/>
        <s v="191001372" u="1"/>
        <s v="551003371" u="1"/>
        <s v="557032" u="1"/>
        <s v="20577019" u="1"/>
        <s v="58931165R0" u="1"/>
        <s v="191937609Z0" u="1"/>
        <s v="314230" u="1"/>
        <s v="191946188N0" u="1"/>
        <s v="420094" u="1"/>
        <s v="76P925075" u="1"/>
        <s v="567246" u="1"/>
        <s v="191001572" u="1"/>
        <s v="190665" u="1"/>
        <s v="ANU562031" u="1"/>
        <s v="760170" u="1"/>
        <s v="191001672" u="1"/>
        <s v="190966334L0" u="1"/>
        <s v="3330209655" u="1"/>
        <s v="1100000194" u="1"/>
        <s v="731824" u="1"/>
        <s v="76P925375" u="1"/>
        <s v="ANU132018" u="1"/>
        <s v="192943818Z0" u="1"/>
        <s v="20552074" u="1"/>
        <s v="191001872" u="1"/>
        <s v="ANU400361" u="1"/>
        <s v="58931177Z0" u="1"/>
        <s v="56112241" u="1"/>
        <s v="95IB84096" u="1"/>
        <s v="766170" u="1"/>
        <s v="760599" u="1"/>
        <s v="01.019.0085" u="1"/>
        <s v="58901005Z0" u="1"/>
        <s v="191966100F0" u="1"/>
        <s v="65237300" u="1"/>
        <s v="569180" u="1"/>
        <s v="19916236N0" u="1"/>
        <s v="191937166N0" u="1"/>
        <s v="65337300" u="1"/>
        <s v="162003" u="1"/>
        <s v="20969724" u="1"/>
        <s v="76P925675" u="1"/>
        <s v="58901053R0" u="1"/>
        <s v="192933824G0" u="1"/>
        <s v="163003" u="1"/>
        <s v="1106200070" u="1"/>
        <s v="164003" u="1"/>
        <s v="76P925775" u="1"/>
        <s v="ANU400389" u="1"/>
        <s v="58901063R0" u="1"/>
        <s v="58931279R0" u="1"/>
        <s v="191216" u="1"/>
        <s v="191946988N0" u="1"/>
        <s v="ANU20944894" u="1"/>
        <s v="084100" u="1"/>
        <s v="166003" u="1"/>
        <s v="58920591C0" u="1"/>
        <s v="190966128F0" u="1"/>
        <s v="2084151264" u="1"/>
        <s v="58920068U0" u="1"/>
        <s v="085100" u="1"/>
        <s v="191943275N0" u="1"/>
        <s v="76P6710" u="1"/>
        <s v="76P926018" u="1"/>
        <s v="192943275N0" u="1"/>
        <s v="192944377V0" u="1"/>
        <s v="192402" u="1"/>
        <s v="270053" u="1"/>
        <s v="251054" u="1"/>
        <s v="76P926218" u="1"/>
        <s v="58901065Z0" u="1"/>
        <s v="58920955E7" u="1"/>
        <s v="192944490D8" u="1"/>
        <s v="311144" u="1"/>
        <s v="ANU567327" u="1"/>
        <s v="58901075Z0" u="1"/>
        <s v="58901109Z0" u="1"/>
        <s v="251240" u="1"/>
        <s v="191966147B0" u="1"/>
        <s v="ANU58920896F0" u="1"/>
        <s v="76P926418" u="1"/>
        <s v="58901085Z0" u="1"/>
        <s v="734123" u="1"/>
        <s v="586159" u="1"/>
        <s v="20582023" u="1"/>
        <s v="0490024" u="1"/>
        <s v="760084" u="1"/>
        <s v="58931020J0" u="1"/>
        <s v="58901177R0" u="1"/>
        <s v="56112419" u="1"/>
        <s v="76P926718" u="1"/>
        <s v="19966112V0" u="1"/>
        <s v="191947016D0" u="1"/>
        <s v="405447" u="1"/>
        <s v="567346" u="1"/>
        <s v="56112429" u="1"/>
        <s v="192933351F0" u="1"/>
        <s v="564094" u="1"/>
        <s v="06.124.0008" u="1"/>
        <s v="490843" u="1"/>
        <s v="30217836PU" u="1"/>
        <s v="191937179D0" u="1"/>
        <s v="58901169Z0" u="1"/>
        <s v="3330193262" u="1"/>
        <s v="58901179Z0" u="1"/>
        <s v="403381" u="1"/>
        <s v="569094" u="1"/>
        <s v="58920769C0" u="1"/>
        <s v="405381" u="1"/>
        <s v="19943197R0" u="1"/>
        <s v="58914534I0" u="1"/>
        <s v="192000242" u="1"/>
        <s v="65691100" u="1"/>
        <s v="20234780" u="1"/>
        <s v="192000342" u="1"/>
        <s v="20559765" u="1"/>
        <s v="56117060" u="1"/>
        <s v="192000442" u="1"/>
        <s v="192944962L0" u="1"/>
        <s v="ANU190642" u="1"/>
        <s v="710038" u="1"/>
        <s v="192000542" u="1"/>
        <s v="191001817NE" u="1"/>
        <s v="190935268L0" u="1"/>
        <s v="554046" u="1"/>
        <s v="30202193" u="1"/>
        <s v="76P924345" u="1"/>
        <s v="58931108Z0" u="1"/>
        <s v="557046" u="1"/>
        <s v="577045" u="1"/>
        <s v="ANU20933091" u="1"/>
        <s v="192001182" u="1"/>
        <s v="314244" u="1"/>
        <s v="191001282" u="1"/>
        <s v="192000942" u="1"/>
        <s v="191937138V0" u="1"/>
        <s v="H455C010" u="1"/>
        <s v="192001282" u="1"/>
        <s v="58931094Z0" u="1"/>
        <s v="312430" u="1"/>
        <s v="610070" u="1"/>
        <s v="190679" u="1"/>
        <s v="76P924645" u="1"/>
        <s v="58931166R0" u="1"/>
        <s v="564446" u="1"/>
        <s v="190966197N0" u="1"/>
        <s v="314430" u="1"/>
        <s v="760184" u="1"/>
        <s v="191916237N0" u="1"/>
        <s v="65767403" u="1"/>
        <s v="192943800Z0" u="1"/>
        <s v="65201021" u="1"/>
        <s v="C600A200" u="1"/>
        <s v="251769" u="1"/>
        <s v="20932026" u="1"/>
        <s v="76P924845" u="1"/>
        <s v="58931186R0" u="1"/>
        <s v="731838" u="1"/>
        <s v="65001051" u="1"/>
        <s v="766184" u="1"/>
        <s v="58920947F0" u="1"/>
        <s v="58931310E0" u="1"/>
        <s v="65001061" u="1"/>
        <s v="ANU20956925" u="1"/>
        <s v="95IB65254B" u="1"/>
        <s v="360007" u="1"/>
        <s v="192943828Z0" u="1"/>
        <s v="191001882" u="1"/>
        <s v="58920957F0" u="1"/>
        <s v="58931178Z0" u="1"/>
        <s v="191947013N0" u="1"/>
        <s v="403481" u="1"/>
        <s v="65001071" u="1"/>
        <s v="191946970N0" u="1"/>
        <s v="162017" u="1"/>
        <s v="191966059V7" u="1"/>
        <s v="405481" u="1"/>
        <s v="567380" u="1"/>
        <s v="30219957" u="1"/>
        <s v="165017" u="1"/>
        <s v="65722503" u="1"/>
        <s v="19916237N0" u="1"/>
        <s v="65357300" u="1"/>
        <s v="166017" u="1"/>
        <s v="76P926100" u="1"/>
        <s v="58920482S0" u="1"/>
        <s v="190966038F0" u="1"/>
        <s v="19916257N0" u="1"/>
        <s v="191966038F0" u="1"/>
        <s v="192416" u="1"/>
        <s v="270067" u="1"/>
        <s v="56127060" u="1"/>
        <s v="76P925885" u="1"/>
        <s v="58920592C0" u="1"/>
        <s v="190937476N0" u="1"/>
        <s v="600022" u="1"/>
        <s v="252506" u="1"/>
        <s v="20133599" u="1"/>
        <s v="19943044R0" u="1"/>
        <s v="192943285N0" u="1"/>
        <s v="422031" u="1"/>
        <s v="311158" u="1"/>
        <s v="0492799" u="1"/>
        <s v="ANU567137" u="1"/>
        <s v="191946239F0" u="1"/>
        <s v="76P926128" u="1"/>
        <s v="56127080" u="1"/>
        <s v="58901094R0" u="1"/>
        <s v="404032" u="1"/>
        <s v="405032" u="1"/>
        <s v="569995" u="1"/>
        <s v="71302800" u="1"/>
        <s v="58920956E7" u="1"/>
        <s v="76P926328" u="1"/>
        <s v="58901076Z0" u="1"/>
        <s v="192350" u="1"/>
        <s v="372341" u="1"/>
        <s v="192001074BL" u="1"/>
        <s v="760536" u="1"/>
        <s v="252440" u="1"/>
        <s v="760098" u="1"/>
        <s v="710072" u="1"/>
        <s v="311092" u="1"/>
        <s v="9789127" u="1"/>
        <s v="314092" u="1"/>
        <s v="734071" u="1"/>
        <s v="ANU20969613" u="1"/>
        <s v="490857" u="1"/>
        <s v="19966113V0" u="1"/>
        <s v="58901635P0" u="1"/>
        <s v="400395" u="1"/>
        <s v="766098" u="1"/>
        <s v="316092" u="1"/>
        <s v="20234711" u="1"/>
        <s v="310959" u="1"/>
        <s v="ANU564024" u="1"/>
        <s v="192965" u="1"/>
        <s v="403395" u="1"/>
        <s v="733938" u="1"/>
        <s v="567294" u="1"/>
        <s v="192933561F0" u="1"/>
        <s v="191946245L9" u="1"/>
        <s v="20944894" u="1"/>
        <s v="ANU191946966V0" u="1"/>
        <s v="20558307" u="1"/>
        <s v="19943198R0" u="1"/>
        <s v="087028" u="1"/>
        <s v="66911013" u="1"/>
        <s v="58931091J0" u="1"/>
        <s v="58931510P0" u="1"/>
        <s v="190078" u="1"/>
        <s v="700024" u="1"/>
        <s v="760021" u="1"/>
        <s v="192000352" u="1"/>
        <s v="19100185MO" u="1"/>
        <s v="58901362E0" u="1"/>
        <s v="58920780F0" u="1"/>
        <s v="192516" u="1"/>
        <s v="761021" u="1"/>
        <s v="192078" u="1"/>
        <s v="20138368" u="1"/>
        <s v="190935306N0" u="1"/>
        <s v="562031" u="1"/>
        <s v="20234791" u="1"/>
        <s v="192000452" u="1"/>
        <s v="58920790F0" u="1"/>
        <s v="192933789F0" u="1"/>
        <s v="190702" u="1"/>
        <s v="402132" u="1"/>
        <s v="76P900003" u="1"/>
        <s v="372255" u="1"/>
        <s v="9787601" u="1"/>
        <s v="766021" u="1"/>
        <s v="192933559Q0" u="1"/>
        <s v="66911063" u="1"/>
        <s v="58901426E0" u="1"/>
        <s v="58920006E0" u="1"/>
        <s v="58931165J0" u="1"/>
        <s v="768021" u="1"/>
        <s v="192000752" u="1"/>
        <s v="190935378L0" u="1"/>
        <s v="58920397H0" u="1"/>
        <s v="58931237B0" u="1"/>
        <s v="192001092" u="1"/>
        <s v="58931147R0" u="1"/>
        <s v="192001192" u="1"/>
        <s v="760198" u="1"/>
        <s v="1100300006" u="1"/>
        <s v="191001292" u="1"/>
        <s v="192000952" u="1"/>
        <s v="192933573Z0" u="1"/>
        <s v="192001292" u="1"/>
        <s v="9787605" u="1"/>
        <s v="65301002" u="1"/>
        <s v="20554864" u="1"/>
        <s v="58931229J0" u="1"/>
        <s v="76P924655" u="1"/>
        <s v="190966054L0" u="1"/>
        <s v="314192" u="1"/>
        <s v="ANU132010" u="1"/>
        <s v="192943810Z0" u="1"/>
        <s v="ANU30213011" u="1"/>
        <s v="58931177R0" u="1"/>
        <s v="191001592" u="1"/>
        <s v="76P924855" u="1"/>
        <s v="19937606N0" u="1"/>
        <s v="191937067R0" u="1"/>
        <s v="ANU166027" u="1"/>
        <s v="58901005R0" u="1"/>
        <s v="191001692" u="1"/>
        <s v="132004" u="1"/>
        <s v="58901053J0" u="1"/>
        <s v="58920948F0" u="1"/>
        <s v="58931311E0" u="1"/>
        <s v="405495" u="1"/>
        <s v="567394" u="1"/>
        <s v="191001892" u="1"/>
        <s v="58920958F0" u="1"/>
        <s v="58931179Z0" u="1"/>
        <s v="191916361W0" u="1"/>
        <s v="191946980N0" u="1"/>
        <s v="76P925495" u="1"/>
        <s v="58931189Z0" u="1"/>
        <s v="192944936Q0" u="1"/>
        <s v="76P969821" u="1"/>
        <s v="SS1000P-B3" u="1"/>
        <s v="19916238N0" u="1"/>
        <s v="490508" u="1"/>
        <s v="191966220F0" u="1"/>
        <s v="20969726" u="1"/>
        <s v="76P926110" u="1"/>
        <s v="191916947N0" u="1"/>
        <s v="080062" u="1"/>
        <s v="400046" u="1"/>
        <s v="460043" u="1"/>
        <s v="191966701J0" u="1"/>
        <s v="56127051" u="1"/>
        <s v="ANU192435" u="1"/>
        <s v="58901065R0" u="1"/>
        <s v="422045" u="1"/>
        <s v="760121" u="1"/>
        <s v="19966100F0" u="1"/>
        <s v="192933233N0" u="1"/>
        <s v="595002234" u="1"/>
        <s v="76P926310" u="1"/>
        <s v="58901075R0" u="1"/>
        <s v="192943195N0" u="1"/>
        <s v="404046" u="1"/>
        <s v="420231" u="1"/>
        <s v="65877300" u="1"/>
        <s v="58920112P0" u="1"/>
        <s v="251268" u="1"/>
        <s v="58901109R0" u="1"/>
        <s v="76P926038" u="1"/>
        <s v="76P926410" u="1"/>
        <s v="58901085R0" u="1"/>
        <s v="405232" u="1"/>
        <s v="30213637" u="1"/>
        <s v="550094" u="1"/>
        <s v="710086" u="1"/>
        <s v="ANU405377" u="1"/>
        <s v="19966140F0" u="1"/>
        <s v="76P926710" u="1"/>
        <s v="58931330D7" u="1"/>
        <s v="19966050V0" u="1"/>
        <s v="192933208L0" u="1"/>
        <s v="554094" u="1"/>
        <s v="734085" u="1"/>
        <s v="19943057Z0" u="1"/>
        <s v="58901097Z0" u="1"/>
        <s v="20PU370" u="1"/>
        <s v="192943795N0" u="1"/>
        <s v="20582025" u="1"/>
        <s v="58901169R0" u="1"/>
        <s v="557094" u="1"/>
        <s v="76P926638" u="1"/>
        <s v="760484" u="1"/>
        <s v="20PU371" u="1"/>
        <s v="58920244H0" u="1"/>
        <s v="58901179R0" u="1"/>
        <s v="191966181K0" u="1"/>
        <s v="582493" u="1"/>
        <s v="76P927078" u="1"/>
        <s v="ANU251694" u="1"/>
        <s v="58931032J0" u="1"/>
        <s v="20559663" u="1"/>
        <s v="76P926938" u="1"/>
        <s v="191966181K1" u="1"/>
        <s v="192933471F0" u="1"/>
        <s v="20PU374" u="1"/>
        <s v="192101" u="1"/>
        <s v="I610C000" u="1"/>
        <s v="20PU375" u="1"/>
        <s v="20558308" u="1"/>
        <s v="192933246D0" u="1"/>
        <s v="760035" u="1"/>
        <s v="20PU378" u="1"/>
        <s v="65587300" u="1"/>
        <s v="H315C000" u="1"/>
        <s v="402146" u="1"/>
        <s v="564045" u="1"/>
        <s v="760221" u="1"/>
        <s v="58920781F0" u="1"/>
        <s v="565045" u="1"/>
        <s v="ANU76P926317" u="1"/>
        <s v="190935316N0" u="1"/>
        <s v="58920791F0" u="1"/>
        <s v="ANU20961741" u="1"/>
        <s v="76P938255" u="1"/>
        <s v="190902" u="1"/>
        <s v="H155C100" u="1"/>
        <s v="191946293D8" u="1"/>
        <s v="403332" u="1"/>
        <s v="ANU76P926327" u="1"/>
        <s v="ANU192933520Z0" u="1"/>
        <s v="192464" u="1"/>
        <s v="490542" u="1"/>
        <s v="58931094R0" u="1"/>
        <s v="191937999D0" u="1"/>
        <s v="610098" u="1"/>
        <s v="ANU311096" u="1"/>
        <s v="ANU20961742" u="1"/>
        <s v="192933999F0" u="1"/>
        <s v="190966198R0" u="1"/>
        <s v="191937611Z0" u="1"/>
        <s v="314458" u="1"/>
        <s v="191966322C0" u="1"/>
        <s v="402080" u="1"/>
        <s v="76P924365" u="1"/>
        <s v="191946190N0" u="1"/>
        <s v="192933383Z0" u="1"/>
        <s v="569231" u="1"/>
        <s v="C100A400" u="1"/>
        <s v="C500A200" u="1"/>
        <s v="ANU20961743" u="1"/>
        <s v="192001005" u="1"/>
        <s v="192000962" u="1"/>
        <s v="191001854MO" u="1"/>
        <s v="20969613" u="1"/>
        <s v="192001105" u="1"/>
        <s v="ANU20961744" u="1"/>
        <s v="191001205" u="1"/>
        <s v="760584" u="1"/>
        <s v="192001205" u="1"/>
        <s v="191937101C0" u="1"/>
        <s v="192943820Z0" u="1"/>
        <s v="58931178R0" u="1"/>
        <s v="192933783Z0" u="1"/>
        <s v="111019" u="1"/>
        <s v="191015" u="1"/>
        <s v="80000271" u="1"/>
        <s v="191916357N0" u="1"/>
        <s v="132018" u="1"/>
        <s v="76P924865" u="1"/>
        <s v="19937607N0" u="1"/>
        <s v="251105" u="1"/>
        <s v="79051060" u="1"/>
        <s v="191001505" u="1"/>
        <s v="5610341825" u="1"/>
        <s v="191946790N0" u="1"/>
        <s v="20932048" u="1"/>
        <s v="58920949F0" u="1"/>
        <s v="58920006D7" u="1"/>
        <s v="30209732" u="1"/>
        <s v="080076" u="1"/>
        <s v="258105" u="1"/>
        <s v="H232C000" u="1"/>
        <s v="610021" u="1"/>
        <s v="9786880" u="1"/>
        <s v="76P926020" u="1"/>
        <s v="422059" u="1"/>
        <s v="9786881" u="1"/>
        <s v="20969727" u="1"/>
        <s v="76P926120" u="1"/>
        <s v="65497300" u="1"/>
        <s v="191966330F0" u="1"/>
        <s v="9786882" u="1"/>
        <s v="56127052" u="1"/>
        <s v="192933573C0" u="1"/>
        <s v="760321" u="1"/>
        <s v="T711C000" u="1"/>
        <s v="76P925608" u="1"/>
        <s v="ANU20927895" u="1"/>
        <s v="58901138J0" u="1"/>
        <s v="192378" u="1"/>
        <s v="76P926320" u="1"/>
        <s v="58901076R0" u="1"/>
        <s v="192933396P0" u="1"/>
        <s v="400432" u="1"/>
        <s v="766135" u="1"/>
        <s v="76P925708" u="1"/>
        <s v="252468" u="1"/>
        <s v="9786884" u="1"/>
        <s v="9788742" u="1"/>
        <s v="76P925808" u="1"/>
        <s v="VEC255CA" u="1"/>
        <s v="251654" u="1"/>
        <s v="400180" u="1"/>
        <s v="ANU567257" u="1"/>
        <s v="567331" u="1"/>
        <s v="734099" u="1"/>
        <s v="19966141F0" u="1"/>
        <s v="118800017000" u="1"/>
        <s v="402180" u="1"/>
        <s v="58920658C0" u="1"/>
        <s v="20973589" u="1"/>
        <s v="191947027H0" u="1"/>
        <s v="ANU20168029" u="1"/>
        <s v="ANU58906177W0" u="1"/>
        <s v="19966051V0" u="1"/>
        <s v="20973599" u="1"/>
        <s v="70000032" u="1"/>
        <s v="76P926448" u="1"/>
        <s v="20939581" u="1"/>
        <s v="ANU406002" u="1"/>
        <s v="19943058Z0" u="1"/>
        <s v="191937181D0" u="1"/>
        <s v="190115" u="1"/>
        <s v="1100800005" u="1"/>
        <s v="493007" u="1"/>
        <s v="76P962890" u="1"/>
        <s v="251205" u="1"/>
        <s v="ANU564044" u="1"/>
        <s v="30207068" u="1"/>
        <s v="76P963133" u="1"/>
        <s v="760049" u="1"/>
        <s v="710023" u="1"/>
        <s v="20558309" u="1"/>
        <s v="H233C000" u="1"/>
        <s v="2501054" u="1"/>
        <s v="192943590D0" u="1"/>
        <s v="ANU132008PU" u="1"/>
        <s v="760235" u="1"/>
        <s v="191937121Z0" u="1"/>
        <s v="20969510" u="1"/>
        <s v="56117043" u="1"/>
        <s v="400346" u="1"/>
        <s v="ANU58906342W0" u="1"/>
        <s v="2501056" u="1"/>
        <s v="190935270L0" u="1"/>
        <s v="190916" u="1"/>
        <s v="557031" u="1"/>
        <s v="20559758" u="1"/>
        <s v="58901364E0" u="1"/>
        <s v="58920782F0" u="1"/>
        <s v="2501057" u="1"/>
        <s v="403346" u="1"/>
        <s v="567245" u="1"/>
        <s v="190664" u="1"/>
        <s v="401094" u="1"/>
        <s v="191937140V0" u="1"/>
        <s v="58931095R0" u="1"/>
        <s v="192000672" u="1"/>
        <s v="251754" u="1"/>
        <s v="58920746V0" u="1"/>
        <s v="58931167J0" u="1"/>
        <s v="9787886" u="1"/>
        <s v="192000772" u="1"/>
        <s v="76P924375" u="1"/>
        <s v="ANU191015" u="1"/>
        <s v="58931177J0" u="1"/>
        <s v="04TRA206T" u="1"/>
        <s v="192943158Z0" u="1"/>
        <s v="192000872" u="1"/>
        <s v="76P924475" u="1"/>
        <s v="760598" u="1"/>
        <s v="192001015" u="1"/>
        <s v="590009" u="1"/>
        <s v="192000972" u="1"/>
        <s v="190966202N0" u="1"/>
        <s v="160002" u="1"/>
        <s v="65201004" u="1"/>
        <s v="ANU191215" u="1"/>
        <s v="58931259B0" u="1"/>
        <s v="190966355P0" u="1"/>
        <s v="192001115" u="1"/>
        <s v="592001114" u="1"/>
        <s v="191966355P0" u="1"/>
        <s v="58901468E0" u="1"/>
        <s v="58931164A7" u="1"/>
        <s v="191966705D8" u="1"/>
        <s v="192943830Z0" u="1"/>
        <s v="164002" u="1"/>
        <s v="58931179R0" u="1"/>
        <s v="192933793Z0" u="1"/>
        <s v="191215" u="1"/>
        <s v="58920896F0" u="1"/>
        <s v="0492645" u="1"/>
        <s v="166002" u="1"/>
        <s v="191001415" u="1"/>
        <s v="76P924875" u="1"/>
        <s v="19937608N0" u="1"/>
        <s v="58920068E0" u="1"/>
        <s v="167002" u="1"/>
        <s v="314209" u="1"/>
        <s v="76P6700" u="1"/>
        <s v="20224724" u="1"/>
        <s v="58912051" u="1"/>
        <s v="76P925018" u="1"/>
        <s v="76P924975" u="1"/>
        <s v="192401" u="1"/>
        <s v="76P6701" u="1"/>
        <s v="76P925118" u="1"/>
        <s v="270052" u="1"/>
        <s v="251053" u="1"/>
        <s v="192933183C0" u="1"/>
        <s v="760149" u="1"/>
        <s v="191947043N0" u="1"/>
        <s v="06.121.0015" u="1"/>
        <s v="ANU58920505V0" u="1"/>
        <s v="H224C000" u="1"/>
        <s v="311143" u="1"/>
        <s v="20969708" u="1"/>
        <s v="192943196R0" u="1"/>
        <s v="76P925318" u="1"/>
        <s v="58901075J0" u="1"/>
        <s v="192001058GR" u="1"/>
        <s v="191966140F0" u="1"/>
        <s v="76P6704" u="1"/>
        <s v="734122" u="1"/>
        <s v="191001915" u="1"/>
        <s v="20969728" u="1"/>
        <s v="400446" u="1"/>
        <s v="56127053" u="1"/>
        <s v="56249914" u="1"/>
        <s v="76P926230" u="1"/>
        <s v="760521" u="1"/>
        <s v="76P925618" u="1"/>
        <s v="760083" u="1"/>
        <s v="569159" u="1"/>
        <s v="76P926330" u="1"/>
        <s v="76P925718" u="1"/>
        <s v="400194" u="1"/>
        <s v="405446" u="1"/>
        <s v="20939542" u="1"/>
        <s v="191937739C0" u="1"/>
        <s v="192933783C0" u="1"/>
        <s v="402194" u="1"/>
        <s v="490842" u="1"/>
        <s v="76P925918" u="1"/>
        <s v="400380" u="1"/>
        <s v="766083" u="1"/>
        <s v="19966070N0" u="1"/>
        <s v="ANU490862" u="1"/>
        <s v="58901169J0" u="1"/>
        <s v="58912270Z0" u="1"/>
        <s v="192933553N0" u="1"/>
        <s v="19966080N0" u="1"/>
        <s v="58901179J0" u="1"/>
        <s v="403380" u="1"/>
        <s v="569093" u="1"/>
        <s v="260004" u="1"/>
        <s v="653045012" u="1"/>
        <s v="190129" u="1"/>
        <s v="19943059Z0" u="1"/>
        <s v="ANU20956099" u="1"/>
        <s v="ANU58931177Z0" u="1"/>
        <s v="D111E000" u="1"/>
        <s v="H111C000" u="1"/>
        <s v="76P926758" u="1"/>
        <s v="191947056D0" u="1"/>
        <s v="192943818N0" u="1"/>
        <s v="ANU58931178Z0" u="1"/>
        <s v="20944877" u="1"/>
        <s v="190063" u="1"/>
        <s v="710037" u="1"/>
        <s v="ANU360011" u="1"/>
        <s v="311057" u="1"/>
        <s v="9786255" u="1"/>
        <s v="58920733F0" u="1"/>
        <s v="9786256" u="1"/>
        <s v="554045" u="1"/>
        <s v="11114300" u="1"/>
        <s v="58931108J0" u="1"/>
        <s v="192933791F0" u="1"/>
        <s v="ANU569022" u="1"/>
        <s v="314243" u="1"/>
        <s v="65502300" u="1"/>
        <s v="20969511" u="1"/>
        <s v="65602300" u="1"/>
        <s v="H275C000" u="1"/>
        <s v="20PU587JUCU" u="1"/>
        <s v="192933561Q0" u="1"/>
        <s v="567259" u="1"/>
        <s v="190678" u="1"/>
        <s v="564445" u="1"/>
        <s v="192000382" u="1"/>
        <s v="58920783F0" u="1"/>
        <s v="191946953Z0" u="1"/>
        <s v="C600A100" u="1"/>
        <s v="190903577B0" u="1"/>
        <s v="ANU190682" u="1"/>
        <s v="C600A110" u="1"/>
        <s v="191966142C0" u="1"/>
        <s v="192943803D0" u="1"/>
        <s v="ANU165017" u="1"/>
        <s v="ANU192933521Z0" u="1"/>
        <s v="30209610" u="1"/>
        <s v="192000682" u="1"/>
        <s v="766183" u="1"/>
        <s v="58931168J0" u="1"/>
        <s v="30208201" u="1"/>
        <s v="ANU30212293" u="1"/>
        <s v="76P924385" u="1"/>
        <s v="191000882" u="1"/>
        <s v="58931178J0" u="1"/>
        <s v="403480" u="1"/>
        <s v="162016" u="1"/>
        <s v="76P924485" u="1"/>
        <s v="ANU192933246D0" u="1"/>
        <s v="405480" u="1"/>
        <s v="192001025" u="1"/>
        <s v="192000982" u="1"/>
        <s v="ANU403427" u="1"/>
        <s v="ANU191225" u="1"/>
        <s v="192933406Z0" u="1"/>
        <s v="192001125" u="1"/>
        <s v="251319" u="1"/>
        <s v="H112C000" u="1"/>
        <s v="76P924785" u="1"/>
        <s v="192415" u="1"/>
        <s v="270066" u="1"/>
        <s v="19937609N0" u="1"/>
        <s v="600021" u="1"/>
        <s v="252505" u="1"/>
        <s v="590143" u="1"/>
        <s v="191001525" u="1"/>
        <s v="76P924985" u="1"/>
        <s v="76P925400" u="1"/>
        <s v="422030" u="1"/>
        <s v="58931280E0" u="1"/>
        <s v="311157" u="1"/>
        <s v="191937049C0" u="1"/>
        <s v="20552069" u="1"/>
        <s v="76P925128" u="1"/>
        <s v="251253" u="1"/>
        <s v="760349" u="1"/>
        <s v="569994" u="1"/>
        <s v="191001725" u="1"/>
        <s v="58920899N0" u="1"/>
        <s v="ANU192933571Z0" u="1"/>
        <s v="20969709" u="1"/>
        <s v="76P925328" u="1"/>
        <s v="65312300" u="1"/>
        <s v="190943100N0" u="1"/>
        <s v="76P926040" u="1"/>
        <s v="760535" u="1"/>
        <s v="760097" u="1"/>
        <s v="191001925" u="1"/>
        <s v="710071" u="1"/>
        <s v="311091" u="1"/>
        <s v="76P925528" u="1"/>
        <s v="20PU473JUL" u="1"/>
        <s v="190778" u="1"/>
        <s v="56127054" u="1"/>
        <s v="58920586C0" u="1"/>
        <s v="31305" u="1"/>
        <s v="760283" u="1"/>
        <s v="764097" u="1"/>
        <s v="734070" u="1"/>
        <s v="490856" u="1"/>
        <s v="76P925728" u="1"/>
        <s v="400394" u="1"/>
        <s v="192933210L0" u="1"/>
        <s v="316091" u="1"/>
        <s v="76P926068" u="1"/>
        <s v="58912251Z0" u="1"/>
        <s v="310958" u="1"/>
        <s v="ANU76P925850" u="1"/>
        <s v="313958" u="1"/>
        <s v="733937" u="1"/>
        <s v="19966071N0" u="1"/>
        <s v="58920207H0" u="1"/>
        <s v="9786390" u="1"/>
        <s v="191966695E7" u="1"/>
        <s v="ANU567377" u="1"/>
        <s v="19966081N0" u="1"/>
        <s v="76P926368" u="1"/>
        <s v="283017" u="1"/>
        <s v="490790" u="1"/>
        <s v="ANU20204328" u="1"/>
        <s v="76P926940" u="1"/>
        <s v="58920632N0" u="1"/>
        <s v="191937004D0" u="1"/>
        <s v="252419" u="1"/>
        <s v="H113C000" u="1"/>
        <s v="ANU567777" u="1"/>
        <s v="760020" u="1"/>
        <s v="118708114601" u="1"/>
        <s v="192515" u="1"/>
        <s v="490155" u="1"/>
        <s v="562030" u="1"/>
        <s v="BR10C000" u="1"/>
        <s v="58920690F0" u="1"/>
        <s v="190701" u="1"/>
        <s v="763020" u="1"/>
        <s v="20944878" u="1"/>
        <s v="20954660" u="1"/>
        <s v="191001829VE" u="1"/>
        <s v="192001067NE" u="1"/>
        <s v="58920734F0" u="1"/>
        <s v="766020" u="1"/>
        <s v="118808026300" u="1"/>
        <s v="405131" u="1"/>
        <s v="768020" u="1"/>
        <s v="ANU58931261G0" u="1"/>
        <s v="ANU58931259C0" u="1"/>
        <s v="314443" u="1"/>
        <s v="760197" u="1"/>
        <s v="37938119O0" u="1"/>
        <s v="38T615A100" u="1"/>
        <s v="20969512" u="1"/>
        <s v="192933476D0" u="1"/>
        <s v="ANU256892" u="1"/>
        <s v="20234785" u="1"/>
        <s v="06.149.0011" u="1"/>
        <s v="190966052C0" u="1"/>
        <s v="314191" u="1"/>
        <s v="766197" u="1"/>
        <s v="190966203R0" u="1"/>
        <s v="132003" u="1"/>
        <s v="405494" u="1"/>
        <s v="567393" u="1"/>
        <s v="30208202" u="1"/>
        <s v="79401169" u="1"/>
        <s v="192000792" u="1"/>
        <s v="ANU310986" u="1"/>
        <s v="58931179J0" u="1"/>
        <s v="58931221E0" u="1"/>
        <s v="30214862" u="1"/>
        <s v="58920768V0" u="1"/>
        <s v="191946951F8" u="1"/>
        <s v="085127" u="1"/>
        <s v="192001035" u="1"/>
        <s v="192000992" u="1"/>
        <s v="191001135" u="1"/>
        <s v="76P925010" u="1"/>
        <s v="192001135" u="1"/>
        <s v="192429" u="1"/>
        <s v="490507" u="1"/>
        <s v="192943750Z0" u="1"/>
        <s v="460042" u="1"/>
        <s v="192933401" u="1"/>
        <s v="192001235" u="1"/>
        <s v="252519" u="1"/>
        <s v="401045" u="1"/>
        <s v="ANU30216627P" u="1"/>
        <s v="422044" u="1"/>
        <s v="760120" u="1"/>
        <s v="192904192Z0" u="1"/>
        <s v="76P924895" u="1"/>
        <s v="085061" u="1"/>
        <s v="20543262" u="1"/>
        <s v="191001535" u="1"/>
        <s v="402231" u="1"/>
        <s v="764120" u="1"/>
        <s v="191937059C0" u="1"/>
        <s v="58931315E0" u="1"/>
        <s v="250453" u="1"/>
        <s v="766120" u="1"/>
        <s v="557159" u="1"/>
        <s v="567130" u="1"/>
        <s v="252453" u="1"/>
        <s v="710085" u="1"/>
        <s v="3330209285" u="1"/>
        <s v="191966060F0" u="1"/>
        <s v="ANU090005" u="1"/>
        <s v="58920557C0" u="1"/>
        <s v="191937201N0" u="1"/>
        <s v="65332300" u="1"/>
        <s v="191001835" u="1"/>
        <s v="19966050F0" u="1"/>
        <s v="192943163P0" u="1"/>
        <s v="76P9000022" u="1"/>
        <s v="192933206C0" u="1"/>
        <s v="192933376D8" u="1"/>
        <s v="191001935" u="1"/>
        <s v="554093" u="1"/>
        <s v="734084" u="1"/>
        <s v="76P926150" u="1"/>
        <s v="76P925538" u="1"/>
        <s v="56127055" u="1"/>
        <s v="58920587C0" u="1"/>
        <s v="557093" u="1"/>
        <s v="760483" u="1"/>
        <s v="190933420L0" u="1"/>
        <s v="58901941V0" u="1"/>
        <s v="582109" u="1"/>
        <s v="192100" u="1"/>
        <s v="58912272Z0" u="1"/>
        <s v="58920631F0" u="1"/>
        <s v="58931429E0" u="1"/>
        <s v="192935296Z0" u="1"/>
        <s v="ANU567387" u="1"/>
        <s v="58901223E0" u="1"/>
        <s v="0460720B" u="1"/>
        <s v="586109" u="1"/>
        <s v="20PU366" u="1"/>
        <s v="20559627" u="1"/>
        <s v="76P927090" u="1"/>
        <s v="76P926478" u="1"/>
        <s v="20PU367" u="1"/>
        <s v="760034" u="1"/>
        <s v="490607" u="1"/>
        <s v="20PU368" u="1"/>
        <s v="20168030" u="1"/>
        <s v="191946789F0" u="1"/>
        <s v="400145" u="1"/>
        <s v="ANU30213793PU" u="1"/>
        <s v="402145" u="1"/>
        <s v="564044" u="1"/>
        <s v="565044" u="1"/>
        <s v="ANU58914457M0" u="1"/>
        <s v="586043" u="1"/>
        <s v="0421295" u="1"/>
        <s v="250103652" u="1"/>
        <s v="58920691F0" u="1"/>
        <s v="190901" u="1"/>
        <s v="ANU30213464" u="1"/>
        <s v="0421296" u="1"/>
        <s v="58920278H0" u="1"/>
        <s v="403331" u="1"/>
        <s v="76P962923" u="1"/>
        <s v="610097" u="1"/>
        <s v="191937186B0" u="1"/>
        <s v="405331" u="1"/>
        <s v="314457" u="1"/>
        <s v="ANU30213465" u="1"/>
        <s v="569230" u="1"/>
        <s v="20553292" u="1"/>
        <s v="C300A200" u="1"/>
        <s v="C500A100" u="1"/>
        <s v="65342300" u="1"/>
        <s v="65442300" u="1"/>
        <s v="ANU190105" u="1"/>
        <s v="192943804H0" u="1"/>
        <s v="760397" u="1"/>
        <s v="20969513" u="1"/>
        <s v="192943523D0" u="1"/>
        <s v="0433158" u="1"/>
        <s v="191947016Z0" u="1"/>
        <s v="ANU76P942741" u="1"/>
        <s v="760583" u="1"/>
        <s v="191946973Z0" u="1"/>
        <s v="111018" u="1"/>
        <s v="191014" u="1"/>
        <s v="58931535P0" u="1"/>
        <s v="192943160Z0" u="1"/>
        <s v="132017" u="1"/>
        <s v="30214823" u="1"/>
        <s v="2500040" u="1"/>
        <s v="191946792V0" u="1"/>
        <s v="ANU76P926329" u="1"/>
        <s v="20PU700" u="1"/>
        <s v="ANU191045" u="1"/>
        <s v="20PU701" u="1"/>
        <s v="76P924208" u="1"/>
        <s v="58931222E0" u="1"/>
        <s v="080075" u="1"/>
        <s v="258104" u="1"/>
        <s v="20PU702" u="1"/>
        <s v="76P924308" u="1"/>
        <s v="192001045" u="1"/>
        <s v="190629" u="1"/>
        <s v="65201007" u="1"/>
        <s v="192000805" u="1"/>
        <s v="76P925020" u="1"/>
        <s v="1100100078" u="1"/>
        <s v="422058" u="1"/>
        <s v="20PU703" u="1"/>
        <s v="65762403" u="1"/>
        <s v="192001145" u="1"/>
        <s v="38T314A000" u="1"/>
        <s v="76P925120" u="1"/>
        <s v="404059" u="1"/>
        <s v="20PU704" u="1"/>
        <s v="30213464" u="1"/>
        <s v="192933526Z0" u="1"/>
        <s v="30209662" u="1"/>
        <s v="192001245" u="1"/>
        <s v="192933194G0" u="1"/>
        <s v="191966007L0" u="1"/>
        <s v="ANU30208452P" u="1"/>
        <s v="192377" u="1"/>
        <s v="191001445" u="1"/>
        <s v="58920494C0" u="1"/>
        <s v="400431" u="1"/>
        <s v="567144" u="1"/>
        <s v="30173491" u="1"/>
        <s v="95IB78232" u="1"/>
        <s v="252467" u="1"/>
        <s v="76P925420" u="1"/>
        <s v="I609C000" u="1"/>
        <s v="192943788Z0" u="1"/>
        <s v="192944919F0" u="1"/>
        <s v="403431" u="1"/>
        <s v="20559470" u="1"/>
        <s v="191001645" u="1"/>
        <s v="76P925520" u="1"/>
        <s v="76P924908" u="1"/>
        <s v="251653" u="1"/>
        <s v="37908910S0" u="1"/>
        <s v="567330" u="1"/>
        <s v="191001745" u="1"/>
        <s v="76P925620" u="1"/>
        <s v="734098" u="1"/>
        <s v="76P925348" u="1"/>
        <s v="65352300" u="1"/>
        <s v="191001845" u="1"/>
        <s v="76P926060" u="1"/>
        <s v="37908930S0" u="1"/>
        <s v="192933216C0" u="1"/>
        <s v="760497" u="1"/>
        <s v="79051138" u="1"/>
        <s v="191966370F0" u="1"/>
        <s v="192933183N0" u="1"/>
        <s v="2516198" u="1"/>
        <s v="20918107" u="1"/>
        <s v="56127056" u="1"/>
        <s v="79051148" u="1"/>
        <s v="ANU192485" u="1"/>
        <s v="58920588C0" u="1"/>
        <s v="58931261D7" u="1"/>
        <s v="190114" u="1"/>
        <s v="2516199" u="1"/>
        <s v="79252567" u="1"/>
        <s v="493006" u="1"/>
        <s v="251204" u="1"/>
        <s v="76P925848" u="1"/>
        <s v="ANU567197" u="1"/>
        <s v="191946241Q0" u="1"/>
        <s v="192943578C0" u="1"/>
        <s v="76P926188" u="1"/>
        <s v="76P926560" u="1"/>
        <s v="06.020.0014" u="1"/>
        <s v="191937539N0" u="1"/>
        <s v="20939565" u="1"/>
        <s v="58920570N0" u="1"/>
        <s v="ANU567397" u="1"/>
        <s v="760048" u="1"/>
        <s v="58912188" u="1"/>
        <s v="76P926388" u="1"/>
        <s v="ANU30213637" u="1"/>
        <s v="710022" u="1"/>
        <s v="76P926760" u="1"/>
        <s v="192943820N0" u="1"/>
        <s v="760234" u="1"/>
        <s v="58901244E0" u="1"/>
        <s v="58920562V0" u="1"/>
        <s v="734021" u="1"/>
        <s v="58920572V0" u="1"/>
        <s v="190915" u="1"/>
        <s v="76P926788" u="1"/>
        <s v="ANU192944491P0" u="1"/>
        <s v="403345" u="1"/>
        <s v="20234693" u="1"/>
        <s v="58920692F0" u="1"/>
        <s v="405345" u="1"/>
        <s v="567244" u="1"/>
        <s v="190937477F0" u="1"/>
        <s v="190663" u="1"/>
        <s v="401093" u="1"/>
        <s v="251753" u="1"/>
        <s v="567430" u="1"/>
        <s v="3330209654" u="1"/>
        <s v="65362300" u="1"/>
        <s v="20969504" u="1"/>
        <s v="ANU190115" u="1"/>
        <s v="58931506P0" u="1"/>
        <s v="760597" u="1"/>
        <s v="ANU191001510" u="1"/>
        <s v="590008" u="1"/>
        <s v="20969514" u="1"/>
        <s v="65862300" u="1"/>
        <s v="79252340" u="1"/>
        <s v="191947026Z0" u="1"/>
        <s v="192000215" u="1"/>
        <s v="65718510" u="1"/>
        <s v="191966072C0" u="1"/>
        <s v="191214" u="1"/>
        <s v="166001" u="1"/>
        <s v="2084151263" u="1"/>
        <s v="167001" u="1"/>
        <s v="314208" u="1"/>
        <s v="080089" u="1"/>
        <s v="192400" u="1"/>
        <s v="191937996B0" u="1"/>
        <s v="191966323R0" u="1"/>
        <s v="270051" u="1"/>
        <s v="610034" u="1"/>
        <s v="191000615" u="1"/>
        <s v="251052" u="1"/>
        <s v="20PU674JU" u="1"/>
        <s v="550130" u="1"/>
        <s v="311142" u="1"/>
        <s v="192000715" u="1"/>
        <s v="76P938508" u="1"/>
        <s v="58901809S0" u="1"/>
        <s v="190829" u="1"/>
        <s v="313142" u="1"/>
        <s v="20969618" u="1"/>
        <s v="192000815" u="1"/>
        <s v="760334" u="1"/>
        <s v="30214874" u="1"/>
        <s v="734121" u="1"/>
        <s v="192001155" u="1"/>
        <s v="403259" u="1"/>
        <s v="191937051C0" u="1"/>
        <s v="400445" u="1"/>
        <s v="30213465" u="1"/>
        <s v="76P924518" u="1"/>
        <s v="192933536Z0" u="1"/>
        <s v="192001255" u="1"/>
        <s v="58920409S0" u="1"/>
        <s v="76P924618" u="1"/>
        <s v="190935251D0" u="1"/>
        <s v="760082" u="1"/>
        <s v="3330216419" u="1"/>
        <s v="58920495C0" u="1"/>
        <s v="76P924718" u="1"/>
        <s v="191946820A0" u="1"/>
        <s v="405445" u="1"/>
        <s v="567344" u="1"/>
        <s v="310757" u="1"/>
        <s v="76P924818" u="1"/>
        <s v="58931283E0" u="1"/>
        <s v="402193" u="1"/>
        <s v="584091" u="1"/>
        <s v="192001068RO" u="1"/>
        <s v="192943798Z0" u="1"/>
        <s v="76P925158" u="1"/>
        <s v="403193" u="1"/>
        <s v="490841" u="1"/>
        <s v="76P925530" u="1"/>
        <s v="76P924918" u="1"/>
        <s v="255667" u="1"/>
        <s v="ANU58920006R0" u="1"/>
        <s v="58912270J0" u="1"/>
        <s v="191001755" u="1"/>
        <s v="76P925630" u="1"/>
        <s v="56112249" u="1"/>
        <s v="768082" u="1"/>
        <s v="3330193261" u="1"/>
        <s v="30209757" u="1"/>
        <s v="75CL1620L07" u="1"/>
        <s v="190128" u="1"/>
        <s v="19966062F0" u="1"/>
        <s v="191937049N0" u="1"/>
        <s v="1100900072" u="1"/>
        <s v="76P925558" u="1"/>
        <s v="76P926270" u="1"/>
        <s v="58920489S0" u="1"/>
        <s v="58920589C0" u="1"/>
        <s v="251218" u="1"/>
        <s v="583608RO" u="1"/>
        <s v="76P925858" u="1"/>
        <s v="192943158N0" u="1"/>
        <s v="192933493N0" u="1"/>
        <s v="190062" u="1"/>
        <s v="710036" u="1"/>
        <s v="76P926398" u="1"/>
        <s v="400359" u="1"/>
        <s v="11114200" u="1"/>
        <s v="2500522" u="1"/>
        <s v="557044" u="1"/>
        <s v="ANU251257" u="1"/>
        <s v="191001831VE" u="1"/>
        <s v="314242" u="1"/>
        <s v="192929" u="1"/>
        <s v="403359" u="1"/>
        <s v="191966092Z0" u="1"/>
        <s v="9786249" u="1"/>
        <s v="567258" u="1"/>
        <s v="190677" u="1"/>
        <s v="564444" u="1"/>
        <s v="760620" u="1"/>
        <s v="490755" u="1"/>
        <s v="C400A100" u="1"/>
        <s v="C600A000" u="1"/>
        <s v="58920693F0" u="1"/>
        <s v="251767" u="1"/>
        <s v="2516670" u="1"/>
        <s v="58920627V0" u="1"/>
        <s v="731836" u="1"/>
        <s v="2516671" u="1"/>
        <s v="58931100E0" u="1"/>
        <s v="C600A020" u="1"/>
        <s v="766182" u="1"/>
        <s v="2516672" u="1"/>
        <s v="58901329E0" u="1"/>
        <s v="2516673" u="1"/>
        <s v="30218328" u="1"/>
        <s v="2516674" u="1"/>
        <s v="58931130E0" u="1"/>
        <s v="79401088" u="1"/>
        <s v="191937171Z0" u="1"/>
        <s v="20969515" u="1"/>
        <s v="2516675" u="1"/>
        <s v="165015" u="1"/>
        <s v="20969491" u="1"/>
        <s v="H720D000" u="1"/>
        <s v="166015" u="1"/>
        <s v="65882300" u="1"/>
        <s v="ANU252497" u="1"/>
        <s v="251318" u="1"/>
        <s v="2516676" u="1"/>
        <s v="3330196092" u="1"/>
        <s v="58901311P0" u="1"/>
        <s v="191946993Z0" u="1"/>
        <s v="2516677" u="1"/>
        <s v="191937099Z0" u="1"/>
        <s v="192414" u="1"/>
        <s v="312408" u="1"/>
        <s v="270065" u="1"/>
        <s v="600020" u="1"/>
        <s v="491054" u="1"/>
        <s v="252504" u="1"/>
        <s v="311156" u="1"/>
        <s v="251252" u="1"/>
        <s v="760348" u="1"/>
        <s v="569993" u="1"/>
        <s v="T421C000" u="1"/>
        <s v="ANU311159" u="1"/>
        <s v="80000247" u="1"/>
        <s v="192933346Z0" u="1"/>
        <s v="01826982" u="1"/>
        <s v="557144" u="1"/>
        <s v="20969619" u="1"/>
        <s v="65201009" u="1"/>
        <s v="760534" u="1"/>
        <s v="403459" u="1"/>
        <s v="710070" u="1"/>
        <s v="191937061C0" u="1"/>
        <s v="490669" u="1"/>
        <s v="192000925" u="1"/>
        <s v="311090" u="1"/>
        <s v="80000267" u="1"/>
        <s v="192933546Z0" u="1"/>
        <s v="192001265" u="1"/>
        <s v="567358" u="1"/>
        <s v="58931264E0" u="1"/>
        <s v="764096" u="1"/>
        <s v="58920400V0" u="1"/>
        <s v="490855" u="1"/>
        <s v="400393" u="1"/>
        <s v="316090" u="1"/>
        <s v="58931308E0" u="1"/>
        <s v="310957" u="1"/>
        <s v="ANU562024" u="1"/>
        <s v="403393" u="1"/>
        <s v="76P925540" u="1"/>
        <s v="733936" u="1"/>
        <s v="9786380" u="1"/>
        <s v="58912181Z0" u="1"/>
        <s v="30219530" u="1"/>
        <s v="192943421R0" u="1"/>
        <s v="192933384R0" u="1"/>
        <s v="76P925468" u="1"/>
        <s v="65267100" u="1"/>
        <s v="H521D100" u="1"/>
        <s v="H721D000" u="1"/>
        <s v="191966038E7" u="1"/>
        <s v="76P925668" u="1"/>
        <s v="252418" u="1"/>
        <s v="720021" u="1"/>
        <s v="900012" u="1"/>
        <s v="ANU30212613P" u="1"/>
        <s v="192514" u="1"/>
        <s v="76P926480" u="1"/>
        <s v="37908972S0" u="1"/>
        <s v="190935029Z0" u="1"/>
        <s v="ID32I120" u="1"/>
        <s v="190700" u="1"/>
        <s v="601120" u="1"/>
        <s v="734049" u="1"/>
        <s v="76P925968" u="1"/>
        <s v="191946791F0" u="1"/>
        <s v="583709" u="1"/>
        <s v="20939567" u="1"/>
        <s v="191001812CA" u="1"/>
        <s v="575243" u="1"/>
        <s v="58920654F0" u="1"/>
        <s v="760634" u="1"/>
        <s v="314442" u="1"/>
        <s v="760196" u="1"/>
        <s v="1100300005" u="1"/>
        <s v="58920708F0" u="1"/>
        <s v="58931029J0" u="1"/>
        <s v="760382" u="1"/>
        <s v="65787203" u="1"/>
        <s v="58920718F0" u="1"/>
        <s v="01.024.0009" u="1"/>
        <s v="192943009F0" u="1"/>
        <s v="ANU192001060AZ" u="1"/>
        <s v="560009" u="1"/>
        <s v="403493" u="1"/>
        <s v="5511448" u="1"/>
        <s v="ID203002" u="1"/>
        <s v="132002" u="1"/>
        <s v="405493" u="1"/>
        <s v="191001857BL" u="1"/>
        <s v="166029" u="1"/>
        <s v="20969506" u="1"/>
        <s v="58931089J0" u="1"/>
        <s v="79401089" u="1"/>
        <s v="ANU191001511" u="1"/>
        <s v="568009" u="1"/>
        <s v="191916942Z0" u="1"/>
        <s v="H522D100" u="1"/>
        <s v="H722D000" u="1"/>
        <s v="192428" u="1"/>
        <s v="490506" u="1"/>
        <s v="20953329" u="1"/>
        <s v="191966705Z0" u="1"/>
        <s v="270079" u="1"/>
        <s v="400044" u="1"/>
        <s v="420043" u="1"/>
        <s v="460041" u="1"/>
        <s v="20234789" u="1"/>
        <s v="3330196192" u="1"/>
        <s v="422043" u="1"/>
        <s v="30213407" u="1"/>
        <s v="76P924410" u="1"/>
        <s v="ANU190635" u="1"/>
        <s v="19100185RMO" u="1"/>
        <s v="402230" u="1"/>
        <s v="192000535" u="1"/>
        <s v="76P924510" u="1"/>
        <s v="557158" u="1"/>
        <s v="760548" u="1"/>
        <s v="76P924238" u="1"/>
        <s v="252452" u="1"/>
        <s v="550092" u="1"/>
        <s v="58901362P0" u="1"/>
        <s v="191916355P0" u="1"/>
        <s v="192001075" u="1"/>
        <s v="191916302N0" u="1"/>
        <s v="ANU30218328" u="1"/>
        <s v="0428292" u="1"/>
        <s v="192001175" u="1"/>
        <s v="554092" u="1"/>
        <s v="734083" u="1"/>
        <s v="192943790Z0" u="1"/>
        <s v="192944921F0" u="1"/>
        <s v="490869" u="1"/>
        <s v="192000935" u="1"/>
        <s v="766548" u="1"/>
        <s v="58931255E0" u="1"/>
        <s v="192001275" u="1"/>
        <s v="557092" u="1"/>
        <s v="6115202" u="1"/>
        <s v="76P924638" u="1"/>
        <s v="191966037L0" u="1"/>
        <s v="ANU58901426E0" u="1"/>
        <s v="76P925350" u="1"/>
        <s v="20544709" u="1"/>
        <s v="76P924738" u="1"/>
        <s v="191947036C0" u="1"/>
        <s v="76P925078" u="1"/>
        <s v="58931309E0" u="1"/>
        <s v="58920064H0" u="1"/>
        <s v="191937041N0" u="1"/>
        <s v="191001675" u="1"/>
        <s v="190966337L0" u="1"/>
        <s v="ANU20561588" u="1"/>
        <s v="76P959467" u="1"/>
        <s v="58920531F0" u="1"/>
        <s v="76P925650" u="1"/>
        <s v="ANU30214775" u="1"/>
        <s v="564109" u="1"/>
        <s v="76P925378" u="1"/>
        <s v="ANU20212145" u="1"/>
        <s v="191001875" u="1"/>
        <s v="76P926090" u="1"/>
        <s v="ANU191937090F0" u="1"/>
        <s v="76P925478" u="1"/>
        <s v="567109" u="1"/>
        <s v="30209759" u="1"/>
        <s v="76P925850" u="1"/>
        <s v="ANU30214776" u="1"/>
        <s v="191966103F0" u="1"/>
        <s v="760033" u="1"/>
        <s v="76P925578" u="1"/>
        <s v="76P959767" u="1"/>
        <s v="192933346C0" u="1"/>
        <s v="191937541N0" u="1"/>
        <s v="400144" u="1"/>
        <s v="562043" u="1"/>
        <s v="58920505V0" u="1"/>
        <s v="76P926390" u="1"/>
        <s v="ANU567202" u="1"/>
        <s v="564043" u="1"/>
        <s v="65687100" u="1"/>
        <s v="ANU192418" u="1"/>
        <s v="58931279U0" u="1"/>
        <s v="30219571" u="1"/>
        <s v="ANU76P926217" u="1"/>
        <s v="ANU567302" u="1"/>
        <s v="191937741N0" u="1"/>
        <s v="192933216N0" u="1"/>
        <s v="400330" u="1"/>
        <s v="586042" u="1"/>
        <s v="766033" u="1"/>
        <s v="768033" u="1"/>
        <s v="192943278N0" u="1"/>
        <s v="403330" u="1"/>
        <s v="569043" u="1"/>
        <s v="192462" u="1"/>
        <s v="37908993S0" u="1"/>
        <s v="610096" u="1"/>
        <s v="19966048V0" u="1"/>
        <s v="191916940F0" u="1"/>
        <s v="314456" u="1"/>
        <s v="20939578" u="1"/>
        <s v="C100A200" u="1"/>
        <s v="192904192N0" u="1"/>
        <s v="760396" u="1"/>
        <s v="9787727" u="1"/>
        <s v="ANU20961734" u="1"/>
        <s v="583719CE" u="1"/>
        <s v="190966115Z0" u="1"/>
        <s v="302126131" u="1"/>
        <s v="111017" u="1"/>
        <s v="250103692" u="1"/>
        <s v="191947019D0" u="1"/>
        <s v="132016" u="1"/>
        <s v="192943019F0" u="1"/>
        <s v="192933354F0" u="1"/>
        <s v="2500031" u="1"/>
        <s v="ID203003" u="1"/>
        <s v="20553296" u="1"/>
        <s v="H450D100" u="1"/>
        <s v="H460D100" u="1"/>
        <s v="20969507" u="1"/>
        <s v="080074" u="1"/>
        <s v="258103" u="1"/>
        <s v="567209" u="1"/>
        <s v="192000045" u="1"/>
        <s v="37938070R0" u="1"/>
        <s v="190628" u="1"/>
        <s v="20939301" u="1"/>
        <s v="422057" u="1"/>
        <s v="760133" u="1"/>
        <s v="30213354" u="1"/>
        <s v="38T313A000" u="1"/>
        <s v="ANU20944421" u="1"/>
        <s v="251718" u="1"/>
        <s v="420243" u="1"/>
        <s v="191947056Z0" u="1"/>
        <s v="192000245" u="1"/>
        <s v="405058" u="1"/>
        <s v="192000345" u="1"/>
        <s v="192376" u="1"/>
        <s v="ANU20944422" u="1"/>
        <s v="400430" u="1"/>
        <s v="766133" u="1"/>
        <s v="ANU20961739" u="1"/>
        <s v="ANU190645" u="1"/>
        <s v="710098" u="1"/>
        <s v="76P940191" u="1"/>
        <s v="403430" u="1"/>
        <s v="76P924520" u="1"/>
        <s v="251652" u="1"/>
        <s v="405430" u="1"/>
        <s v="191966072N0" u="1"/>
        <s v="734097" u="1"/>
        <s v="192000745" u="1"/>
        <s v="58912241B0" u="1"/>
        <s v="20PU490" u="1"/>
        <s v="192001085" u="1"/>
        <s v="ANU258100" u="1"/>
        <s v="58912151R0" u="1"/>
        <s v="76P924448" u="1"/>
        <s v="192001185" u="1"/>
        <s v="30173465" u="1"/>
        <s v="192000945" u="1"/>
        <s v="192001285" u="1"/>
        <s v="ANU58906168W0" u="1"/>
        <s v="30212613PU" u="1"/>
        <s v="190113" u="1"/>
        <s v="ANU132003" u="1"/>
        <s v="253017" u="1"/>
        <s v="493005" u="1"/>
        <s v="76P925088" u="1"/>
        <s v="251203" u="1"/>
        <s v="76P924848" u="1"/>
        <s v="191937051N0" u="1"/>
        <s v="ANU58920326V0" u="1"/>
        <s v="191937007P0" u="1"/>
        <s v="583719VE" u="1"/>
        <s v="ANU20545271" u="1"/>
        <s v="191001785" u="1"/>
        <s v="76P925660" u="1"/>
        <s v="256203" u="1"/>
        <s v="760047" u="1"/>
        <s v="H451D100" u="1"/>
        <s v="76P925388" u="1"/>
        <s v="710021" u="1"/>
        <s v="ANU192400" u="1"/>
        <s v="191947016N0" u="1"/>
        <s v="192933251P0" u="1"/>
        <s v="H461D100" u="1"/>
        <s v="20PU498" u="1"/>
        <s v="37908934S0" u="1"/>
        <s v="400158" u="1"/>
        <s v="562057" u="1"/>
        <s v="567309" u="1"/>
        <s v="76P925860" u="1"/>
        <s v="192943160N0" u="1"/>
        <s v="58901906V0" u="1"/>
        <s v="313041" u="1"/>
        <s v="20PU499" u="1"/>
        <s v="402158" u="1"/>
        <s v="76P925588" u="1"/>
        <s v="490806" u="1"/>
        <s v="76P926103" u="1"/>
        <s v="9789720" u="1"/>
        <s v="768047" u="1"/>
        <s v="ANU192428" u="1"/>
        <s v="30219572" u="1"/>
        <s v="403344" u="1"/>
        <s v="19966095F0" u="1"/>
        <s v="38T121A020" u="1"/>
        <s v="190937479N0" u="1"/>
        <s v="567243" u="1"/>
        <s v="ANU405442" u="1"/>
        <s v="190662" u="1"/>
        <s v="20969340" u="1"/>
        <s v="76P926403" u="1"/>
        <s v="19966139F0" u="1"/>
        <s v="37908994S0" u="1"/>
        <s v="19966049V0" u="1"/>
        <s v="ANU58906334W0" u="1"/>
        <s v="192943760N0" u="1"/>
        <s v="20939579" u="1"/>
        <s v="192933526N0" u="1"/>
        <s v="731821" u="1"/>
        <s v="190903967A0" u="1"/>
        <s v="192943001F0" u="1"/>
        <s v="590007" u="1"/>
        <s v="76P926803" u="1"/>
        <s v="191027" u="1"/>
        <s v="30213251" u="1"/>
        <s v="192943788N0" u="1"/>
        <s v="191966025Z0" u="1"/>
        <s v="58920658N0" u="1"/>
        <s v="191213" u="1"/>
        <s v="ANU251687" u="1"/>
        <s v="30208060" u="1"/>
        <s v="ANU30217800" u="1"/>
        <s v="ANU76P939252" u="1"/>
        <s v="314207" u="1"/>
        <s v="558009" u="1"/>
        <s v="191966325Z0" u="1"/>
        <s v="080088" u="1"/>
        <s v="270050" u="1"/>
        <s v="ANU314474" u="1"/>
        <s v="20930220PRM" u="1"/>
        <s v="37938923S0" u="1"/>
        <s v="192933564F0" u="1"/>
        <s v="760147" u="1"/>
        <s v="191946248L9" u="1"/>
        <s v="ANU76P924518" u="1"/>
        <s v="H462D100" u="1"/>
        <s v="311141" u="1"/>
        <s v="190828" u="1"/>
        <s v="30210721P" u="1"/>
        <s v="192943801F0" u="1"/>
        <s v="ANU58920084G0" u="1"/>
        <s v="20939302" u="1"/>
        <s v="734120" u="1"/>
        <s v="400444" u="1"/>
        <s v="766147" u="1"/>
        <s v="20203156" u="1"/>
        <s v="192943773D0" u="1"/>
        <s v="760081" u="1"/>
        <s v="192000355" u="1"/>
        <s v="190935309N0" u="1"/>
        <s v="251666" u="1"/>
        <s v="58920429C0" u="1"/>
        <s v="191936989Z0" u="1"/>
        <s v="402192" u="1"/>
        <s v="76P900006" u="1"/>
        <s v="58920339S0" u="1"/>
        <s v="37938117Z0" u="1"/>
        <s v="58931217E0" u="1"/>
        <s v="192933176Z0" u="1"/>
        <s v="490840" u="1"/>
        <s v="191947085V0" u="1"/>
        <s v="766081" u="1"/>
        <s v="191966082N0" u="1"/>
        <s v="257666" u="1"/>
        <s v="192000755" u="1"/>
        <s v="191000855" u="1"/>
        <s v="192001095" u="1"/>
        <s v="76P924730" u="1"/>
        <s v="080011" u="1"/>
        <s v="76P925070" u="1"/>
        <s v="58920411N0" u="1"/>
        <s v="76P924458" u="1"/>
        <s v="192001195" u="1"/>
        <s v="190127" u="1"/>
        <s v="9786230" u="1"/>
        <s v="191001295" u="1"/>
        <s v="192000955" u="1"/>
        <s v="ANU166002" u="1"/>
        <s v="493019" u="1"/>
        <s v="192001295" u="1"/>
        <s v="372118" u="1"/>
        <s v="251217" u="1"/>
        <s v="ANU37908271S0" u="1"/>
        <s v="58912049" u="1"/>
        <s v="58901823V0" u="1"/>
        <s v="76P925370" u="1"/>
        <s v="192943813Z0" u="1"/>
        <s v="58901833V0" u="1"/>
        <s v="11870003500396" u="1"/>
        <s v="557109" u="1"/>
        <s v="11220700" u="1"/>
        <s v="191001695" u="1"/>
        <s v="76P924958" u="1"/>
        <s v="58920533F0" u="1"/>
        <s v="76P925670" u="1"/>
        <s v="25011" u="1"/>
        <s v="H453D100" u="1"/>
        <s v="R210D000" u="1"/>
        <s v="191001895" u="1"/>
        <s v="76P925770" u="1"/>
        <s v="192943832V0" u="1"/>
        <s v="R220D000" u="1"/>
        <s v="37908935S0" u="1"/>
        <s v="400358" u="1"/>
        <s v="76P925498" u="1"/>
        <s v="190935031Z0" u="1"/>
        <s v="R230D000" u="1"/>
        <s v="38T427B000" u="1"/>
        <s v="58912228Z0" u="1"/>
        <s v="58928010W0" u="1"/>
        <s v="ANU191937006Z0" u="1"/>
        <s v="557043" u="1"/>
        <s v="37908945S0" u="1"/>
        <s v="191966123F0" u="1"/>
        <s v="314241" u="1"/>
        <s v="76P925970" u="1"/>
        <s v="65027091" u="1"/>
        <s v="191966223F0" u="1"/>
        <s v="192944372V0" u="1"/>
        <s v="20933091" u="1"/>
        <s v="190943098N0" u="1"/>
        <s v="567257" u="1"/>
        <s v="190676" u="1"/>
        <s v="ANU192438" u="1"/>
        <s v="569257" u="1"/>
        <s v="19966096F0" u="1"/>
        <s v="ANU76P926218" u="1"/>
        <s v="490754" u="1"/>
        <s v="C400A000" u="1"/>
        <s v="595002237" u="1"/>
        <s v="76P925898" u="1"/>
        <s v="76P926313" u="1"/>
        <s v="251766" u="1"/>
        <s v="400292" u="1"/>
        <s v="19966068N0" u="1"/>
        <s v="37908985S0" u="1"/>
        <s v="19966078N0" u="1"/>
        <s v="ANU490745" u="1"/>
        <s v="37908995S0" u="1"/>
        <s v="733835" u="1"/>
        <s v="567191" u="1"/>
        <s v="58920585N0" u="1"/>
        <s v="192933536N0" u="1"/>
        <s v="192944491R0" u="1"/>
        <s v="360004" u="1"/>
        <s v="58931020E0" u="1"/>
        <s v="76P926713" u="1"/>
        <s v="191947011D0" u="1"/>
        <s v="30213242" u="1"/>
        <s v="58901987V0" u="1"/>
        <s v="76P952249" u="1"/>
        <s v="20168036" u="1"/>
        <s v="191227" u="1"/>
        <s v="ANU192933560F0" u="1"/>
        <s v="192227" u="1"/>
        <s v="192943798N0" u="1"/>
        <s v="251317" u="1"/>
        <s v="192943745L0" u="1"/>
        <s v="2516667" u="1"/>
        <s v="192413" u="1"/>
        <s v="312407" u="1"/>
        <s v="270064" u="1"/>
        <s v="20969445" u="1"/>
        <s v="ANU251697" u="1"/>
        <s v="2516668" u="1"/>
        <s v="491053" u="1"/>
        <s v="252503" u="1"/>
        <s v="550143" u="1"/>
        <s v="590141" u="1"/>
        <s v="ANU20947083" u="1"/>
        <s v="2516669" u="1"/>
        <s v="311155" u="1"/>
        <s v="569992" u="1"/>
        <s v="557143" u="1"/>
        <s v="20939303" u="1"/>
        <s v="760533" u="1"/>
        <s v="30214775" u="1"/>
        <s v="403458" u="1"/>
        <s v="20165992" u="1"/>
        <s v="20969529" u="1"/>
        <s v="ANU569105" u="1"/>
        <s v="192933544Q0" u="1"/>
        <s v="58931164E0" u="1"/>
        <s v="764095" u="1"/>
        <s v="490854" u="1"/>
        <s v="400392" u="1"/>
        <s v="310956" u="1"/>
        <s v="768095" u="1"/>
        <s v="403392" u="1"/>
        <s v="76P964266" u="1"/>
        <s v="58912071Z0" u="1"/>
        <s v="191966092N0" u="1"/>
        <s v="405392" u="1"/>
        <s v="567291" u="1"/>
        <s v="402009" u="1"/>
        <s v="192000765" u="1"/>
        <s v="30214869" u="1"/>
        <s v="58920412N0" u="1"/>
        <s v="191937052R0" u="1"/>
        <s v="192001008" u="1"/>
        <s v="191966695D8" u="1"/>
        <s v="192000965" u="1"/>
        <s v="191001857MO" u="1"/>
        <s v="76P924568" u="1"/>
        <s v="191001208" u="1"/>
        <s v="76P924668" u="1"/>
        <s v="252417" u="1"/>
        <s v="192001208" u="1"/>
        <s v="550057" u="1"/>
        <s v="710049" u="1"/>
        <s v="191937104C0" u="1"/>
        <s v="192933786Z0" u="1"/>
        <s v="76P925480" u="1"/>
        <s v="37908872S0" u="1"/>
        <s v="58920452N0" u="1"/>
        <s v="191001408" u="1"/>
        <s v="58931288E0" u="1"/>
        <s v="734048" u="1"/>
        <s v="191001508" u="1"/>
        <s v="ANU191608" u="1"/>
        <s v="19966037F0" u="1"/>
        <s v="37908892S0" u="1"/>
        <s v="ANU58901506Z0" u="1"/>
        <s v="ANU20917253" u="1"/>
        <s v="118808026200" u="1"/>
        <s v="192933176C0" u="1"/>
        <s v="191947036N0" u="1"/>
        <s v="38T427A100" u="1"/>
        <s v="ANU58901507Z0" u="1"/>
        <s v="38T427B100" u="1"/>
        <s v="760633" u="1"/>
        <s v="76P926023" u="1"/>
        <s v="ANU58920428G0" u="1"/>
        <s v="314441" u="1"/>
        <s v="20929280" u="1"/>
        <s v="192943280N0" u="1"/>
        <s v="191937199N0" u="1"/>
        <s v="58931267D7" u="1"/>
        <s v="ANU76P925844" u="1"/>
        <s v="58912249Z0" u="1"/>
        <s v="191966333F0" u="1"/>
        <s v="731849" u="1"/>
        <s v="760381" u="1"/>
        <s v="65703530" u="1"/>
        <s v="190966052B0" u="1"/>
        <s v="20555993" u="1"/>
        <s v="19966097F0" u="1"/>
        <s v="250966" u="1"/>
        <s v="ANU567332" u="1"/>
        <s v="190966008D0" u="1"/>
        <s v="76P926323" u="1"/>
        <s v="191001823GR" u="1"/>
        <s v="192933399P0" u="1"/>
        <s v="19966069N0" u="1"/>
        <s v="ANU58901609J0" u="1"/>
        <s v="20933146" u="1"/>
        <s v="37908986S0" u="1"/>
        <s v="360018" u="1"/>
        <s v="19966079N0" u="1"/>
        <s v="192944153C0" u="1"/>
        <s v="20955993" u="1"/>
        <s v="06.081.0010" u="1"/>
        <s v="191946955V7" u="1"/>
        <s v="403492" u="1"/>
        <s v="132001" u="1"/>
        <s v="405492" u="1"/>
        <s v="567391" u="1"/>
        <s v="192933546N0" u="1"/>
        <s v="ANU20558309" u="1"/>
        <s v="564008" u="1"/>
        <s v="20569392" u="1"/>
        <s v="20954628" u="1"/>
        <s v="191947021D0" u="1"/>
        <s v="58920568V0" u="1"/>
        <s v="310990" u="1"/>
        <s v="20168037" u="1"/>
        <s v="192427" u="1"/>
        <s v="9789231" u="1"/>
        <s v="76P926923" u="1"/>
        <s v="270078" u="1"/>
        <s v="191937184D0" u="1"/>
        <s v="600033" u="1"/>
        <s v="58931428P0" u="1"/>
        <s v="252517" u="1"/>
        <s v="20954658" u="1"/>
        <s v="422042" u="1"/>
        <s v="20234699" u="1"/>
        <s v="404043" u="1"/>
        <s v="ANU191001503" u="1"/>
        <s v="252451" u="1"/>
        <s v="190946595K0" u="1"/>
        <s v="710083" u="1"/>
        <s v="ANU58931259G0" u="1"/>
        <s v="190935301N0" u="1"/>
        <s v="30214776" u="1"/>
        <s v="760295" u="1"/>
        <s v="20939280" u="1"/>
        <s v="65713510" u="1"/>
        <s v="554091" u="1"/>
        <s v="734082" u="1"/>
        <s v="490868" u="1"/>
        <s v="20PU595JUL" u="1"/>
        <s v="58901316P0" u="1"/>
        <s v="190935273L0" u="1"/>
        <s v="557091" u="1"/>
        <s v="58931165E0" u="1"/>
        <s v="760481" u="1"/>
        <s v="ANU20970242" u="1"/>
        <s v="080039" u="1"/>
        <s v="76P924450" u="1"/>
        <s v="20PU598JUL" u="1"/>
        <s v="191937092G0" u="1"/>
        <s v="76P900026" u="1"/>
        <s v="192933196Z0" u="1"/>
        <s v="191937524Z0" u="1"/>
        <s v="400209" u="1"/>
        <s v="58931229E0" u="1"/>
        <s v="58912106Z0" u="1"/>
        <s v="402209" u="1"/>
        <s v="ANU20235316" u="1"/>
        <s v="ANU191018" u="1"/>
        <s v="191946965V0" u="1"/>
        <s v="ANU191001553" u="1"/>
        <s v="19933987N0" u="1"/>
        <s v="192001018" u="1"/>
        <s v="ANU404032" u="1"/>
        <s v="192000975" u="1"/>
        <s v="760032" u="1"/>
        <s v="ANU191218" u="1"/>
        <s v="191089" u="1"/>
        <s v="65752203" u="1"/>
        <s v="192001118" u="1"/>
        <s v="38T212a000" u="1"/>
        <s v="192089" u="1"/>
        <s v="2500790" u="1"/>
        <s v="190713" u="1"/>
        <s v="192001218" u="1"/>
        <s v="76P925390" u="1"/>
        <s v="95IB78005" u="1"/>
        <s v="192943833Z0" u="1"/>
        <s v="R110D000" u="1"/>
        <s v="58920481F0" u="1"/>
        <s v="R120D000" u="1"/>
        <s v="312269" u="1"/>
        <s v="766032" u="1"/>
        <s v="191001418" u="1"/>
        <s v="76P924878" u="1"/>
        <s v="R140D000" u="1"/>
        <s v="256179" u="1"/>
        <s v="76P925590" u="1"/>
        <s v="768032" u="1"/>
        <s v="191001518" u="1"/>
        <s v="76P924978" u="1"/>
        <s v="19966038F0" u="1"/>
        <s v="ANU20970247" u="1"/>
        <s v="ANU58920006U0" u="1"/>
        <s v="569042" u="1"/>
        <s v="R160D000" u="1"/>
        <s v="191916942N0" u="1"/>
        <s v="ANU20944905" u="1"/>
        <s v="CAT-TOOLS09" u="1"/>
        <s v="610095" u="1"/>
        <s v="191001618" u="1"/>
        <s v="19966048F0" u="1"/>
        <s v="760647" u="1"/>
        <s v="314455" u="1"/>
        <s v="10080801" u="1"/>
        <s v="ANU192430" u="1"/>
        <s v="192933237R0" u="1"/>
        <s v="C300A000" u="1"/>
        <s v="190937481N0" u="1"/>
        <s v="191001818" u="1"/>
        <s v="38T427B200" u="1"/>
        <s v="ANU551006611" u="1"/>
        <s v="191966143F0" u="1"/>
        <s v="ANU20218944" u="1"/>
        <s v="76P926033" u="1"/>
        <s v="760395" u="1"/>
        <s v="191001918" u="1"/>
        <s v="76P926133" u="1"/>
        <s v="191001827AM" u="1"/>
        <s v="ANU567242" u="1"/>
        <s v="190012" u="1"/>
        <s v="350004" u="1"/>
        <s v="19966098F0" u="1"/>
        <s v="ANU567342" u="1"/>
        <s v="111016" u="1"/>
        <s v="191012" u="1"/>
        <s v="562591" u="1"/>
        <s v="132015" u="1"/>
        <s v="312006" u="1"/>
        <s v="192933786C0" u="1"/>
        <s v="731797" u="1"/>
        <s v="58931002E0" u="1"/>
        <s v="ANU490865" u="1"/>
        <s v="192933556N0" u="1"/>
        <s v="H450D000" u="1"/>
        <s v="H460D000" u="1"/>
        <s v="080073" u="1"/>
        <s v="258102" u="1"/>
        <s v="30213244" u="1"/>
        <s v="ANU551006651" u="1"/>
        <s v="567208" u="1"/>
        <s v="20944422" u="1"/>
        <s v="76P926833" u="1"/>
        <s v="20168038" u="1"/>
        <s v="422056" u="1"/>
        <s v="H450D020" u="1"/>
        <s v="2084136163" u="1"/>
        <s v="38T312A000" u="1"/>
        <s v="ANU554092" u="1"/>
        <s v="404057" u="1"/>
        <s v="420242" u="1"/>
        <s v="H450D030" u="1"/>
        <s v="58931429P0" u="1"/>
        <s v="ANU551006661" u="1"/>
        <s v="T111C000" u="1"/>
        <s v="58931062E0" u="1"/>
        <s v="192375" u="1"/>
        <s v="372366" u="1"/>
        <s v="405243" u="1"/>
        <s v="190966355Z0" u="1"/>
        <s v="252465" u="1"/>
        <s v="710097" u="1"/>
        <s v="ANU402187" u="1"/>
        <s v="191966355Z0" u="1"/>
        <s v="251651" u="1"/>
        <s v="1106000061" u="1"/>
        <s v="20969487" u="1"/>
        <s v="190935311N0" u="1"/>
        <s v="65308300" u="1"/>
        <s v="192933794F0" u="1"/>
        <s v="760495" u="1"/>
        <s v="192000185" u="1"/>
        <s v="192933369D0" u="1"/>
        <s v="490004" u="1"/>
        <s v="58901712V0" u="1"/>
        <s v="58920330N0" u="1"/>
        <s v="192933994F0" u="1"/>
        <s v="20PU483" u="1"/>
        <s v="192000385" u="1"/>
        <s v="190112" u="1"/>
        <s v="58912043Z0" u="1"/>
        <s v="30204114P" u="1"/>
        <s v="253016" u="1"/>
        <s v="191966140P0" u="1"/>
        <s v="I610D100" u="1"/>
        <s v="191966145C0" u="1"/>
        <s v="192943806D0" u="1"/>
        <s v="20PU485" u="1"/>
        <s v="192000585" u="1"/>
        <s v="192001000" u="1"/>
        <s v="76P938378" u="1"/>
        <s v="19933996F0" u="1"/>
        <s v="400409" u="1"/>
        <s v="192000685" u="1"/>
        <s v="192001100" u="1"/>
        <s v="58901852F0" u="1"/>
        <s v="191000785" u="1"/>
        <s v="192001200" u="1"/>
        <s v="760046" u="1"/>
        <s v="20543197" u="1"/>
        <s v="76P924388" u="1"/>
        <s v="710020" u="1"/>
        <s v="400157" u="1"/>
        <s v="405409" u="1"/>
        <s v="190727" u="1"/>
        <s v="192001028" u="1"/>
        <s v="58901906F0" u="1"/>
        <s v="ANU166032" u="1"/>
        <s v="402157" u="1"/>
        <s v="760232" u="1"/>
        <s v="H451D020" u="1"/>
        <s v="191001500" u="1"/>
        <s v="191937172R0" u="1"/>
        <s v="403157" u="1"/>
        <s v="490805" u="1"/>
        <s v="192001128" u="1"/>
        <s v="58901716F1" u="1"/>
        <s v="191966368P0" u="1"/>
        <s v="ANU559888" u="1"/>
        <s v="766046" u="1"/>
        <s v="H451D030" u="1"/>
        <s v="191001600" u="1"/>
        <s v="190913" u="1"/>
        <s v="192001228" u="1"/>
        <s v="37908864S0" u="1"/>
        <s v="520430" u="1"/>
        <s v="58901064E0" u="1"/>
        <s v="191001700" u="1"/>
        <s v="191001815Z0" u="1"/>
        <s v="191001800" u="1"/>
        <s v="567242" u="1"/>
        <s v="190661" u="1"/>
        <s v="401091" u="1"/>
        <s v="9785996" u="1"/>
        <s v="19966039F0" u="1"/>
        <s v="191001900" u="1"/>
        <s v="9785997" u="1"/>
        <s v="37908894S0" u="1"/>
        <s v="38R160D000" u="1"/>
        <s v="259817" u="1"/>
        <s v="19966049F0" u="1"/>
        <s v="251751" u="1"/>
        <s v="20973062" u="1"/>
        <s v="405091" u="1"/>
        <s v="191001728" u="1"/>
        <s v="38T427A300" u="1"/>
        <s v="58928003W0" u="1"/>
        <s v="MMB45" u="1"/>
        <s v="9793360" u="1"/>
        <s v="58901138E0" u="1"/>
        <s v="65304941" u="1"/>
        <s v="38T427B300" u="1"/>
        <s v="190943103N0" u="1"/>
        <s v="9793361" u="1"/>
        <s v="76P926043" u="1"/>
        <s v="192933396C0" u="1"/>
        <s v="9787858" u="1"/>
        <s v="9789716" u="1"/>
        <s v="65304951" u="1"/>
        <s v="38R160G000" u="1"/>
        <s v="58931259D7" u="1"/>
        <s v="590006" u="1"/>
        <s v="76P926143" u="1"/>
        <s v="65304961" u="1"/>
        <s v="132029" u="1"/>
        <s v="9793363" u="1"/>
        <s v="19966099F0" u="1"/>
        <s v="191212" u="1"/>
        <s v="191947022H0" u="1"/>
        <s v="9789719" u="1"/>
        <s v="192933213L0" u="1"/>
        <s v="190966128D0" u="1"/>
        <s v="9793365" u="1"/>
        <s v="76P926443" u="1"/>
        <s v="2084151262" u="1"/>
        <s v="65304991" u="1"/>
        <s v="314206" u="1"/>
        <s v="558008" u="1"/>
        <s v="58931003E0" u="1"/>
        <s v="ANU30212760" u="1"/>
        <s v="190935289Z0" u="1"/>
        <s v="559008" u="1"/>
        <s v="080087" u="1"/>
        <s v="583407" u="1"/>
        <s v="76P926643" u="1"/>
        <s v="H462D000" u="1"/>
        <s v="311140" u="1"/>
        <s v="20168029" u="1"/>
        <s v="400257" u="1"/>
        <s v="567408" u="1"/>
        <s v="191946954F0" u="1"/>
        <s v="190827" u="1"/>
        <s v="76P967181" u="1"/>
        <s v="ANU76P926032" u="1"/>
        <s v="76P926943" u="1"/>
        <s v="766146" u="1"/>
        <s v="38T512B000" u="1"/>
        <s v="252479" u="1"/>
        <s v="760080" u="1"/>
        <s v="403443" u="1"/>
        <s v="191947016B0" u="1"/>
        <s v="251665" u="1"/>
        <s v="400191" u="1"/>
        <s v="405443" u="1"/>
        <s v="567342" u="1"/>
        <s v="58931107E0" u="1"/>
        <s v="ANU314217" u="1"/>
        <s v="ANU402197" u="1"/>
        <s v="402191" u="1"/>
        <s v="ANU191001504" u="1"/>
        <s v="766080" u="1"/>
        <s v="191937179B0" u="1"/>
        <s v="37938065R0" u="1"/>
        <s v="58912004Z0" u="1"/>
        <s v="3330193260" u="1"/>
        <s v="080010" u="1"/>
        <s v="260001" u="1"/>
        <s v="79252338" u="1"/>
        <s v="76P938260" u="1"/>
        <s v="190126" u="1"/>
        <s v="550108" u="1"/>
        <s v="58901713V0" u="1"/>
        <s v="251216" u="1"/>
        <s v="58931167E0" u="1"/>
        <s v="58912106R0" u="1"/>
        <s v="58901823F0" u="1"/>
        <s v="191966055C0" u="1"/>
        <s v="20970282PRM" u="1"/>
        <s v="76P924470" u="1"/>
        <s v="557108" u="1"/>
        <s v="192001010" u="1"/>
        <s v="58901005E0" u="1"/>
        <s v="58920423F0" u="1"/>
        <s v="ANU191210" u="1"/>
        <s v="559108" u="1"/>
        <s v="192001110" u="1"/>
        <s v="11220620" u="1"/>
        <s v="192000795" u="1"/>
        <s v="192001210" u="1"/>
        <s v="H453D000" u="1"/>
        <s v="ANU310989" u="1"/>
        <s v="490819" u="1"/>
        <s v="191916362N0" u="1"/>
        <s v="400357" u="1"/>
        <s v="CD450-B3" u="1"/>
        <s v="192001038" u="1"/>
        <s v="557042" u="1"/>
        <s v="192000995" u="1"/>
        <s v="H453D020" u="1"/>
        <s v="314240" u="1"/>
        <s v="191001510" u="1"/>
        <s v="403357" u="1"/>
        <s v="192001138" u="1"/>
        <s v="20PU1063" u="1"/>
        <s v="H453D030" u="1"/>
        <s v="76P925113" u="1"/>
        <s v="58901793V0" u="1"/>
        <s v="191001610" u="1"/>
        <s v="192933519Z0" u="1"/>
        <s v="405357" u="1"/>
        <s v="567256" u="1"/>
        <s v="192001238" u="1"/>
        <s v="191966097L0" u="1"/>
        <s v="192933187G0" u="1"/>
        <s v="190675" u="1"/>
        <s v="191001338" u="1"/>
        <s v="190966197L0" u="1"/>
        <s v="191001710" u="1"/>
        <s v="192904195Z0" u="1"/>
        <s v="569256" u="1"/>
        <s v="20559469" u="1"/>
        <s v="191937615G0" u="1"/>
        <s v="76P944897" u="1"/>
        <s v="251765" u="1"/>
        <s v="400291" u="1"/>
        <s v="191001810" u="1"/>
        <s v="76P924998" u="1"/>
        <s v="ANU162017" u="1"/>
        <s v="2500507" u="1"/>
        <s v="ANU192350" u="1"/>
        <s v="191001638" u="1"/>
        <s v="766180" u="1"/>
        <s v="58920509N0" u="1"/>
        <s v="191001738" u="1"/>
        <s v="58928004W0" u="1"/>
        <s v="191966063F0" u="1"/>
        <s v="191937204N0" u="1"/>
        <s v="191946979P0" u="1"/>
        <s v="191001838" u="1"/>
        <s v="191966010D0" u="1"/>
        <s v="76P950909" u="1"/>
        <s v="192933209C0" u="1"/>
        <s v="192933379D8" u="1"/>
        <s v="191001938" u="1"/>
        <s v="37908959S0" u="1"/>
        <s v="191226" u="1"/>
        <s v="ANU192378" u="1"/>
        <s v="76P926253" u="1"/>
        <s v="192412" u="1"/>
        <s v="312406" u="1"/>
        <s v="270063" u="1"/>
        <s v="191966363F1" u="1"/>
        <s v="192933376N0" u="1"/>
        <s v="557208" u="1"/>
        <s v="252502" u="1"/>
        <s v="20955996" u="1"/>
        <s v="550142" u="1"/>
        <s v="191937042F0" u="1"/>
        <s v="311154" u="1"/>
        <s v="20563004" u="1"/>
        <s v="251250" u="1"/>
        <s v="760346" u="1"/>
        <s v="314154" u="1"/>
        <s v="30213246" u="1"/>
        <s v="H274D100" u="1"/>
        <s v="192943813N0" u="1"/>
        <s v="192944153N0" u="1"/>
        <s v="760532" u="1"/>
        <s v="760094" u="1"/>
        <s v="ANU192933562F0" u="1"/>
        <s v="403457" u="1"/>
        <s v="192001052NE" u="1"/>
        <s v="191966075Z0" u="1"/>
        <s v="251679" u="1"/>
        <s v="191937542F0" u="1"/>
        <s v="58931064E0" u="1"/>
        <s v="58901620V0" u="1"/>
        <s v="490853" u="1"/>
        <s v="400391" u="1"/>
        <s v="310955" u="1"/>
        <s v="420007" u="1"/>
        <s v="191937189B0" u="1"/>
        <s v="58920330F0" u="1"/>
        <s v="567290" u="1"/>
        <s v="ANU76P924303" u="1"/>
        <s v="ANU192933554N0" u="1"/>
        <s v="20543119" u="1"/>
        <s v="ANU314427" u="1"/>
        <s v="ANU20213933" u="1"/>
        <s v="58920240V0" u="1"/>
        <s v="ANU20543262" u="1"/>
        <s v="ANU555006492" u="1"/>
        <s v="084024" u="1"/>
        <s v="79252339" u="1"/>
        <s v="ANU165012" u="1"/>
        <s v="9791982" u="1"/>
        <s v="76P924280" u="1"/>
        <s v="58931168E0" u="1"/>
        <s v="191947019Z0" u="1"/>
        <s v="252416" u="1"/>
        <s v="192000208" u="1"/>
        <s v="191946976Z0" u="1"/>
        <s v="190074" u="1"/>
        <s v="710048" u="1"/>
        <s v="192933201Z0" u="1"/>
        <s v="132029PU" u="1"/>
        <s v="192943163Z0" u="1"/>
        <s v="76P924480" u="1"/>
        <s v="19933988F0" u="1"/>
        <s v="192001020" u="1"/>
        <s v="734047" u="1"/>
        <s v="192001120" u="1"/>
        <s v="ANU58901786Z0" u="1"/>
        <s v="316068" u="1"/>
        <s v="372251" u="1"/>
        <s v="192001220" u="1"/>
        <s v="191947038V0" u="1"/>
        <s v="76P1530213012" u="1"/>
        <s v="192000708" u="1"/>
        <s v="191001420" u="1"/>
        <s v="76P924880" u="1"/>
        <s v="610080" u="1"/>
        <s v="192001048" u="1"/>
        <s v="760632" u="1"/>
        <s v="192000808" u="1"/>
        <s v="76P925023" u="1"/>
        <s v="ANU20971387" u="1"/>
        <s v="2500645" u="1"/>
        <s v="65768403" u="1"/>
        <s v="192001148" u="1"/>
        <s v="192689" u="1"/>
        <s v="191916572N0" u="1"/>
        <s v="76P925123" u="1"/>
        <s v="191001620" u="1"/>
        <s v="58901828V0" u="1"/>
        <s v="731848" u="1"/>
        <s v="2500647" u="1"/>
        <s v="552003347" u="1"/>
        <s v="191001448" u="1"/>
        <s v="76P925323" u="1"/>
        <s v="191001820" u="1"/>
        <s v="191001548" u="1"/>
        <s v="95IB20191" u="1"/>
        <s v="403491" u="1"/>
        <s v="58901868V0" u="1"/>
        <s v="567390" u="1"/>
        <s v="191001748" u="1"/>
        <s v="58901878V0" u="1"/>
        <s v="65723503" u="1"/>
        <s v="ANU20567925" u="1"/>
        <s v="191001848" u="1"/>
        <s v="166027" u="1"/>
        <s v="76P926063" u="1"/>
        <s v="405108" u="1"/>
        <s v="192933219C0" u="1"/>
        <s v="191937186L0" u="1"/>
        <s v="270077" u="1"/>
        <s v="600032" u="1"/>
        <s v="251078" u="1"/>
        <s v="ANU20235590" u="1"/>
        <s v="252516" u="1"/>
        <s v="66902043" u="1"/>
        <s v="38T111B000" u="1"/>
        <s v="ANU567372" u="1"/>
        <s v="192933286N0" u="1"/>
        <s v="422041" u="1"/>
        <s v="20973148" u="1"/>
        <s v="38T111C000" u="1"/>
        <s v="76P926463" u="1"/>
        <s v="66902063" u="1"/>
        <s v="38T111D000" u="1"/>
        <s v="58931005E0" u="1"/>
        <s v="191946244Q0" u="1"/>
        <s v="192933486N0" u="1"/>
        <s v="ANU76P924447" u="1"/>
        <s v="30203020" u="1"/>
        <s v="252450" u="1"/>
        <s v="310540" u="1"/>
        <s v="76P962436" u="1"/>
        <s v="734081" u="1"/>
        <s v="490867" u="1"/>
        <s v="191966085Z0" u="1"/>
        <s v="760480" u="1"/>
        <s v="58912004R0" u="1"/>
        <s v="20PU587JUL" u="1"/>
        <s v="260029" u="1"/>
        <s v="20PU588JUL" u="1"/>
        <s v="192933371D0" u="1"/>
        <s v="58931542C0" u="1"/>
        <s v="20960931" u="1"/>
        <s v="ANU191001505" u="1"/>
        <s v="37938067R0" u="1"/>
        <s v="402208" u="1"/>
        <s v="20PU335" u="1"/>
        <s v="585106" u="1"/>
        <s v="191937064Z0" u="1"/>
        <s v="567107" u="1"/>
        <s v="58920261V0" u="1"/>
        <s v="569107" u="1"/>
        <s v="490604" u="1"/>
        <s v="58901715V0" u="1"/>
        <s v="192088" u="1"/>
        <s v="20PU338" u="1"/>
        <s v="ANU58920400B0" u="1"/>
        <s v="20585996" u="1"/>
        <s v="38T211B000" u="1"/>
        <s v="403142" u="1"/>
        <s v="58912056Z0" u="1"/>
        <s v="766031" u="1"/>
        <s v="256178" u="1"/>
        <s v="768031" u="1"/>
        <s v="192001130" u="1"/>
        <s v="569041" u="1"/>
        <s v="9787703" u="1"/>
        <s v="58901793N0" u="1"/>
        <s v="191966326R0" u="1"/>
        <s v="ANU37938123S0" u="1"/>
        <s v="610094" u="1"/>
        <s v="192001230" u="1"/>
        <s v="760646" u="1"/>
        <s v="ANU30216627" u="1"/>
        <s v="314454" u="1"/>
        <s v="192000718" u="1"/>
        <s v="567908" u="1"/>
        <s v="76P924890" u="1"/>
        <s v="ANU20939567" u="1"/>
        <s v="ANU37938124S0" u="1"/>
        <s v="190889" u="1"/>
        <s v="760394" u="1"/>
        <s v="192001158" u="1"/>
        <s v="250979" u="1"/>
        <s v="191937054C0" u="1"/>
        <s v="191001258" u="1"/>
        <s v="192001258" u="1"/>
        <s v="ANU312064" u="1"/>
        <s v="37908867S0" u="1"/>
        <s v="191001358" u="1"/>
        <s v="760580" u="1"/>
        <s v="190011" u="1"/>
        <s v="350003" u="1"/>
        <s v="111015" u="1"/>
        <s v="191001458" u="1"/>
        <s v="132014" u="1"/>
        <s v="191001758" u="1"/>
        <s v="76P925633" u="1"/>
        <s v="192933401C0" u="1"/>
        <s v="65278300" u="1"/>
        <s v="58920497N0" u="1"/>
        <s v="ANU76P926177" u="1"/>
        <s v="080072" u="1"/>
        <s v="567207" u="1"/>
        <s v="20929285" u="1"/>
        <s v="76P925833" u="1"/>
        <s v="422055" u="1"/>
        <s v="ANU192398" u="1"/>
        <s v="190935291Z0" u="1"/>
        <s v="569207" u="1"/>
        <s v="38T311A000" u="1"/>
        <s v="ANU58906154W0" u="1"/>
        <s v="404056" u="1"/>
        <s v="76P926373" u="1"/>
        <s v="2500017" u="1"/>
        <s v="192374" u="1"/>
        <s v="0428619" u="1"/>
        <s v="191946965J0" u="1"/>
        <s v="ANU58906155W0" u="1"/>
        <s v="30203001" u="1"/>
        <s v="710096" u="1"/>
        <s v="2500019" u="1"/>
        <s v="30203011" u="1"/>
        <s v="251650" u="1"/>
        <s v="30203021" u="1"/>
        <s v="9786846" u="1"/>
        <s v="734095" u="1"/>
        <s v="76P926773" u="1"/>
        <s v="20PU470" u="1"/>
        <s v="ANU568025" u="1"/>
        <s v="20PU471" u="1"/>
        <s v="ANU192933563F0" u="1"/>
        <s v="76P926973" u="1"/>
        <s v="191937181B0" u="1"/>
        <s v="37938066J0" u="1"/>
        <s v="20PU473" u="1"/>
        <s v="190111" u="1"/>
        <s v="253015" u="1"/>
        <s v="191947046B0" u="1"/>
        <s v="191943199F0" u="1"/>
        <s v="I610D000" u="1"/>
        <s v="58901632V0" u="1"/>
        <s v="20203089" u="1"/>
        <s v="192933481D0" u="1"/>
        <s v="400408" u="1"/>
        <s v="20PU476" u="1"/>
        <s v="H231D000" u="1"/>
        <s v="58920709Q0" u="1"/>
        <s v="20PU477" u="1"/>
        <s v="320067" u="1"/>
        <s v="490618" u="1"/>
        <s v="191966695Z0" u="1"/>
        <s v="ANU20559758" u="1"/>
        <s v="405408" u="1"/>
        <s v="190726" u="1"/>
        <s v="65588300" u="1"/>
        <s v="192944920L0" u="1"/>
        <s v="760231" u="1"/>
        <s v="403156" u="1"/>
        <s v="192000500" u="1"/>
        <s v="400342" u="1"/>
        <s v="766045" u="1"/>
        <s v="190912" u="1"/>
        <s v="20585997" u="1"/>
        <s v="191946996Z0" u="1"/>
        <s v="ANU191040" u="1"/>
        <s v="768045" u="1"/>
        <s v="ANU253015" u="1"/>
        <s v="ANU20970862" u="1"/>
        <s v="76P924303" u="1"/>
        <s v="190933421Z0" u="1"/>
        <s v="600080" u="1"/>
        <s v="192001040" u="1"/>
        <s v="567241" u="1"/>
        <s v="58920326V0" u="1"/>
        <s v="190660" u="1"/>
        <s v="314468" u="1"/>
        <s v="401090" u="1"/>
        <s v="192000800" u="1"/>
        <s v="ANU190628" u="1"/>
        <s v="402090" u="1"/>
        <s v="192001140" u="1"/>
        <s v="30213011" u="1"/>
        <s v="H231D080" u="1"/>
        <s v="76P924503" u="1"/>
        <s v="192933521Z0" u="1"/>
        <s v="251750" u="1"/>
        <s v="192001240" u="1"/>
        <s v="405090" u="1"/>
        <s v="191001340" u="1"/>
        <s v="1100000126" u="1"/>
        <s v="191966002L0" u="1"/>
        <s v="192933349Z0" u="1"/>
        <s v="3330207867" u="1"/>
        <s v="192000828" u="1"/>
        <s v="590005" u="1"/>
        <s v="192001168" u="1"/>
        <s v="190966202L0" u="1"/>
        <s v="192933821Z0" u="1"/>
        <s v="191916592N0" u="1"/>
        <s v="192904200Z0" u="1"/>
        <s v="192000928" u="1"/>
        <s v="552007" u="1"/>
        <s v="192001268" u="1"/>
        <s v="76P924903" u="1"/>
        <s v="553007" u="1"/>
        <s v="191001740" u="1"/>
        <s v="310205" u="1"/>
        <s v="191946981P0" u="1"/>
        <s v="191211" u="1"/>
        <s v="372202" u="1"/>
        <s v="191946986C0" u="1"/>
        <s v="ANU58920326Z0" u="1"/>
        <s v="191001568" u="1"/>
        <s v="192933211C0" u="1"/>
        <s v="ANU562027" u="1"/>
        <s v="ANU192380" u="1"/>
        <s v="191001668" u="1"/>
        <s v="080086" u="1"/>
        <s v="H232D000" u="1"/>
        <s v="191966702L0" u="1"/>
        <s v="422069" u="1"/>
        <s v="65298300" u="1"/>
        <s v="191937615R0" u="1"/>
        <s v="ANU20970868" u="1"/>
        <s v="400256" u="1"/>
        <s v="65498300" u="1"/>
        <s v="567407" u="1"/>
        <s v="38T511A000" u="1"/>
        <s v="191937009L0" u="1"/>
        <s v="766145" u="1"/>
        <s v="65898300" u="1"/>
        <s v="76P926283" u="1"/>
        <s v="76P926383" u="1"/>
        <s v="403442" u="1"/>
        <s v="76P926483" u="1"/>
        <s v="251664" u="1"/>
        <s v="405442" u="1"/>
        <s v="567341" u="1"/>
        <s v="30203002" u="1"/>
        <s v="192933353L0" u="1"/>
        <s v="190933409N0" u="1"/>
        <s v="402190" u="1"/>
        <s v="30203012" u="1"/>
        <s v="H232D080" u="1"/>
        <s v="255664" u="1"/>
        <s v="30203022" u="1"/>
        <s v="ANU76P926024" u="1"/>
        <s v="58912004J0" u="1"/>
        <s v="191001853RS" u="1"/>
        <s v="190125" u="1"/>
        <s v="493017" u="1"/>
        <s v="251215" u="1"/>
        <s v="9786212" u="1"/>
        <s v="58901623V0" u="1"/>
        <s v="557107" u="1"/>
        <s v="760059" u="1"/>
        <s v="9786214" u="1"/>
        <s v="ANU191001506" u="1"/>
        <s v="H233D000" u="1"/>
        <s v="191947021Z0" u="1"/>
        <s v="ANU76P926064" u="1"/>
        <s v="192000210" u="1"/>
        <s v="760245" u="1"/>
        <s v="490818" u="1"/>
        <s v="565069" u="1"/>
        <s v="58912056R0" u="1"/>
        <s v="766059" u="1"/>
        <s v="5610343222" u="1"/>
        <s v="567069" u="1"/>
        <s v="191916945Z0" u="1"/>
        <s v="403356" u="1"/>
        <s v="191946241D8" u="1"/>
        <s v="ANU76P926108" u="1"/>
        <s v="191947040V0" u="1"/>
        <s v="190674" u="1"/>
        <s v="192000610" u="1"/>
        <s v="569255" u="1"/>
        <s v="58912058Z0" u="1"/>
        <s v="192000710" u="1"/>
        <s v="192944958L0" u="1"/>
        <s v="192000810" u="1"/>
        <s v="192001150" u="1"/>
        <s v="403290" u="1"/>
        <s v="H233D080" u="1"/>
        <s v="76P924513" u="1"/>
        <s v="85XX0050N35-00" u="1"/>
        <s v="405290" u="1"/>
        <s v="191966065N0" u="1"/>
        <s v="191916358P0" u="1"/>
        <s v="792009" u="1"/>
        <s v="9785351" u="1"/>
        <s v="192001078" u="1"/>
        <s v="162012" u="1"/>
        <s v="2000030" u="1"/>
        <s v="191916305N0" u="1"/>
        <s v="191001550" u="1"/>
        <s v="192001178" u="1"/>
        <s v="76P924813" u="1"/>
        <s v="192001063RO" u="1"/>
        <s v="192943793Z0" u="1"/>
        <s v="192944924F0" u="1"/>
        <s v="191225" u="1"/>
        <s v="2000031" u="1"/>
        <s v="76P925153" u="1"/>
        <s v="165012" u="1"/>
        <s v="ANU58906292W0" u="1"/>
        <s v="192001278" u="1"/>
        <s v="76P924913" u="1"/>
        <s v="166012" u="1"/>
        <s v="251315" u="1"/>
        <s v="2000032" u="1"/>
        <s v="58912270E0" u="1"/>
        <s v="314219" u="1"/>
        <s v="191947034P0" u="1"/>
        <s v="191946991P0" u="1"/>
        <s v="2000033" u="1"/>
        <s v="191001478" u="1"/>
        <s v="58920397V0" u="1"/>
        <s v="192411" u="1"/>
        <s v="372402" u="1"/>
        <s v="270062" u="1"/>
        <s v="2000034" u="1"/>
        <s v="192933221C0" u="1"/>
        <s v="491051" u="1"/>
        <s v="252501" u="1"/>
        <s v="760159" u="1"/>
        <s v="550141" u="1"/>
        <s v="76P925553" u="1"/>
        <s v="311153" u="1"/>
        <s v="191946766N0" u="1"/>
        <s v="9788980" u="1"/>
        <s v="569990" u="1"/>
        <s v="20929277" u="1"/>
        <s v="191001878" u="1"/>
        <s v="191966223E7" u="1"/>
        <s v="ANU58906295W0" u="1"/>
        <s v="H274D000" u="1"/>
        <s v="76P926093" u="1"/>
        <s v="567169" u="1"/>
        <s v="557141" u="1"/>
        <s v="2500299" u="1"/>
        <s v="192933349C0" u="1"/>
        <s v="403456" u="1"/>
        <s v="569169" u="1"/>
        <s v="76P925953" u="1"/>
        <s v="38T711A000" u="1"/>
        <s v="490666" u="1"/>
        <s v="76P926293" u="1"/>
        <s v="251678" u="1"/>
        <s v="190774" u="1"/>
        <s v="58901620F0" u="1"/>
        <s v="490852" u="1"/>
        <s v="191937744N0" u="1"/>
        <s v="192933219N0" u="1"/>
        <s v="400390" u="1"/>
        <s v="30203003" u="1"/>
        <s v="190933419N0" u="1"/>
        <s v="403390" u="1"/>
        <s v="080023" u="1"/>
        <s v="30203023" u="1"/>
        <s v="191916943F0" u="1"/>
        <s v="192933563L0" u="1"/>
        <s v="405390" u="1"/>
        <s v="402007" u="1"/>
        <s v="76P962366" u="1"/>
        <s v="403007" u="1"/>
        <s v="9791970" u="1"/>
        <s v="192139" u="1"/>
        <s v="192904195N0" u="1"/>
        <s v="251229" u="1"/>
        <s v="085023" u="1"/>
        <s v="9791971" u="1"/>
        <s v="D111F000" u="1"/>
        <s v="H111D000" u="1"/>
        <s v="9791972" u="1"/>
        <s v="372316" u="1"/>
        <s v="37938068J0" u="1"/>
        <s v="58901590V0" u="1"/>
        <s v="252415" u="1"/>
        <s v="710047" u="1"/>
        <s v="ANU190120" u="1"/>
        <s v="760259" u="1"/>
        <s v="191966318Z0" u="1"/>
        <s v="ANU76P924305" u="1"/>
        <s v="118808026100" u="1"/>
        <s v="H233D011" u="1"/>
        <s v="30213908PU" u="1"/>
        <s v="58920244V0" u="1"/>
        <s v="192933557F0" u="1"/>
        <s v="192943366D0" u="1"/>
        <s v="191966137V0" u="1"/>
        <s v="567269" u="1"/>
        <s v="30210720S" u="1"/>
        <s v="191946238V0" u="1"/>
        <s v="37938119A7" u="1"/>
        <s v="58901684V0" u="1"/>
        <s v="760193" u="1"/>
        <s v="20939297" u="1"/>
        <s v="190935299N0" u="1"/>
        <s v="192000248" u="1"/>
        <s v="58901828F0" u="1"/>
        <s v="192000620" u="1"/>
        <s v="731847" u="1"/>
        <s v="ANU311154" u="1"/>
        <s v="192000820" u="1"/>
        <s v="191937594Z0" u="1"/>
        <s v="192001160" u="1"/>
        <s v="191001812MO" u="1"/>
        <s v="192001260" u="1"/>
        <s v="ANU76P924345" u="1"/>
        <s v="191001360" u="1"/>
        <s v="191966075N0" u="1"/>
        <s v="58901878F0" u="1"/>
        <s v="58906359S0" u="1"/>
        <s v="403107" u="1"/>
        <s v="76P924723" u="1"/>
        <s v="166026" u="1"/>
        <s v="191916315N0" u="1"/>
        <s v="20970860" u="1"/>
        <s v="191001560" u="1"/>
        <s v="192001188" u="1"/>
        <s v="191001288" u="1"/>
        <s v="192000948" u="1"/>
        <s v="192933569Z0" u="1"/>
        <s v="192425" u="1"/>
        <s v="76P924923" u="1"/>
        <s v="270076" u="1"/>
        <s v="76P925263" u="1"/>
        <s v="58912271E0" u="1"/>
        <s v="252515" u="1"/>
        <s v="314419" u="1"/>
        <s v="ANU312194" u="1"/>
        <s v="422040" u="1"/>
        <s v="191001488" u="1"/>
        <s v="ANU132006" u="1"/>
        <s v="20PU473JU15" u="1"/>
        <s v="404041" u="1"/>
        <s v="191001588" u="1"/>
        <s v="76P925463" u="1"/>
        <s v="405041" u="1"/>
        <s v="314167" u="1"/>
        <s v="76P939753" u="1"/>
        <s v="65313300" u="1"/>
        <s v="259515" u="1"/>
        <s v="710081" u="1"/>
        <s v="191001888" u="1"/>
        <s v="ANU192403" u="1"/>
        <s v="191916357W0" u="1"/>
        <s v="191947019N0" u="1"/>
        <s v="192933254P0" u="1"/>
        <s v="30215985" u="1"/>
        <s v="190935024Z0" u="1"/>
        <s v="567369" u="1"/>
        <s v="192943163N0" u="1"/>
        <s v="190788" u="1"/>
        <s v="9789218" u="1"/>
        <s v="31306" u="1"/>
        <s v="734080" u="1"/>
        <s v="38T711A100" u="1"/>
        <s v="490866" u="1"/>
        <s v="76P926106" u="1"/>
        <s v="58901511V0" u="1"/>
        <s v="ANU20559129" u="1"/>
        <s v="95IB79018" u="1"/>
        <s v="ANU30212615" u="1"/>
        <s v="192933229N0" u="1"/>
        <s v="680007" u="1"/>
        <s v="30203004" u="1"/>
        <s v="9786490" u="1"/>
        <s v="320118" u="1"/>
        <s v="76P926406" u="1"/>
        <s v="30203014" u="1"/>
        <s v="ANU30212616" u="1"/>
        <s v="191966235B0" u="1"/>
        <s v="20PU324" u="1"/>
        <s v="30203024" u="1"/>
        <s v="58931029E0" u="1"/>
        <s v="192943763N0" u="1"/>
        <s v="402207" u="1"/>
        <s v="20PU325" u="1"/>
        <s v="92843" u="1"/>
        <s v="ANU30212617" u="1"/>
        <s v="20PU326" u="1"/>
        <s v="567106" u="1"/>
        <s v="192943004F0" u="1"/>
        <s v="252429" u="1"/>
        <s v="191946201Z0" u="1"/>
        <s v="590067" u="1"/>
        <s v="76P926806" u="1"/>
        <s v="569106" u="1"/>
        <s v="791057" u="1"/>
        <s v="190943204F0" u="1"/>
        <s v="ANU402132" u="1"/>
        <s v="192087" u="1"/>
        <s v="BR10D000" u="1"/>
        <s v="37938069J0" u="1"/>
        <s v="190711" u="1"/>
        <s v="9786496" u="1"/>
        <s v="58901625V0" u="1"/>
        <s v="402141" u="1"/>
        <s v="58931536C0" u="1"/>
        <s v="I616D000" u="1"/>
        <s v="58901635V0" u="1"/>
        <s v="191001852BL" u="1"/>
        <s v="766030" u="1"/>
        <s v="557069" u="1"/>
        <s v="9786498" u="1"/>
        <s v="768030" u="1"/>
        <s v="569040" u="1"/>
        <s v="9786499" u="1"/>
        <s v="192933567F0" u="1"/>
        <s v="314453" u="1"/>
        <s v="191966147V0" u="1"/>
        <s v="192933514D0" u="1"/>
        <s v="731180" u="1"/>
        <s v="567907" u="1"/>
        <s v="58901809F0" u="1"/>
        <s v="191888" u="1"/>
        <s v="25607" u="1"/>
        <s v="250978" u="1"/>
        <s v="192000258" u="1"/>
        <s v="76P924233" u="1"/>
        <s v="190010" u="1"/>
        <s v="192000730" u="1"/>
        <s v="111014" u="1"/>
        <s v="191947012G0" u="1"/>
        <s v="191946189D8" u="1"/>
        <s v="132013" u="1"/>
        <s v="58920329V0" u="1"/>
        <s v="191001170" u="1"/>
        <s v="192000830" u="1"/>
        <s v="251100" u="1"/>
        <s v="192933179Z0" u="1"/>
        <s v="192001270" u="1"/>
        <s v="9789350" u="1"/>
        <s v="191937607Z0" u="1"/>
        <s v="192000758" u="1"/>
        <s v="192439" u="1"/>
        <s v="490517" u="1"/>
        <s v="192001098" u="1"/>
        <s v="76P924733" u="1"/>
        <s v="080071" u="1"/>
        <s v="258100" u="1"/>
        <s v="191001198" u="1"/>
        <s v="76P925073" u="1"/>
        <s v="567206" u="1"/>
        <s v="20970861" u="1"/>
        <s v="191001570" u="1"/>
        <s v="252529" u="1"/>
        <s v="192001198" u="1"/>
        <s v="2510004" u="1"/>
        <s v="1100100076" u="1"/>
        <s v="422054" u="1"/>
        <s v="760130" u="1"/>
        <s v="ANU166005" u="1"/>
        <s v="ANU76P926149" u="1"/>
        <s v="191001670" u="1"/>
        <s v="405055" u="1"/>
        <s v="764130" u="1"/>
        <s v="191001498" u="1"/>
        <s v="76P925373" u="1"/>
        <s v="192943816Z0" u="1"/>
        <s v="191001870" u="1"/>
        <s v="403241" u="1"/>
        <s v="191001598" u="1"/>
        <s v="76P925473" u="1"/>
        <s v="557169" u="1"/>
        <s v="20204328" u="1"/>
        <s v="20925682" u="1"/>
        <s v="MMB60" u="1"/>
        <s v="710095" u="1"/>
        <s v="569140" u="1"/>
        <s v="65333300" u="1"/>
        <s v="191001798" u="1"/>
        <s v="76P925673" u="1"/>
        <s v="192933822G0" u="1"/>
        <s v="192943354R0" u="1"/>
        <s v="734094" u="1"/>
        <s v="76P925773" u="1"/>
        <s v="192943835V0" u="1"/>
        <s v="191946986N0" u="1"/>
        <s v="20PU460" u="1"/>
        <s v="190933411N0" u="1"/>
        <s v="38T711A200" u="1"/>
        <s v="192988" u="1"/>
        <s v="192944375V0" u="1"/>
        <s v="192933569C0" u="1"/>
        <s v="192943473N0" u="1"/>
        <s v="253014" u="1"/>
        <s v="ANU567325" u="1"/>
        <s v="192933239N0" u="1"/>
        <s v="76P926316" u="1"/>
        <s v="191001816GR" u="1"/>
        <s v="30203005" u="1"/>
        <s v="58901632F0" u="1"/>
        <s v="191946294Q0" u="1"/>
        <s v="251200" u="1"/>
        <s v="76P926416" u="1"/>
        <s v="76P952224" u="1"/>
        <s v="30203015" u="1"/>
        <s v="20940833" u="1"/>
        <s v="400407" u="1"/>
        <s v="20PU466" u="1"/>
        <s v="30203025" u="1"/>
        <s v="20960842" u="1"/>
        <s v="20PU467" u="1"/>
        <s v="256200" u="1"/>
        <s v="58901562V0" u="1"/>
        <s v="490617" u="1"/>
        <s v="20PU468" u="1"/>
        <s v="76P926716" u="1"/>
        <s v="191947014D0" u="1"/>
        <s v="400155" u="1"/>
        <s v="405407" u="1"/>
        <s v="567306" u="1"/>
        <s v="58901987Y0" u="1"/>
        <s v="190725" u="1"/>
        <s v="402155" u="1"/>
        <s v="58931002P0" u="1"/>
        <s v="191937077D0" u="1"/>
        <s v="400341" u="1"/>
        <s v="766044" u="1"/>
        <s v="3330196056" u="1"/>
        <s v="190911" u="1"/>
        <s v="191946188K0" u="1"/>
        <s v="ANU192933547N0" u="1"/>
        <s v="58931032P0" u="1"/>
        <s v="2501008" u="1"/>
        <s v="567240" u="1"/>
        <s v="314467" u="1"/>
        <s v="2501009" u="1"/>
        <s v="C300B200" u="1"/>
        <s v="65343300" u="1"/>
        <s v="191916560" u="1"/>
        <s v="192944960L0" u="1"/>
        <s v="20939299" u="1"/>
        <s v="65943300" u="1"/>
        <s v="ANU190640" u="1"/>
        <s v="590004" u="1"/>
        <s v="555006492" u="1"/>
        <s v="191001815NE" u="1"/>
        <s v="132027" u="1"/>
        <s v="192933547Q0" u="1"/>
        <s v="313018" u="1"/>
        <s v="58940004C0" u="1"/>
        <s v="ANU403382" u="1"/>
        <s v="191210" u="1"/>
        <s v="76P924343" u="1"/>
        <s v="58906397C0" u="1"/>
        <s v="58920296V0" u="1"/>
        <s v="191916360P0" u="1"/>
        <s v="ANU76P924336" u="1"/>
        <s v="372201" u="1"/>
        <s v="ANU190668" u="1"/>
        <s v="192001180" u="1"/>
        <s v="192000940" u="1"/>
        <s v="30211810P" u="1"/>
        <s v="192001280" u="1"/>
        <s v="ANU76P924346" u="1"/>
        <s v="080085" u="1"/>
        <s v="400069" u="1"/>
        <s v="190639" u="1"/>
        <s v="76P924643" u="1"/>
        <s v="58940044C0" u="1"/>
        <s v="422068" u="1"/>
        <s v="520156" u="1"/>
        <s v="760144" u="1"/>
        <s v="653012921" u="1"/>
        <s v="191001480" u="1"/>
        <s v="58920398N0" u="1"/>
        <s v="76P924743" u="1"/>
        <s v="251729" u="1"/>
        <s v="404069" u="1"/>
        <s v="192000868" u="1"/>
        <s v="567406" u="1"/>
        <s v="20970862" u="1"/>
        <s v="191937055R0" u="1"/>
        <s v="192000968" u="1"/>
        <s v="76P925183" u="1"/>
        <s v="ANU166015" u="1"/>
        <s v="19916235D0" u="1"/>
        <s v="400441" u="1"/>
        <s v="58931310C0" u="1"/>
        <s v="20925663" u="1"/>
        <s v="252477" u="1"/>
        <s v="I609D000" u="1"/>
        <s v="192943826Z0" u="1"/>
        <s v="191001880" u="1"/>
        <s v="191947011N0" u="1"/>
        <s v="192933789Z0" u="1"/>
        <s v="403441" u="1"/>
        <s v="251663" u="1"/>
        <s v="191966057V7" u="1"/>
        <s v="567340" u="1"/>
        <s v="20559061" u="1"/>
        <s v="76P925583" u="1"/>
        <s v="191936987P0" u="1"/>
        <s v="ANU20546747" u="1"/>
        <s v="20559071" u="1"/>
        <s v="65353300" u="1"/>
        <s v="76P925683" u="1"/>
        <s v="192001055CA" u="1"/>
        <s v="192933179C0" u="1"/>
        <s v="190966036F0" u="1"/>
        <s v="191947039N0" u="1"/>
        <s v="766759" u="1"/>
        <s v="191966036F0" u="1"/>
        <s v="ANU20546748" u="1"/>
        <s v="192933221N0" u="1"/>
        <s v="65328100" u="1"/>
        <s v="76P926026" u="1"/>
        <s v="190933421N0" u="1"/>
        <s v="190124" u="1"/>
        <s v="590104" u="1"/>
        <s v="76P925983" u="1"/>
        <s v="192943283N0" u="1"/>
        <s v="493016" u="1"/>
        <s v="191946237F0" u="1"/>
        <s v="76P926126" u="1"/>
        <s v="251214" u="1"/>
        <s v="58901623F0" u="1"/>
        <s v="ANU567335" u="1"/>
        <s v="191966055B0" u="1"/>
        <s v="192001072BL" u="1"/>
        <s v="557106" u="1"/>
        <s v="760058" u="1"/>
        <s v="30203016" u="1"/>
        <s v="95IB15385" u="1"/>
        <s v="710032" u="1"/>
        <s v="559106" u="1"/>
        <s v="311052" u="1"/>
        <s v="30203026" u="1"/>
        <s v="192904200N0" u="1"/>
        <s v="9792489" u="1"/>
        <s v="192933549N0" u="1"/>
        <s v="402169" u="1"/>
        <s v="760244" u="1"/>
        <s v="58920143V0" u="1"/>
        <s v="490817" u="1"/>
        <s v="565068" u="1"/>
        <s v="766058" u="1"/>
        <s v="30213793PU" u="1"/>
        <s v="557040" u="1"/>
        <s v="58931003P0" u="1"/>
        <s v="403355" u="1"/>
        <s v="405355" u="1"/>
        <s v="190673" u="1"/>
        <s v="58920245N0" u="1"/>
        <s v="191946243L9" u="1"/>
        <s v="58931538C0" u="1"/>
        <s v="190937482Q0" u="1"/>
        <s v="251763" u="1"/>
        <s v="ANU191001508" u="1"/>
        <s v="MMB90" u="1"/>
        <s v="ANU360007" u="1"/>
        <s v="58920760D0" u="1"/>
        <s v="192000250" u="1"/>
        <s v="20944100" u="1"/>
        <s v="320003" u="1"/>
        <s v="791008" u="1"/>
        <s v="190935304N0" u="1"/>
        <s v="65863300" u="1"/>
        <s v="65963300" u="1"/>
        <s v="65719510" u="1"/>
        <s v="192000178" u="1"/>
        <s v="58931502V0" u="1"/>
        <s v="58901716E7" u="1"/>
        <s v="191966367V0" u="1"/>
        <s v="191224" u="1"/>
        <s v="76P924153" u="1"/>
        <s v="ANU58901921R0" u="1"/>
        <s v="166011" u="1"/>
        <s v="192933557Q0" u="1"/>
        <s v="251314" u="1"/>
        <s v="ANU569218" u="1"/>
        <s v="58940005C0" u="1"/>
        <s v="314218" u="1"/>
        <s v="ANU403392" u="1"/>
        <s v="191001090" u="1"/>
        <s v="58906398C0" u="1"/>
        <s v="58920297V0" u="1"/>
        <s v="192001090" u="1"/>
        <s v="192410" u="1"/>
        <s v="ANU58901922R0" u="1"/>
        <s v="270061" u="1"/>
        <s v="11230400" u="1"/>
        <s v="ANU190678" u="1"/>
        <s v="192001190" u="1"/>
        <s v="252500" u="1"/>
        <s v="76P900029" u="1"/>
        <s v="550140" u="1"/>
        <s v="192000950" u="1"/>
        <s v="192933199Z0" u="1"/>
        <s v="192933571Z0" u="1"/>
        <s v="311152" u="1"/>
        <s v="192001290" u="1"/>
        <s v="400269" u="1"/>
        <s v="ANU58901923R0" u="1"/>
        <s v="2500286" u="1"/>
        <s v="76P924653" u="1"/>
        <s v="66918103" u="1"/>
        <s v="760344" u="1"/>
        <s v="191946968V0" u="1"/>
        <s v="2000028" u="1"/>
        <s v="191937065R0" u="1"/>
        <s v="760530" u="1"/>
        <s v="192000978" u="1"/>
        <s v="ANU166025" u="1"/>
        <s v="760092" u="1"/>
        <s v="403455" u="1"/>
        <s v="2000029" u="1"/>
        <s v="ANU58901925R0" u="1"/>
        <s v="58931311C0" u="1"/>
        <s v="191947021N0" u="1"/>
        <s v="490851" u="1"/>
        <s v="76P925493" u="1"/>
        <s v="191937217C0" u="1"/>
        <s v="ANU58901926R0" u="1"/>
        <s v="766092" u="1"/>
        <s v="ANU58920006Z0" u="1"/>
        <s v="9788976" u="1"/>
        <s v="768092" u="1"/>
        <s v="9788977" u="1"/>
        <s v="191916945N0" u="1"/>
        <s v="ANU58920007Z0" u="1"/>
        <s v="9788978" u="1"/>
        <s v="0494397" u="1"/>
        <s v="58901460V0" u="1"/>
        <s v="9788979" u="1"/>
        <s v="192933231N0" u="1"/>
        <s v="595002232" u="1"/>
        <s v="14100200" u="1"/>
        <s v="65873300" u="1"/>
        <s v="251228" u="1"/>
        <s v="405006" u="1"/>
        <s v="ANU20946695" u="1"/>
        <s v="37908552S0" u="1"/>
        <s v="20235590" u="1"/>
        <s v="191966346F0" u="1"/>
        <s v="252414" u="1"/>
        <s v="710046" u="1"/>
        <s v="ANU251192" u="1"/>
        <s v="30203007" u="1"/>
        <s v="250162" u="1"/>
        <s v="312066" u="1"/>
        <s v="192933206L0" u="1"/>
        <s v="760258" u="1"/>
        <s v="30203017" u="1"/>
        <s v="554054" u="1"/>
        <s v="9791966" u="1"/>
        <s v="30203027" u="1"/>
        <s v="192943793N0" u="1"/>
        <s v="192943368L0" u="1"/>
        <s v="9791967" u="1"/>
        <s v="191937125F0" u="1"/>
        <s v="65303210" u="1"/>
        <s v="192939" u="1"/>
        <s v="9791968" u="1"/>
        <s v="ANU251692" u="1"/>
        <s v="58901684F0" u="1"/>
        <s v="58931004P0" u="1"/>
        <s v="760192" u="1"/>
        <s v="58920731D0" u="1"/>
        <s v="191966058Z0" u="1"/>
        <s v="58920246N0" u="1"/>
        <s v="190966158Z0" u="1"/>
        <s v="731846" u="1"/>
        <s v="20229064" u="1"/>
        <s v="58920551V9" u="1"/>
        <s v="ID204001" u="1"/>
        <s v="58914492G0" u="1"/>
        <s v="250103638" u="1"/>
        <s v="360015" u="1"/>
        <s v="191966358Z0" u="1"/>
        <s v="ANU76P924307" u="1"/>
        <s v="65583300" u="1"/>
        <s v="58920805D0" u="1"/>
        <s v="58931521N0" u="1"/>
        <s v="H720E000" u="1"/>
        <s v="190935314N0" u="1"/>
        <s v="166025" u="1"/>
        <s v="567005" u="1"/>
        <s v="9789200" u="1"/>
        <s v="58931503V0" u="1"/>
        <s v="76P900011" u="1"/>
        <s v="192424" u="1"/>
        <s v="9789201" u="1"/>
        <s v="270075" u="1"/>
        <s v="610058" u="1"/>
        <s v="3330196190" u="1"/>
        <s v="190933381Z0" u="1"/>
        <s v="192933997F0" u="1"/>
        <s v="251076" u="1"/>
        <s v="191000760" u="1"/>
        <s v="58940006C0" u="1"/>
        <s v="190966196R0" u="1"/>
        <s v="191966329G0" u="1"/>
        <s v="252514" u="1"/>
        <s v="314418" u="1"/>
        <s v="401040" u="1"/>
        <s v="192000760" u="1"/>
        <s v="190935386L0" u="1"/>
        <s v="58906399C0" u="1"/>
        <s v="58920298V0" u="1"/>
        <s v="192933381Z0" u="1"/>
        <s v="ANU76P924337" u="1"/>
        <s v="76P924463" u="1"/>
        <s v="251262" u="1"/>
        <s v="192001003" u="1"/>
        <s v="20930836" u="1"/>
        <s v="192000960" u="1"/>
        <s v="ANU76P924347" u="1"/>
        <s v="9789205" u="1"/>
        <s v="192000688" u="1"/>
        <s v="192001103" u="1"/>
        <s v="191001203" u="1"/>
        <s v="76P924663" u="1"/>
        <s v="2084153461" u="1"/>
        <s v="192000788" u="1"/>
        <s v="192001203" u="1"/>
        <s v="403469" u="1"/>
        <s v="710080" u="1"/>
        <s v="76P924763" u="1"/>
        <s v="490679" u="1"/>
        <s v="191916355N0" u="1"/>
        <s v="405469" u="1"/>
        <s v="567368" u="1"/>
        <s v="76P924863" u="1"/>
        <s v="190787" u="1"/>
        <s v="30215895" u="1"/>
        <s v="192000988" u="1"/>
        <s v="76P925006" u="1"/>
        <s v="5610341899" u="1"/>
        <s v="191001503" u="1"/>
        <s v="191966218N0" u="1"/>
        <s v="192787" u="1"/>
        <s v="490865" u="1"/>
        <s v="76P925106" u="1"/>
        <s v="58901511F0" u="1"/>
        <s v="191001703" u="1"/>
        <s v="58901431V0" u="1"/>
        <s v="421019" u="1"/>
        <s v="320117" u="1"/>
        <s v="422019" u="1"/>
        <s v="191001903" u="1"/>
        <s v="9786481" u="1"/>
        <s v="58931252S0" u="1"/>
        <s v="192933571C0" u="1"/>
        <s v="402206" u="1"/>
        <s v="H721E000" u="1"/>
        <s v="I302D000" u="1"/>
        <s v="372329" u="1"/>
        <s v="9786483" u="1"/>
        <s v="192933394P0" u="1"/>
        <s v="190943106N0" u="1"/>
        <s v="191966003D0" u="1"/>
        <s v="192943159P0" u="1"/>
        <s v="567105" u="1"/>
        <s v="76P926046" u="1"/>
        <s v="252428" u="1"/>
        <s v="9786484" u="1"/>
        <s v="58901505V0" u="1"/>
        <s v="569105" u="1"/>
        <s v="190710" u="1"/>
        <s v="58901625F0" u="1"/>
        <s v="191947025H0" u="1"/>
        <s v="403140" u="1"/>
        <s v="30203008" u="1"/>
        <s v="557068" u="1"/>
        <s v="76P926446" u="1"/>
        <s v="30203018" u="1"/>
        <s v="T422D000" u="1"/>
        <s v="76P926546" u="1"/>
        <s v="9786489" u="1"/>
        <s v="30203028" u="1"/>
        <s v="610092" u="1"/>
        <s v="760644" u="1"/>
        <s v="314452" u="1"/>
        <s v="20970148PRM" u="1"/>
        <s v="191946190K0" u="1"/>
        <s v="58901609V0" u="1"/>
        <s v="58931005P0" u="1"/>
        <s v="760392" u="1"/>
        <s v="1100100113" u="1"/>
        <s v="250977" u="1"/>
        <s v="191937054B0" u="1"/>
        <s v="76P963131" u="1"/>
        <s v="58920732D0" u="1"/>
        <s v="191966068Z0" u="1"/>
        <s v="58931510F0" u="1"/>
        <s v="58920247N0" u="1"/>
        <s v="58901639V0" u="1"/>
        <s v="20960929" u="1"/>
        <s v="ID204002" u="1"/>
        <s v="191947019B0" u="1"/>
        <s v="132012" u="1"/>
        <s v="763009" u="1"/>
        <s v="ANU191001509" u="1"/>
        <s v="313003" u="1"/>
        <s v="731794" u="1"/>
        <s v="315003" u="1"/>
        <s v="766009" u="1"/>
        <s v="76P962919" u="1"/>
        <s v="567019" u="1"/>
        <s v="58920744L0" u="1"/>
        <s v="768009" u="1"/>
        <s v="192000370" u="1"/>
        <s v="H722E000" u="1"/>
        <s v="192438" u="1"/>
        <s v="080070" u="1"/>
        <s v="25001802" u="1"/>
        <s v="405306" u="1"/>
        <s v="567205" u="1"/>
        <s v="252528" u="1"/>
        <s v="58931504V0" u="1"/>
        <s v="9786820" u="1"/>
        <s v="76P900021" u="1"/>
        <s v="422053" u="1"/>
        <s v="H224F700" u="1"/>
        <s v="192943519D0" u="1"/>
        <s v="192000670" u="1"/>
        <s v="58901813I0" u="1"/>
        <s v="313618" u="1"/>
        <s v="400240" u="1"/>
        <s v="192000770" u="1"/>
        <s v="575167" u="1"/>
        <s v="76P963759" u="1"/>
        <s v="9786823" u="1"/>
        <s v="192000870" u="1"/>
        <s v="76P924473" u="1"/>
        <s v="ANU191001549" u="1"/>
        <s v="405240" u="1"/>
        <s v="9789346" u="1"/>
        <s v="192001013" u="1"/>
        <s v="252462" u="1"/>
        <s v="9786824" u="1"/>
        <s v="192000970" u="1"/>
        <s v="190966200N0" u="1"/>
        <s v="710094" u="1"/>
        <s v="ANU191213" u="1"/>
        <s v="192001113" u="1"/>
        <s v="58940047C0" u="1"/>
        <s v="192000798" u="1"/>
        <s v="192001213" u="1"/>
        <s v="734093" u="1"/>
        <s v="192933791Z0" u="1"/>
        <s v="192000898" u="1"/>
        <s v="20PU450" u="1"/>
        <s v="58901788E7" u="1"/>
        <s v="76P924873" u="1"/>
        <s v="192000998" u="1"/>
        <s v="760492" u="1"/>
        <s v="20PU451" u="1"/>
        <s v="76P925016" u="1"/>
        <s v="76P924973" u="1"/>
        <s v="20PU452" u="1"/>
        <s v="76P925116" u="1"/>
        <s v="3330196187" u="1"/>
        <s v="58906374V0" u="1"/>
        <s v="490001" u="1"/>
        <s v="191966328N0" u="1"/>
        <s v="30212613PS" u="1"/>
        <s v="192933181C0" u="1"/>
        <s v="760109" u="1"/>
        <s v="20PU453" u="1"/>
        <s v="191947041N0" u="1"/>
        <s v="ANU192933473F0" u="1"/>
        <s v="191001713" u="1"/>
        <s v="192904198Z0" u="1"/>
        <s v="20940713" u="1"/>
        <s v="192943194R0" u="1"/>
        <s v="76P925316" u="1"/>
        <s v="191946959C0" u="1"/>
        <s v="564119" u="1"/>
        <s v="764109" u="1"/>
        <s v="1100100130" u="1"/>
        <s v="ANU20969726" u="1"/>
        <s v="400406" u="1"/>
        <s v="766109" u="1"/>
        <s v="76P925616" u="1"/>
        <s v="58901562F0" u="1"/>
        <s v="191966066F0" u="1"/>
        <s v="192943346C0" u="1"/>
        <s v="20PU458" u="1"/>
        <s v="405406" u="1"/>
        <s v="190724" u="1"/>
        <s v="20PU459" u="1"/>
        <s v="402154" u="1"/>
        <s v="65688100" u="1"/>
        <s v="76P926156" u="1"/>
        <s v="76P925916" u="1"/>
        <s v="766043" u="1"/>
        <s v="ANU490860" u="1"/>
        <s v="192933551N0" u="1"/>
        <s v="190910" u="1"/>
        <s v="567053" u="1"/>
        <s v="58901626F0" u="1"/>
        <s v="768043" u="1"/>
        <s v="30203009" u="1"/>
        <s v="65124610" u="1"/>
        <s v="192933379N0" u="1"/>
        <s v="30203019" u="1"/>
        <s v="314466" u="1"/>
        <s v="191946237Q0" u="1"/>
        <s v="30203029" u="1"/>
        <s v="D111A000" u="1"/>
        <s v="191947054D0" u="1"/>
        <s v="ANU25010262" u="1"/>
        <s v="5610209753" u="1"/>
        <s v="192943816N0" u="1"/>
        <s v="D131A000" u="1"/>
        <s v="76P926856" u="1"/>
        <s v="3330207866" u="1"/>
        <s v="590003" u="1"/>
        <s v="58931501F0" u="1"/>
        <s v="551005" u="1"/>
        <s v="192001055NE" u="1"/>
        <s v="191966078Z0" u="1"/>
        <s v="132026" u="1"/>
        <s v="552005" u="1"/>
        <s v="ANU76P925683" u="1"/>
        <s v="D181A000" u="1"/>
        <s v="760209" u="1"/>
        <s v="58931036P0" u="1"/>
        <s v="20969044" u="1"/>
        <s v="11210300" u="1"/>
        <s v="192000180" u="1"/>
        <s v="H450E100" u="1"/>
        <s v="192001072MO" u="1"/>
        <s v="ANU76P924308" u="1"/>
        <s v="080084" u="1"/>
        <s v="ANU58906318W0" u="1"/>
        <s v="567219" u="1"/>
        <s v="192000380" u="1"/>
        <s v="58920783D0" u="1"/>
        <s v="422067" u="1"/>
        <s v="760143" u="1"/>
        <s v="191946951Z0" u="1"/>
        <s v="ANU20970858" u="1"/>
        <s v="569219" u="1"/>
        <s v="58901760I0" u="1"/>
        <s v="192638" u="1"/>
        <s v="302084521" u="1"/>
        <s v="251728" u="1"/>
        <s v="420253" u="1"/>
        <s v="25001803" u="1"/>
        <s v="567405" u="1"/>
        <s v="ANU190680" u="1"/>
        <s v="58931505V0" u="1"/>
        <s v="ANU58920064G0" u="1"/>
        <s v="76P900031" u="1"/>
        <s v="65698100" u="1"/>
        <s v="ANU20569916" u="1"/>
        <s v="403254" u="1"/>
        <s v="372377" u="1"/>
        <s v="9788821" u="1"/>
        <s v="400440" u="1"/>
        <s v="252476" u="1"/>
        <s v="191946970V0" u="1"/>
        <s v="58940018C0" u="1"/>
        <s v="191966068C0" u="1"/>
        <s v="192933204Z0" u="1"/>
        <s v="403440" u="1"/>
        <s v="ANU58901090R0" u="1"/>
        <s v="490650" u="1"/>
        <s v="9788823" u="1"/>
        <s v="251662" u="1"/>
        <s v="192001023" u="1"/>
        <s v="9788824" u="1"/>
        <s v="192000980" u="1"/>
        <s v="ANU191223" u="1"/>
        <s v="192933404Z0" u="1"/>
        <s v="20PU590" u="1"/>
        <s v="191966038N0" u="1"/>
        <s v="766758" u="1"/>
        <s v="20PU592" u="1"/>
        <s v="610009" u="1"/>
        <s v="491015" u="1"/>
        <s v="192933372G0" u="1"/>
        <s v="190123" u="1"/>
        <s v="191001523" u="1"/>
        <s v="76P924983" u="1"/>
        <s v="ANU600002" u="1"/>
        <s v="311117" u="1"/>
        <s v="493015" u="1"/>
        <s v="190966338N0" u="1"/>
        <s v="191937047C0" u="1"/>
        <s v="20PU594" u="1"/>
        <s v="20940670" u="1"/>
        <s v="58906375V0" u="1"/>
        <s v="312117" u="1"/>
        <s v="ANU551003361" u="1"/>
        <s v="ANU58901705A0" u="1"/>
        <s v="251213" u="1"/>
        <s v="560319" u="1"/>
        <s v="760309" u="1"/>
        <s v="20PU595" u="1"/>
        <s v="20PU596" u="1"/>
        <s v="76P925326" u="1"/>
        <s v="58901948I0" u="1"/>
        <s v="ANU551003371" u="1"/>
        <s v="557105" u="1"/>
        <s v="20PU597" u="1"/>
        <s v="760057" u="1"/>
        <s v="H451E100" u="1"/>
        <s v="191001923" u="1"/>
        <s v="710031" u="1"/>
        <s v="559105" u="1"/>
        <s v="9792478" u="1"/>
        <s v="20976930" u="1"/>
        <s v="20PU598" u="1"/>
        <s v="191001832AM" u="1"/>
        <s v="567319" u="1"/>
        <s v="583504" u="1"/>
        <s v="31201" u="1"/>
        <s v="9792479" u="1"/>
        <s v="20PU599" u="1"/>
        <s v="30208452PU" u="1"/>
        <s v="31301" u="1"/>
        <s v="764057" u="1"/>
        <s v="734030" u="1"/>
        <s v="490816" u="1"/>
        <s v="20559129" u="1"/>
        <s v="400354" u="1"/>
        <s v="766057" u="1"/>
        <s v="191937995R0" u="1"/>
        <s v="403354" u="1"/>
        <s v="20976970" u="1"/>
        <s v="191937189L0" u="1"/>
        <s v="191966376F0" u="1"/>
        <s v="192943370L0" u="1"/>
        <s v="76P926366" u="1"/>
        <s v="ANU76P926018" u="1"/>
        <s v="251762" u="1"/>
        <s v="76P926466" u="1"/>
        <s v="191946247Q0" u="1"/>
        <s v="192933489N0" u="1"/>
        <s v="731831" u="1"/>
        <s v="191001928C0" u="1"/>
        <s v="191937002D0" u="1"/>
        <s v="76P926666" u="1"/>
        <s v="192944491P0" u="1"/>
        <s v="ANU76P926038" u="1"/>
        <s v="191916300Z0" u="1"/>
        <s v="372028" u="1"/>
        <s v="610109" u="1"/>
        <s v="58931502F0" u="1"/>
        <s v="191001827VE" u="1"/>
        <s v="191223" u="1"/>
        <s v="192001065NE" u="1"/>
        <s v="165010" u="1"/>
        <s v="58920734D0" u="1"/>
        <s v="191966088Z0" u="1"/>
        <s v="191937125Q0" u="1"/>
        <s v="166010" u="1"/>
        <s v="314217" u="1"/>
        <s v="192943785V7" u="1"/>
        <s v="372400" u="1"/>
        <s v="58920692L0" u="1"/>
        <s v="270060" u="1"/>
        <s v="192000190" u="1"/>
        <s v="760157" u="1"/>
        <s v="311151" u="1"/>
        <s v="192933474D0" u="1"/>
        <s v="400268" u="1"/>
        <s v="ANU569230" u="1"/>
        <s v="190903485B0" u="1"/>
        <s v="191946961Z0" u="1"/>
        <s v="25001804" u="1"/>
        <s v="191937067Z0" u="1"/>
        <s v="190966201R0" u="1"/>
        <s v="ANU520811" u="1"/>
        <s v="190935019L0" u="1"/>
        <s v="ANU58920400G0" u="1"/>
        <s v="403454" u="1"/>
        <s v="569167" u="1"/>
        <s v="192000690" u="1"/>
        <s v="567353" u="1"/>
        <s v="58920786L0" u="1"/>
        <s v="192000790" u="1"/>
        <s v="58931221C0" u="1"/>
        <s v="490850" u="1"/>
        <s v="192001033" u="1"/>
        <s v="58912228E0" u="1"/>
        <s v="192000990" u="1"/>
        <s v="192001133" u="1"/>
        <s v="592001132" u="1"/>
        <s v="259676" u="1"/>
        <s v="420004" u="1"/>
        <s v="192001233" u="1"/>
        <s v="192943476Z0" u="1"/>
        <s v="191966048N0" u="1"/>
        <s v="H224A800" u="1"/>
        <s v="58931261C0" u="1"/>
        <s v="58901360V0" u="1"/>
        <s v="58901460F0" u="1"/>
        <s v="76P924893" u="1"/>
        <s v="14100100" u="1"/>
        <s v="251227" u="1"/>
        <s v="20940671" u="1"/>
        <s v="58906376V0" u="1"/>
        <s v="58931315C0" u="1"/>
        <s v="ANU610074" u="1"/>
        <s v="ANU30215895" u="1"/>
        <s v="252413" u="1"/>
        <s v="1104000042" u="1"/>
        <s v="190935257D0" u="1"/>
        <s v="191966448N0" u="1"/>
        <s v="190071" u="1"/>
        <s v="710045" u="1"/>
        <s v="11140300" u="1"/>
        <s v="191001833" u="1"/>
        <s v="ANU400322" u="1"/>
        <s v="20559066" u="1"/>
        <s v="192943161P0" u="1"/>
        <s v="H453E100" u="1"/>
        <s v="191001933" u="1"/>
        <s v="554053" u="1"/>
        <s v="734044" u="1"/>
        <s v="R210E000" u="1"/>
        <s v="R220E000" u="1"/>
        <s v="76P925536" u="1"/>
        <s v="R230E000" u="1"/>
        <s v="191933404C0" u="1"/>
        <s v="58912270P0" u="1"/>
        <s v="76P925636" u="1"/>
        <s v="25010351" u="1"/>
        <s v="110106924402" u="1"/>
        <s v="19966052L0" u="1"/>
        <s v="76P925836" u="1"/>
        <s v="58920064V0" u="1"/>
        <s v="760191" u="1"/>
        <s v="190935294Z0" u="1"/>
        <s v="76P962121" u="1"/>
        <s v="192935294Z0" u="1"/>
        <s v="ANU567385" u="1"/>
        <s v="58920084V0" u="1"/>
        <s v="731845" u="1"/>
        <s v="58920551F9" u="1"/>
        <s v="76P926476" u="1"/>
        <s v="ANU76P924235" u="1"/>
        <s v="76P926576" u="1"/>
        <s v="58901700A0" u="1"/>
        <s v="191937012D0" u="1"/>
        <s v="191966070Z0" u="1"/>
        <s v="65338001" u="1"/>
        <s v="191947021B0" u="1"/>
        <s v="ANU76P925674" u="1"/>
        <s v="76P927019" u="1"/>
        <s v="58931503F0" u="1"/>
        <s v="191937999L0" u="1"/>
        <s v="192423" u="1"/>
        <s v="312417" u="1"/>
        <s v="270074" u="1"/>
        <s v="191937184B0" u="1"/>
        <s v="58912071E0" u="1"/>
        <s v="191946199Z0" u="1"/>
        <s v="252513" u="1"/>
        <s v="06.145.0005" u="1"/>
        <s v="251261" u="1"/>
        <s v="20925515" u="1"/>
        <s v="ANU569140" u="1"/>
        <s v="192943521D0" u="1"/>
        <s v="58920785D0" u="1"/>
        <s v="403468" u="1"/>
        <s v="20226994" u="1"/>
        <s v="25001805" u="1"/>
        <s v="ANU559106" u="1"/>
        <s v="405468" u="1"/>
        <s v="190786" u="1"/>
        <s v="191946790V0" u="1"/>
        <s v="01.033.0001" u="1"/>
        <s v="H522E000" u="1"/>
        <s v="9789334" u="1"/>
        <s v="9786818" u="1"/>
        <s v="R120E000" u="1"/>
        <s v="R130E000" u="1"/>
        <s v="C300B000" u="1"/>
        <s v="H450E000" u="1"/>
        <s v="76XX3035N-06" u="1"/>
        <s v="T111D000" u="1"/>
        <s v="9788816" u="1"/>
        <s v="9788819" u="1"/>
        <s v="I610E100" u="1"/>
        <s v="H451E000" u="1"/>
        <s v="9788958" u="1"/>
        <s v="H224A700" u="1"/>
        <s v="9788959" u="1"/>
        <s v="H453E000" u="1"/>
        <s v="9786327" u="1"/>
        <s v="9786328" u="1"/>
        <s v="9787328" u="1"/>
        <s v="9786463" u="1"/>
        <s v="H710F200" u="1"/>
        <s v="9789325" u="1"/>
        <s v="95IB15388" u="1"/>
        <s v="H711F200" u="1"/>
        <s v="3FKFS250218" u="1"/>
        <s v="9788801" u="1"/>
        <s v="I610E000" u="1"/>
        <s v="H232E000" u="1"/>
        <s v="95IBSG100" u="1"/>
        <s v="H233E000" u="1"/>
        <s v="9786450" u="1"/>
        <s v="D111G000" u="1"/>
        <s v="H111E000" u="1"/>
        <s v="H112E000" u="1"/>
        <s v="20402" u="1"/>
        <s v="9789319" u="1"/>
        <s v="H113E000" u="1"/>
        <s v="92354" u="1"/>
        <s v="H114E000" u="1"/>
        <s v="10000103" u="1"/>
        <s v="95IB78233" u="1"/>
        <s v="H224A500" u="1"/>
        <s v="9786304" u="1"/>
        <s v="89070" u="1"/>
        <s v="H952A100" u="1"/>
        <s v="3FKSS230210" u="1"/>
        <s v="91184" u="1"/>
        <s v="10000012" u="1"/>
        <s v="02.001.0041" u="1"/>
        <s v="10000013" u="1"/>
        <s v="D111B000" u="1"/>
        <s v="D131B000" u="1"/>
        <s v="D141B000" u="1"/>
        <s v="06.007.0007" u="1"/>
        <s v="01827451" u="1"/>
        <s v="0442480" u="1"/>
        <s v="0442486" u="1"/>
        <s v="H920A000" u="1"/>
        <s v="D112B000" u="1"/>
        <s v="BM2B" u="1"/>
        <s v="H921A000" u="1"/>
        <s v="9786097" u="1"/>
        <s v="SV100F" u="1"/>
        <s v="H922A000" u="1"/>
        <s v="9786431" u="1"/>
        <s v="9786432" u="1"/>
        <s v="9786433" u="1"/>
        <s v="9786434" u="1"/>
        <s v="9786436" u="1"/>
        <s v="9786439" u="1"/>
        <s v="01.007.0015" u="1"/>
        <s v="H923A000" u="1"/>
        <s v="H953A000" u="1"/>
        <s v="95IB56614" u="1"/>
        <s v="H924A000" u="1"/>
        <s v="H954A000" u="1"/>
        <s v="H611A100" u="1"/>
        <s v="H621A100" u="1"/>
        <s v="H631A100" u="1"/>
        <s v="H641A100" u="1"/>
        <s v="H621A160" u="1"/>
        <s v="H631A180" u="1"/>
        <s v="01.013.0059" u="1"/>
        <s v="01827444" u="1"/>
        <s v="9787579" u="1"/>
        <s v="H652A100" u="1"/>
        <s v="T711A300" u="1"/>
        <s v="R120F000" u="1"/>
        <s v="VEC010BD" u="1"/>
        <s v="H700A000" u="1"/>
        <s v="H720A000" u="1"/>
        <s v="H700A030" u="1"/>
        <s v="H700A050" u="1"/>
        <s v="H700A070" u="1"/>
        <s v="H700A080" u="1"/>
        <s v="T113A600" u="1"/>
        <s v="H451F000" u="1"/>
        <s v="H700A090" u="1"/>
        <s v="95IB78016" u="1"/>
        <s v="H511A100" u="1"/>
        <s v="H711A000" u="1"/>
        <s v="H721A000" u="1"/>
        <s v="H511A140" u="1"/>
        <s v="95IB85865" u="1"/>
        <s v="01827436" u="1"/>
        <s v="H512A100" u="1"/>
        <s v="H722A000" u="1"/>
        <s v="H224B700" u="1"/>
        <s v="H512A140" u="1"/>
        <s v="T421A400" u="1"/>
        <s v="H224B730" u="1"/>
        <s v="9786427" u="1"/>
        <s v="9786428" u="1"/>
        <s v="20828" u="1"/>
        <s v="H224F100" u="1"/>
        <s v="01.040.0012" u="1"/>
        <s v="H700A012" u="1"/>
        <s v="06.166.0011" u="1"/>
        <s v="H251A200" u="1"/>
        <s v="H651A000" u="1"/>
        <s v="95IB20192" u="1"/>
        <s v="H261A200" u="1"/>
        <s v="H671A000" u="1"/>
        <s v="H681A000" u="1"/>
        <s v="01827394" u="1"/>
        <s v="01827428" u="1"/>
        <s v="H262A200" u="1"/>
        <s v="T711A200" u="1"/>
        <s v="H653A000" u="1"/>
        <s v="H634A000" u="1"/>
        <s v="T113A500" u="1"/>
        <s v="VEC1087CBD" u="1"/>
        <s v="H311A100" u="1"/>
        <s v="H321A100" u="1"/>
        <s v="H521A000" u="1"/>
        <s v="H331A100" u="1"/>
        <s v="H341A100" u="1"/>
        <s v="H311A120" u="1"/>
        <s v="H351A100" u="1"/>
        <s v="H321A120" u="1"/>
        <s v="H361A100" u="1"/>
        <s v="H331A120" u="1"/>
        <s v="H371A100" u="1"/>
        <s v="BBC2CB - LA" u="1"/>
        <s v="H341A120" u="1"/>
        <s v="H361A110" u="1"/>
        <s v="H381A100" u="1"/>
        <s v="H371A110" u="1"/>
        <s v="H635A000" u="1"/>
        <s v="H351A130" u="1"/>
        <s v="H381A120" u="1"/>
        <s v="H521A060" u="1"/>
        <s v="WLS17B" u="1"/>
        <s v="H522A000" u="1"/>
        <s v="T421A300" u="1"/>
        <s v="H636A000" u="1"/>
        <s v="H522A070" u="1"/>
        <s v="9786418" u="1"/>
        <s v="H523A000" u="1"/>
        <s v="R120A000" u="1"/>
        <s v="R130A000" u="1"/>
        <s v="R170A000" u="1"/>
        <s v="H523A050" u="1"/>
        <s v="H224F000" u="1"/>
        <s v="95IB69144" u="1"/>
        <s v="H410A000" u="1"/>
        <s v="H410A010" u="1"/>
        <s v="H450A000" u="1"/>
        <s v="H460A000" u="1"/>
        <s v="D111H000" u="1"/>
        <s v="D111H010" u="1"/>
        <s v="R171A000" u="1"/>
        <s v="AI74CML6" u="1"/>
        <s v="H451A000" u="1"/>
        <s v="H461A000" u="1"/>
        <s v="H515A000" u="1"/>
        <s v="H710G100" u="1"/>
        <s v="45ST3022" u="1"/>
        <s v="9787559" u="1"/>
        <s v="95IB79019" u="1"/>
        <s v="H252A100" u="1"/>
        <s v="H462A000" u="1"/>
        <s v="H711G100" u="1"/>
        <s v="T711A100" u="1"/>
        <s v="H403A000" u="1"/>
        <s v="06.002.0015" u="1"/>
        <s v="H453A000" u="1"/>
        <s v="H403A030" u="1"/>
        <s v="H300A000" u="1"/>
        <s v="H224A100" u="1"/>
        <s v="T113A400" u="1"/>
        <s v="88411" u="1"/>
        <s v="T427A300" u="1"/>
        <s v="H301A000" u="1"/>
        <s v="D111C100" u="1"/>
        <s v="H161A100" u="1"/>
        <s v="H391A000" u="1"/>
        <s v="06.018.0007" u="1"/>
        <s v="H391A030" u="1"/>
        <s v="H312A000" u="1"/>
        <s v="H322A000" u="1"/>
        <s v="H332A000" u="1"/>
        <s v="H162A100" u="1"/>
        <s v="H392A000" u="1"/>
        <s v="T611A100" u="1"/>
        <s v="T421A200" u="1"/>
      </sharedItems>
    </cacheField>
    <cacheField name="MES" numFmtId="14">
      <sharedItems containsSemiMixedTypes="0" containsNonDate="0" containsDate="1" containsString="0" minDate="2014-01-01T00:00:00" maxDate="2018-05-02T00:00:00" count="49">
        <d v="2017-11-01T00:00:00"/>
        <d v="2017-12-01T00:00:00"/>
        <d v="2018-01-01T00:00:00"/>
        <d v="2018-02-01T00:00:00"/>
        <d v="2018-03-01T00:00:00"/>
        <d v="2018-04-01T00:00:00"/>
        <d v="2018-05-01T00:00:00"/>
        <d v="2014-08-01T00:00:00" u="1"/>
        <d v="2015-08-01T00:00:00" u="1"/>
        <d v="2016-08-01T00:00:00" u="1"/>
        <d v="2014-07-01T00:00:00" u="1"/>
        <d v="2015-07-01T00:00:00" u="1"/>
        <d v="2016-07-01T00:00:00" u="1"/>
        <d v="2014-06-01T00:00:00" u="1"/>
        <d v="2015-06-01T00:00:00" u="1"/>
        <d v="2016-06-01T00:00:00" u="1"/>
        <d v="2014-05-01T00:00:00" u="1"/>
        <d v="2015-05-01T00:00:00" u="1"/>
        <d v="2016-05-01T00:00:00" u="1"/>
        <d v="2017-05-01T00:00:00" u="1"/>
        <d v="2014-04-01T00:00:00" u="1"/>
        <d v="2015-04-01T00:00:00" u="1"/>
        <d v="2016-04-01T00:00:00" u="1"/>
        <d v="2017-04-01T00:00:00" u="1"/>
        <d v="2014-03-01T00:00:00" u="1"/>
        <d v="2015-03-01T00:00:00" u="1"/>
        <d v="2016-03-01T00:00:00" u="1"/>
        <d v="2017-03-01T00:00:00" u="1"/>
        <d v="2014-02-01T00:00:00" u="1"/>
        <d v="2014-12-01T00:00:00" u="1"/>
        <d v="2015-02-01T00:00:00" u="1"/>
        <d v="2015-12-01T00:00:00" u="1"/>
        <d v="2016-02-01T00:00:00" u="1"/>
        <d v="2016-12-01T00:00:00" u="1"/>
        <d v="2017-02-01T00:00:00" u="1"/>
        <d v="2014-01-01T00:00:00" u="1"/>
        <d v="2014-11-01T00:00:00" u="1"/>
        <d v="2015-01-01T00:00:00" u="1"/>
        <d v="2015-11-01T00:00:00" u="1"/>
        <d v="2016-01-01T00:00:00" u="1"/>
        <d v="2016-11-01T00:00:00" u="1"/>
        <d v="2017-01-01T00:00:00" u="1"/>
        <d v="2014-10-01T00:00:00" u="1"/>
        <d v="2015-10-01T00:00:00" u="1"/>
        <d v="2016-10-01T00:00:00" u="1"/>
        <d v="2017-10-01T00:00:00" u="1"/>
        <d v="2014-09-01T00:00:00" u="1"/>
        <d v="2015-09-01T00:00:00" u="1"/>
        <d v="2016-09-01T00:00:00" u="1"/>
      </sharedItems>
    </cacheField>
    <cacheField name="EGRESOS" numFmtId="0">
      <sharedItems containsSemiMixedTypes="0" containsString="0" containsNumber="1" containsInteger="1" minValue="17" maxValue="68"/>
    </cacheField>
    <cacheField name="DEVOLUCIONES" numFmtId="0">
      <sharedItems containsSemiMixedTypes="0" containsString="0" containsNumber="1" containsInteger="1" minValue="0" maxValue="0"/>
    </cacheField>
    <cacheField name="INGRESOS" numFmtId="0">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RAMCAS" refreshedDate="43232.595070949072" createdVersion="5" refreshedVersion="5" minRefreshableVersion="3" recordCount="1">
  <cacheSource type="worksheet">
    <worksheetSource name="Tabla_Transito_Detallado"/>
  </cacheSource>
  <cacheFields count="14">
    <cacheField name="CODTRANSFER" numFmtId="0">
      <sharedItems containsSemiMixedTypes="0" containsString="0" containsNumber="1" containsInteger="1" minValue="32" maxValue="374" count="12">
        <n v="374"/>
        <n v="48" u="1"/>
        <n v="33" u="1"/>
        <n v="50" u="1"/>
        <n v="35" u="1"/>
        <n v="47" u="1"/>
        <n v="32" u="1"/>
        <n v="49" u="1"/>
        <n v="51" u="1"/>
        <n v="237" u="1"/>
        <n v="46" u="1"/>
        <n v="234" u="1"/>
      </sharedItems>
    </cacheField>
    <cacheField name="CODIGO" numFmtId="0">
      <sharedItems containsBlank="1" count="18">
        <s v="10000000973"/>
        <s v="10410" u="1"/>
        <m u="1"/>
        <s v="24231" u="1"/>
        <s v="6934BP" u="1"/>
        <s v="24603" u="1"/>
        <s v="25024" u="1"/>
        <s v="20928" u="1"/>
        <s v="10105" u="1"/>
        <s v="135100" u="1"/>
        <s v="20836" u="1"/>
        <s v="10119" u="1"/>
        <s v="100913130112920" u="1"/>
        <s v="MMB90" u="1"/>
        <s v="10000000972" u="1"/>
        <s v="20833" u="1"/>
        <s v="89070" u="1"/>
        <s v="MMB60" u="1"/>
      </sharedItems>
    </cacheField>
    <cacheField name="DESCRIPCION" numFmtId="0">
      <sharedItems containsBlank="1" count="18">
        <s v="DESMALEZADORA B530"/>
        <m u="1"/>
        <s v="DESMALEZADORA B450R (B450EMC)" u="1"/>
        <s v="ALFOMBRA BACTERICIDA MULTIMAT" u="1"/>
        <s v="RESERVORIO DE SILICON DE 200ML" u="1"/>
        <s v="Catéter Torácco Silicón recto CH 33 / 11" u="1"/>
        <s v="SISTEMA DE LIMPIEZA Y SUCCION BUCALES" u="1"/>
        <s v="CAVIWIPES 1" u="1"/>
        <s v="Kardial Spiral DREN SIN TROCAR DE 24 FR/" u="1"/>
        <s v="ALFOMBRA BACTERICIDAD MULTIMAT 90 X 115C" u="1"/>
        <s v="CAMPO PARA ARTROSCOPIA DE HOMBRO KC200" u="1"/>
        <s v="Catéter Torácco Silicón recto CH 36 / 12" u="1"/>
        <s v="SPIRAL DREN CON TROCAR 15FR/CH" u="1"/>
        <s v="BOMBA DE FUMIGACION A MOTOR ES726" u="1"/>
        <s v="DREN REDONDO DE SILICON TIPO JACKSON PRA" u="1"/>
        <s v="COMPACT - Chest drain three chambers Rec" u="1"/>
        <s v="&quot;Catéter Torácico Angulado PVC CH 28 / 9,&quot;" u="1"/>
        <s v="VARIANT CAMPANA DE 4 CAMARAS EN SECO DOS" u="1"/>
      </sharedItems>
    </cacheField>
    <cacheField name="GRUPO" numFmtId="0">
      <sharedItems containsBlank="1" count="4">
        <s v="DESMALEZADORAS 2T"/>
        <m u="1"/>
        <s v="PULVERIZADORA 2T" u="1"/>
        <s v="MOTOGUADAÑA SHINDAIWA" u="1"/>
      </sharedItems>
    </cacheField>
    <cacheField name="LINEA" numFmtId="0">
      <sharedItems containsBlank="1" count="2">
        <s v="AGROFORESTAL"/>
        <m u="1"/>
      </sharedItems>
    </cacheField>
    <cacheField name="TRANSITO" numFmtId="0">
      <sharedItems containsSemiMixedTypes="0" containsString="0" containsNumber="1" containsInteger="1" minValue="4" maxValue="80" count="14">
        <n v="34"/>
        <n v="75" u="1"/>
        <n v="40" u="1"/>
        <n v="74" u="1"/>
        <n v="6" u="1"/>
        <n v="52" u="1"/>
        <n v="20" u="1"/>
        <n v="60" u="1"/>
        <n v="24" u="1"/>
        <n v="68" u="1"/>
        <n v="45" u="1"/>
        <n v="10" u="1"/>
        <n v="80" u="1"/>
        <n v="4" u="1"/>
      </sharedItems>
    </cacheField>
    <cacheField name="ORIGEN" numFmtId="0">
      <sharedItems containsBlank="1" count="7">
        <s v="Echo"/>
        <m u="1"/>
        <s v="HALYARD" u="1"/>
        <s v="REDAX" u="1"/>
        <s v="METREX" u="1"/>
        <s v="SAGE" u="1"/>
        <s v="STERYLAB" u="1"/>
      </sharedItems>
    </cacheField>
    <cacheField name="DESTINO" numFmtId="0">
      <sharedItems containsBlank="1" count="3">
        <s v="Bodega Central Agrota"/>
        <m u="1"/>
        <s v="Bodega ECU" u="1"/>
      </sharedItems>
    </cacheField>
    <cacheField name="REFERENCIA" numFmtId="0">
      <sharedItems containsBlank="1" count="3">
        <s v="ECHO 165"/>
        <m u="1"/>
        <s v="Steryclean 5" u="1"/>
      </sharedItems>
    </cacheField>
    <cacheField name="FECHAARRIBO" numFmtId="14">
      <sharedItems containsSemiMixedTypes="0" containsNonDate="0" containsDate="1" containsString="0" minDate="1899-12-30T00:00:00" maxDate="1899-12-31T00:00:00" count="1">
        <d v="1899-12-30T00:00:00"/>
      </sharedItems>
    </cacheField>
    <cacheField name="COSTO" numFmtId="0">
      <sharedItems containsNonDate="0" containsString="0" containsBlank="1"/>
    </cacheField>
    <cacheField name="INVFIS" numFmtId="0">
      <sharedItems containsNonDate="0" containsString="0" containsBlank="1" containsNumber="1" containsInteger="1" minValue="0" maxValue="0" count="2">
        <m/>
        <n v="0" u="1"/>
      </sharedItems>
    </cacheField>
    <cacheField name="INVTRANS" numFmtId="0">
      <sharedItems containsNonDate="0" containsString="0" containsBlank="1"/>
    </cacheField>
    <cacheField name="INVPROY" numFmtId="0">
      <sharedItems containsNonDate="0" containsString="0" containsBlank="1" containsNumber="1" containsInteger="1" minValue="0" maxValue="0" count="2">
        <m/>
        <n v="0"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5">
  <r>
    <x v="0"/>
    <x v="0"/>
    <n v="140"/>
    <x v="0"/>
    <n v="93"/>
    <n v="141"/>
    <n v="93"/>
    <n v="46"/>
    <m/>
    <m/>
    <m/>
  </r>
  <r>
    <x v="0"/>
    <x v="0"/>
    <n v="140"/>
    <x v="1"/>
    <n v="93"/>
    <n v="141"/>
    <n v="93"/>
    <n v="46"/>
    <m/>
    <m/>
    <m/>
  </r>
  <r>
    <x v="0"/>
    <x v="0"/>
    <n v="140"/>
    <x v="2"/>
    <n v="93"/>
    <n v="141"/>
    <n v="93"/>
    <n v="46"/>
    <m/>
    <m/>
    <m/>
  </r>
  <r>
    <x v="0"/>
    <x v="0"/>
    <n v="140"/>
    <x v="3"/>
    <n v="93"/>
    <n v="141"/>
    <n v="93"/>
    <n v="46"/>
    <m/>
    <m/>
    <m/>
  </r>
  <r>
    <x v="0"/>
    <x v="0"/>
    <n v="140"/>
    <x v="4"/>
    <n v="93"/>
    <n v="141"/>
    <n v="93"/>
    <n v="46"/>
    <m/>
    <m/>
    <m/>
  </r>
  <r>
    <x v="0"/>
    <x v="0"/>
    <n v="140"/>
    <x v="5"/>
    <n v="93"/>
    <n v="141"/>
    <n v="93"/>
    <n v="46"/>
    <m/>
    <m/>
    <m/>
  </r>
  <r>
    <x v="0"/>
    <x v="0"/>
    <n v="140"/>
    <x v="6"/>
    <n v="93"/>
    <n v="158"/>
    <n v="93"/>
    <n v="46"/>
    <m/>
    <m/>
    <m/>
  </r>
  <r>
    <x v="0"/>
    <x v="0"/>
    <n v="140"/>
    <x v="7"/>
    <n v="90"/>
    <n v="155"/>
    <n v="93"/>
    <n v="46"/>
    <m/>
    <m/>
    <m/>
  </r>
  <r>
    <x v="0"/>
    <x v="0"/>
    <n v="140"/>
    <x v="8"/>
    <n v="90"/>
    <n v="155"/>
    <n v="93"/>
    <n v="46"/>
    <m/>
    <m/>
    <m/>
  </r>
  <r>
    <x v="0"/>
    <x v="0"/>
    <n v="140"/>
    <x v="9"/>
    <n v="90"/>
    <n v="155"/>
    <n v="93"/>
    <n v="46"/>
    <m/>
    <m/>
    <m/>
  </r>
  <r>
    <x v="0"/>
    <x v="0"/>
    <n v="140"/>
    <x v="10"/>
    <n v="87"/>
    <n v="152"/>
    <n v="93"/>
    <n v="46"/>
    <m/>
    <m/>
    <m/>
  </r>
  <r>
    <x v="0"/>
    <x v="0"/>
    <n v="140"/>
    <x v="11"/>
    <n v="87"/>
    <n v="104"/>
    <n v="93"/>
    <n v="46"/>
    <m/>
    <m/>
    <m/>
  </r>
  <r>
    <x v="0"/>
    <x v="0"/>
    <n v="140"/>
    <x v="12"/>
    <n v="117"/>
    <n v="117"/>
    <n v="93"/>
    <n v="46"/>
    <m/>
    <m/>
    <m/>
  </r>
  <r>
    <x v="0"/>
    <x v="0"/>
    <n v="140"/>
    <x v="13"/>
    <n v="117"/>
    <n v="117"/>
    <n v="93"/>
    <n v="46"/>
    <m/>
    <m/>
    <m/>
  </r>
  <r>
    <x v="0"/>
    <x v="0"/>
    <n v="140"/>
    <x v="14"/>
    <n v="117"/>
    <n v="117"/>
    <n v="93"/>
    <n v="46"/>
    <m/>
    <m/>
    <m/>
  </r>
  <r>
    <x v="0"/>
    <x v="0"/>
    <n v="140"/>
    <x v="15"/>
    <n v="117"/>
    <n v="117"/>
    <n v="93"/>
    <n v="46"/>
    <m/>
    <m/>
    <m/>
  </r>
  <r>
    <x v="0"/>
    <x v="0"/>
    <n v="140"/>
    <x v="16"/>
    <n v="112"/>
    <n v="112"/>
    <n v="93"/>
    <n v="46"/>
    <m/>
    <m/>
    <m/>
  </r>
  <r>
    <x v="0"/>
    <x v="0"/>
    <n v="140"/>
    <x v="17"/>
    <n v="101"/>
    <n v="101"/>
    <n v="93"/>
    <n v="46"/>
    <m/>
    <m/>
    <m/>
  </r>
  <r>
    <x v="0"/>
    <x v="0"/>
    <n v="140"/>
    <x v="18"/>
    <n v="95"/>
    <n v="95"/>
    <n v="93"/>
    <n v="46"/>
    <m/>
    <m/>
    <m/>
  </r>
  <r>
    <x v="0"/>
    <x v="0"/>
    <n v="140"/>
    <x v="19"/>
    <n v="94"/>
    <n v="94"/>
    <n v="93"/>
    <n v="46"/>
    <m/>
    <m/>
    <m/>
  </r>
  <r>
    <x v="0"/>
    <x v="0"/>
    <n v="140"/>
    <x v="20"/>
    <n v="94"/>
    <n v="94"/>
    <n v="93"/>
    <n v="46"/>
    <m/>
    <m/>
    <m/>
  </r>
  <r>
    <x v="0"/>
    <x v="0"/>
    <n v="140"/>
    <x v="21"/>
    <n v="93"/>
    <n v="93"/>
    <n v="93"/>
    <n v="46"/>
    <m/>
    <m/>
    <m/>
  </r>
  <r>
    <x v="0"/>
    <x v="0"/>
    <n v="140"/>
    <x v="22"/>
    <n v="74"/>
    <n v="74"/>
    <n v="93"/>
    <n v="46"/>
    <m/>
    <m/>
    <m/>
  </r>
  <r>
    <x v="0"/>
    <x v="0"/>
    <n v="140"/>
    <x v="23"/>
    <n v="74"/>
    <n v="91"/>
    <n v="93"/>
    <n v="46"/>
    <m/>
    <m/>
    <m/>
  </r>
  <r>
    <x v="0"/>
    <x v="0"/>
    <n v="140"/>
    <x v="24"/>
    <n v="74"/>
    <n v="91"/>
    <n v="93"/>
    <n v="46"/>
    <m/>
    <m/>
    <m/>
  </r>
  <r>
    <x v="0"/>
    <x v="0"/>
    <n v="140"/>
    <x v="25"/>
    <n v="72"/>
    <n v="89"/>
    <n v="93"/>
    <n v="46"/>
    <m/>
    <m/>
    <m/>
  </r>
  <r>
    <x v="0"/>
    <x v="0"/>
    <n v="140"/>
    <x v="26"/>
    <n v="69"/>
    <n v="86"/>
    <n v="93"/>
    <n v="46"/>
    <m/>
    <m/>
    <m/>
  </r>
  <r>
    <x v="0"/>
    <x v="0"/>
    <n v="140"/>
    <x v="27"/>
    <n v="69"/>
    <n v="86"/>
    <n v="93"/>
    <n v="46"/>
    <m/>
    <m/>
    <m/>
  </r>
  <r>
    <x v="0"/>
    <x v="0"/>
    <n v="140"/>
    <x v="28"/>
    <n v="69"/>
    <n v="86"/>
    <n v="93"/>
    <n v="46"/>
    <m/>
    <m/>
    <m/>
  </r>
  <r>
    <x v="0"/>
    <x v="0"/>
    <n v="140"/>
    <x v="29"/>
    <n v="68"/>
    <n v="85"/>
    <n v="93"/>
    <n v="46"/>
    <m/>
    <m/>
    <m/>
  </r>
  <r>
    <x v="0"/>
    <x v="0"/>
    <n v="140"/>
    <x v="30"/>
    <n v="68"/>
    <n v="85"/>
    <n v="93"/>
    <n v="46"/>
    <m/>
    <m/>
    <m/>
  </r>
  <r>
    <x v="0"/>
    <x v="0"/>
    <n v="140"/>
    <x v="31"/>
    <n v="68"/>
    <n v="85"/>
    <n v="93"/>
    <n v="46"/>
    <m/>
    <m/>
    <m/>
  </r>
  <r>
    <x v="0"/>
    <x v="0"/>
    <n v="140"/>
    <x v="32"/>
    <n v="68"/>
    <n v="85"/>
    <n v="93"/>
    <n v="46"/>
    <m/>
    <m/>
    <m/>
  </r>
  <r>
    <x v="0"/>
    <x v="0"/>
    <n v="140"/>
    <x v="33"/>
    <n v="68"/>
    <n v="85"/>
    <n v="93"/>
    <n v="46"/>
    <m/>
    <m/>
    <m/>
  </r>
  <r>
    <x v="0"/>
    <x v="0"/>
    <n v="140"/>
    <x v="34"/>
    <n v="68"/>
    <n v="85"/>
    <n v="93"/>
    <n v="46"/>
    <m/>
    <m/>
    <m/>
  </r>
  <r>
    <x v="0"/>
    <x v="0"/>
    <n v="140"/>
    <x v="35"/>
    <n v="68"/>
    <n v="85"/>
    <n v="93"/>
    <n v="46"/>
    <m/>
    <m/>
    <m/>
  </r>
  <r>
    <x v="0"/>
    <x v="0"/>
    <n v="140"/>
    <x v="36"/>
    <n v="68"/>
    <n v="85"/>
    <n v="93"/>
    <n v="46"/>
    <m/>
    <m/>
    <m/>
  </r>
  <r>
    <x v="0"/>
    <x v="0"/>
    <n v="140"/>
    <x v="37"/>
    <n v="68"/>
    <n v="85"/>
    <n v="93"/>
    <n v="46"/>
    <m/>
    <m/>
    <m/>
  </r>
  <r>
    <x v="0"/>
    <x v="0"/>
    <n v="140"/>
    <x v="38"/>
    <n v="68"/>
    <n v="85"/>
    <n v="93"/>
    <n v="46"/>
    <m/>
    <m/>
    <m/>
  </r>
  <r>
    <x v="0"/>
    <x v="0"/>
    <n v="140"/>
    <x v="39"/>
    <n v="68"/>
    <n v="85"/>
    <n v="93"/>
    <n v="46"/>
    <m/>
    <m/>
    <m/>
  </r>
  <r>
    <x v="0"/>
    <x v="0"/>
    <n v="140"/>
    <x v="40"/>
    <n v="68"/>
    <n v="85"/>
    <n v="93"/>
    <n v="46"/>
    <m/>
    <m/>
    <m/>
  </r>
  <r>
    <x v="0"/>
    <x v="0"/>
    <n v="140"/>
    <x v="41"/>
    <n v="9"/>
    <n v="26"/>
    <n v="93"/>
    <n v="46"/>
    <m/>
    <m/>
    <m/>
  </r>
  <r>
    <x v="0"/>
    <x v="0"/>
    <n v="140"/>
    <x v="42"/>
    <n v="9"/>
    <n v="26"/>
    <n v="93"/>
    <n v="46"/>
    <m/>
    <m/>
    <m/>
  </r>
  <r>
    <x v="0"/>
    <x v="0"/>
    <n v="140"/>
    <x v="43"/>
    <n v="8"/>
    <n v="25"/>
    <n v="93"/>
    <n v="46"/>
    <m/>
    <m/>
    <m/>
  </r>
  <r>
    <x v="0"/>
    <x v="0"/>
    <n v="140"/>
    <x v="44"/>
    <n v="8"/>
    <n v="25"/>
    <n v="93"/>
    <n v="46"/>
    <m/>
    <m/>
    <m/>
  </r>
</pivotCacheRecords>
</file>

<file path=xl/pivotCache/pivotCacheRecords2.xml><?xml version="1.0" encoding="utf-8"?>
<pivotCacheRecords xmlns="http://schemas.openxmlformats.org/spreadsheetml/2006/main" xmlns:r="http://schemas.openxmlformats.org/officeDocument/2006/relationships" count="7">
  <r>
    <x v="0"/>
    <x v="0"/>
    <x v="0"/>
    <n v="46"/>
    <n v="0"/>
    <n v="0"/>
  </r>
  <r>
    <x v="0"/>
    <x v="0"/>
    <x v="1"/>
    <n v="23"/>
    <n v="0"/>
    <n v="0"/>
  </r>
  <r>
    <x v="0"/>
    <x v="0"/>
    <x v="2"/>
    <n v="28"/>
    <n v="0"/>
    <n v="0"/>
  </r>
  <r>
    <x v="0"/>
    <x v="0"/>
    <x v="3"/>
    <n v="54"/>
    <n v="0"/>
    <n v="0"/>
  </r>
  <r>
    <x v="0"/>
    <x v="0"/>
    <x v="4"/>
    <n v="33"/>
    <n v="0"/>
    <n v="0"/>
  </r>
  <r>
    <x v="0"/>
    <x v="0"/>
    <x v="5"/>
    <n v="68"/>
    <n v="0"/>
    <n v="0"/>
  </r>
  <r>
    <x v="0"/>
    <x v="0"/>
    <x v="6"/>
    <n v="17"/>
    <n v="0"/>
    <n v="0"/>
  </r>
</pivotCacheRecords>
</file>

<file path=xl/pivotCache/pivotCacheRecords3.xml><?xml version="1.0" encoding="utf-8"?>
<pivotCacheRecords xmlns="http://schemas.openxmlformats.org/spreadsheetml/2006/main" xmlns:r="http://schemas.openxmlformats.org/officeDocument/2006/relationships" count="1">
  <r>
    <x v="0"/>
    <x v="0"/>
    <x v="0"/>
    <x v="0"/>
    <x v="0"/>
    <x v="0"/>
    <x v="0"/>
    <x v="0"/>
    <x v="0"/>
    <x v="0"/>
    <m/>
    <x v="0"/>
    <m/>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name="TD_ReporteTransitoDetallado" cacheId="49" applyNumberFormats="0" applyBorderFormats="0" applyFontFormats="0" applyPatternFormats="0" applyAlignmentFormats="0" applyWidthHeightFormats="1" dataCaption="Valores" updatedVersion="5" minRefreshableVersion="3" showCalcMbrs="0" showDrill="0" useAutoFormatting="1" rowGrandTotals="0" colGrandTotals="0" itemPrintTitles="1" createdVersion="3" indent="0" compact="0" compactData="0" multipleFieldFilters="0">
  <location ref="A6:J10" firstHeaderRow="1" firstDataRow="4" firstDataCol="7" rowPageCount="2" colPageCount="1"/>
  <pivotFields count="14">
    <pivotField axis="axisCol" compact="0" outline="0" showAll="0" defaultSubtotal="0">
      <items count="12">
        <item m="1" x="6"/>
        <item m="1" x="11"/>
        <item m="1" x="9"/>
        <item m="1" x="4"/>
        <item m="1" x="10"/>
        <item m="1" x="1"/>
        <item m="1" x="5"/>
        <item m="1" x="7"/>
        <item m="1" x="3"/>
        <item m="1" x="8"/>
        <item m="1" x="2"/>
        <item x="0"/>
      </items>
    </pivotField>
    <pivotField axis="axisRow" compact="0" outline="0" showAll="0" sortType="ascending" defaultSubtotal="0">
      <items count="18">
        <item m="1" x="14"/>
        <item x="0"/>
        <item m="1" x="12"/>
        <item m="1" x="8"/>
        <item m="1" x="11"/>
        <item m="1" x="1"/>
        <item m="1" x="9"/>
        <item m="1" x="15"/>
        <item m="1" x="10"/>
        <item m="1" x="7"/>
        <item m="1" x="3"/>
        <item m="1" x="5"/>
        <item m="1" x="6"/>
        <item m="1" x="4"/>
        <item m="1" x="16"/>
        <item m="1" x="17"/>
        <item m="1" x="13"/>
        <item m="1" x="2"/>
      </items>
      <extLst>
        <ext xmlns:x14="http://schemas.microsoft.com/office/spreadsheetml/2009/9/main" uri="{2946ED86-A175-432a-8AC1-64E0C546D7DE}">
          <x14:pivotField fillDownLabels="1"/>
        </ext>
      </extLst>
    </pivotField>
    <pivotField axis="axisRow" compact="0" outline="0" showAll="0" defaultSubtotal="0">
      <items count="18">
        <item m="1" x="9"/>
        <item m="1" x="3"/>
        <item m="1" x="1"/>
        <item m="1" x="2"/>
        <item x="0"/>
        <item m="1" x="11"/>
        <item m="1" x="14"/>
        <item m="1" x="12"/>
        <item m="1" x="17"/>
        <item m="1" x="4"/>
        <item m="1" x="15"/>
        <item m="1" x="16"/>
        <item m="1" x="8"/>
        <item m="1" x="6"/>
        <item m="1" x="7"/>
        <item m="1" x="5"/>
        <item m="1" x="10"/>
        <item m="1" x="13"/>
      </items>
      <extLst>
        <ext xmlns:x14="http://schemas.microsoft.com/office/spreadsheetml/2009/9/main" uri="{2946ED86-A175-432a-8AC1-64E0C546D7DE}">
          <x14:pivotField fillDownLabels="1"/>
        </ext>
      </extLst>
    </pivotField>
    <pivotField axis="axisRow" compact="0" outline="0" showAll="0" defaultSubtotal="0">
      <items count="4">
        <item m="1" x="1"/>
        <item m="1" x="3"/>
        <item m="1" x="2"/>
        <item x="0"/>
      </items>
      <extLst>
        <ext xmlns:x14="http://schemas.microsoft.com/office/spreadsheetml/2009/9/main" uri="{2946ED86-A175-432a-8AC1-64E0C546D7DE}">
          <x14:pivotField fillDownLabels="1"/>
        </ext>
      </extLst>
    </pivotField>
    <pivotField axis="axisRow" compact="0" outline="0" showAll="0" defaultSubtotal="0">
      <items count="2">
        <item m="1" x="1"/>
        <item x="0"/>
      </items>
      <extLst>
        <ext xmlns:x14="http://schemas.microsoft.com/office/spreadsheetml/2009/9/main" uri="{2946ED86-A175-432a-8AC1-64E0C546D7DE}">
          <x14:pivotField fillDownLabels="1"/>
        </ext>
      </extLst>
    </pivotField>
    <pivotField axis="axisRow" dataField="1" compact="0" outline="0" showAll="0" defaultSubtotal="0">
      <items count="14">
        <item m="1" x="1"/>
        <item m="1" x="12"/>
        <item m="1" x="11"/>
        <item m="1" x="9"/>
        <item m="1" x="3"/>
        <item m="1" x="4"/>
        <item m="1" x="6"/>
        <item m="1" x="13"/>
        <item m="1" x="7"/>
        <item m="1" x="5"/>
        <item m="1" x="8"/>
        <item m="1" x="2"/>
        <item m="1" x="10"/>
        <item x="0"/>
      </items>
    </pivotField>
    <pivotField axis="axisPage" compact="0" outline="0" showAll="0" defaultSubtotal="0">
      <items count="7">
        <item m="1" x="6"/>
        <item m="1" x="1"/>
        <item x="0"/>
        <item m="1" x="3"/>
        <item m="1" x="5"/>
        <item m="1" x="4"/>
        <item m="1" x="2"/>
      </items>
    </pivotField>
    <pivotField axis="axisPage" compact="0" outline="0" showAll="0" defaultSubtotal="0">
      <items count="3">
        <item m="1" x="2"/>
        <item m="1" x="1"/>
        <item x="0"/>
      </items>
    </pivotField>
    <pivotField axis="axisCol" compact="0" outline="0" showAll="0" defaultSubtotal="0">
      <items count="3">
        <item m="1" x="1"/>
        <item m="1" x="2"/>
        <item x="0"/>
      </items>
    </pivotField>
    <pivotField axis="axisCol" compact="0" numFmtId="14" outline="0" showAll="0" defaultSubtotal="0">
      <items count="1">
        <item x="0"/>
      </items>
    </pivotField>
    <pivotField compact="0" outline="0" showAll="0" defaultSubtotal="0"/>
    <pivotField axis="axisRow" compact="0" outline="0" showAll="0" defaultSubtotal="0">
      <items count="2">
        <item m="1" x="1"/>
        <item x="0"/>
      </items>
    </pivotField>
    <pivotField compact="0" outline="0" showAll="0" defaultSubtotal="0"/>
    <pivotField axis="axisRow" compact="0" outline="0" showAll="0" defaultSubtotal="0">
      <items count="2">
        <item m="1" x="1"/>
        <item x="0"/>
      </items>
    </pivotField>
  </pivotFields>
  <rowFields count="7">
    <field x="1"/>
    <field x="2"/>
    <field x="3"/>
    <field x="4"/>
    <field x="11"/>
    <field x="5"/>
    <field x="13"/>
  </rowFields>
  <rowItems count="1">
    <i>
      <x v="1"/>
      <x v="4"/>
      <x v="3"/>
      <x v="1"/>
      <x v="1"/>
      <x v="13"/>
      <x v="1"/>
    </i>
  </rowItems>
  <colFields count="3">
    <field x="8"/>
    <field x="0"/>
    <field x="9"/>
  </colFields>
  <colItems count="1">
    <i>
      <x v="2"/>
      <x v="11"/>
      <x/>
    </i>
  </colItems>
  <pageFields count="2">
    <pageField fld="6" hier="-1"/>
    <pageField fld="7" hier="-1"/>
  </pageFields>
  <dataFields count="1">
    <dataField name="Suma de TRANSITO" fld="5" baseField="0" baseItem="0"/>
  </dataFields>
  <formats count="8">
    <format dxfId="239">
      <pivotArea dataOnly="0" labelOnly="1" outline="0" fieldPosition="0">
        <references count="1">
          <reference field="8" count="0"/>
        </references>
      </pivotArea>
    </format>
    <format dxfId="238">
      <pivotArea dataOnly="0" labelOnly="1" outline="0" fieldPosition="0">
        <references count="1">
          <reference field="0" count="0"/>
        </references>
      </pivotArea>
    </format>
    <format dxfId="237">
      <pivotArea dataOnly="0" labelOnly="1" outline="0" fieldPosition="0">
        <references count="1">
          <reference field="9" count="0"/>
        </references>
      </pivotArea>
    </format>
    <format dxfId="236">
      <pivotArea outline="0" collapsedLevelsAreSubtotals="1" fieldPosition="0"/>
    </format>
    <format dxfId="235">
      <pivotArea field="11" type="button" dataOnly="0" labelOnly="1" outline="0" axis="axisRow" fieldPosition="4"/>
    </format>
    <format dxfId="234">
      <pivotArea field="5" type="button" dataOnly="0" labelOnly="1" outline="0" axis="axisRow" fieldPosition="5"/>
    </format>
    <format dxfId="233">
      <pivotArea field="13" type="button" dataOnly="0" labelOnly="1" outline="0" axis="axisRow" fieldPosition="6"/>
    </format>
    <format dxfId="232">
      <pivotArea dataOnly="0" labelOnly="1" outline="0" fieldPosition="0">
        <references count="4">
          <reference field="1" count="0" selected="0"/>
          <reference field="2" count="0" selected="0"/>
          <reference field="3" count="0" selected="0"/>
          <reference field="4" count="0"/>
        </references>
      </pivotArea>
    </format>
  </formats>
  <pivotTableStyleInfo name="PivotStyleMedium9" showRowHeaders="1" showColHeaders="1" showRowStripes="1" showColStripes="0" showLastColumn="1"/>
</pivotTableDefinition>
</file>

<file path=xl/pivotTables/pivotTable2.xml><?xml version="1.0" encoding="utf-8"?>
<pivotTableDefinition xmlns="http://schemas.openxmlformats.org/spreadsheetml/2006/main" name="TD_Evolucion_Buffers" cacheId="46" applyNumberFormats="0" applyBorderFormats="0" applyFontFormats="0" applyPatternFormats="0" applyAlignmentFormats="0" applyWidthHeightFormats="1" dataCaption="Valores" updatedVersion="5" minRefreshableVersion="3" useAutoFormatting="1" itemPrintTitles="1" createdVersion="5" indent="0" outline="1" outlineData="1" chartFormat="17" fieldListSortAscending="1">
  <location ref="AS6:AT6" firstHeaderRow="0" firstDataRow="1" firstDataCol="1" rowPageCount="4" colPageCount="1"/>
  <pivotFields count="16">
    <pivotField showAll="0"/>
    <pivotField showAll="0"/>
    <pivotField showAll="0"/>
    <pivotField axis="axisPage" showAll="0">
      <items count="3">
        <item m="1" x="1"/>
        <item m="1" x="0"/>
        <item t="default"/>
      </items>
    </pivotField>
    <pivotField axis="axisPage" showAll="0">
      <items count="3230">
        <item m="1" x="1883"/>
        <item m="1" x="202"/>
        <item m="1" x="1390"/>
        <item m="1" x="2612"/>
        <item m="1" x="2628"/>
        <item m="1" x="2279"/>
        <item m="1" x="1995"/>
        <item m="1" x="1733"/>
        <item m="1" x="1737"/>
        <item m="1" x="1451"/>
        <item m="1" x="1455"/>
        <item m="1" x="1471"/>
        <item m="1" x="1184"/>
        <item m="1" x="2344"/>
        <item m="1" x="1795"/>
        <item m="1" x="1798"/>
        <item m="1" x="2289"/>
        <item m="1" x="935"/>
        <item m="1" x="333"/>
        <item m="1" x="338"/>
        <item m="1" x="340"/>
        <item m="1" x="342"/>
        <item m="1" x="349"/>
        <item m="1" x="353"/>
        <item m="1" x="356"/>
        <item m="1" x="359"/>
        <item m="1" x="31"/>
        <item m="1" x="33"/>
        <item m="1" x="2994"/>
        <item m="1" x="3001"/>
        <item m="1" x="3035"/>
        <item m="1" x="3038"/>
        <item m="1" x="1316"/>
        <item m="1" x="463"/>
        <item m="1" x="176"/>
        <item m="1" x="177"/>
        <item m="1" x="182"/>
        <item m="1" x="193"/>
        <item m="1" x="3067"/>
        <item m="1" x="1097"/>
        <item m="1" x="1099"/>
        <item m="1" x="1102"/>
        <item m="1" x="1336"/>
        <item m="1" x="1343"/>
        <item m="1" x="3127"/>
        <item m="1" x="3130"/>
        <item m="1" x="1303"/>
        <item m="1" x="2461"/>
        <item m="1" x="1989"/>
        <item m="1" x="2135"/>
        <item m="1" x="2797"/>
        <item m="1" x="1359"/>
        <item m="1" x="1052"/>
        <item m="1" x="2806"/>
        <item m="1" x="85"/>
        <item m="1" x="2053"/>
        <item m="1" x="2085"/>
        <item m="1" x="103"/>
        <item m="1" x="48"/>
        <item m="1" x="718"/>
        <item m="1" x="2913"/>
        <item m="1" x="449"/>
        <item m="1" x="2800"/>
        <item m="1" x="621"/>
        <item m="1" x="3142"/>
        <item m="1" x="3042"/>
        <item m="1" x="1513"/>
        <item m="1" x="1736"/>
        <item m="1" x="856"/>
        <item m="1" x="1579"/>
        <item m="1" x="2417"/>
        <item m="1" x="2960"/>
        <item m="1" x="1014"/>
        <item m="1" x="2225"/>
        <item m="1" x="2055"/>
        <item m="1" x="1061"/>
        <item m="1" x="906"/>
        <item m="1" x="1217"/>
        <item m="1" x="102"/>
        <item m="1" x="714"/>
        <item m="1" x="2768"/>
        <item m="1" x="305"/>
        <item m="1" x="1594"/>
        <item m="1" x="2147"/>
        <item m="1" x="2688"/>
        <item m="1" x="3223"/>
        <item m="1" x="1927"/>
        <item m="1" x="926"/>
        <item m="1" x="1393"/>
        <item m="1" x="3221"/>
        <item m="1" x="2976"/>
        <item m="1" x="2885"/>
        <item m="1" x="2802"/>
        <item m="1" x="2019"/>
        <item m="1" x="456"/>
        <item m="1" x="1140"/>
        <item m="1" x="2500"/>
        <item m="1" x="2522"/>
        <item m="1" x="1454"/>
        <item m="1" x="2025"/>
        <item m="1" x="2497"/>
        <item m="1" x="970"/>
        <item m="1" x="2383"/>
        <item m="1" x="1422"/>
        <item m="1" x="1694"/>
        <item m="1" x="2832"/>
        <item m="1" x="1129"/>
        <item m="1" x="539"/>
        <item m="1" x="666"/>
        <item m="1" x="1122"/>
        <item m="1" x="500"/>
        <item m="1" x="765"/>
        <item m="1" x="1317"/>
        <item m="1" x="2185"/>
        <item m="1" x="83"/>
        <item m="1" x="397"/>
        <item m="1" x="2669"/>
        <item m="1" x="303"/>
        <item m="1" x="2301"/>
        <item m="1" x="1774"/>
        <item m="1" x="2169"/>
        <item m="1" x="2848"/>
        <item m="1" x="2704"/>
        <item m="1" x="20"/>
        <item m="1" x="3164"/>
        <item m="1" x="762"/>
        <item m="1" x="1048"/>
        <item m="1" x="3205"/>
        <item m="1" x="2668"/>
        <item m="1" x="1906"/>
        <item m="1" x="2772"/>
        <item m="1" x="2315"/>
        <item m="1" x="2516"/>
        <item m="1" x="2000"/>
        <item m="1" x="1192"/>
        <item m="1" x="2875"/>
        <item m="1" x="2103"/>
        <item m="1" x="2723"/>
        <item m="1" x="1247"/>
        <item m="1" x="1617"/>
        <item m="1" x="1652"/>
        <item m="1" x="1226"/>
        <item m="1" x="3149"/>
        <item m="1" x="816"/>
        <item m="1" x="628"/>
        <item m="1" x="1932"/>
        <item m="1" x="1833"/>
        <item m="1" x="2574"/>
        <item m="1" x="1349"/>
        <item m="1" x="2456"/>
        <item m="1" x="1142"/>
        <item m="1" x="614"/>
        <item m="1" x="1558"/>
        <item m="1" x="2190"/>
        <item m="1" x="252"/>
        <item m="1" x="2430"/>
        <item m="1" x="1504"/>
        <item m="1" x="767"/>
        <item m="1" x="3046"/>
        <item m="1" x="1631"/>
        <item m="1" x="1512"/>
        <item m="1" x="1434"/>
        <item m="1" x="2713"/>
        <item m="1" x="2129"/>
        <item m="1" x="1859"/>
        <item m="1" x="2381"/>
        <item m="1" x="2073"/>
        <item m="1" x="1542"/>
        <item m="1" x="1277"/>
        <item m="1" x="684"/>
        <item m="1" x="432"/>
        <item m="1" x="144"/>
        <item m="1" x="3014"/>
        <item m="1" x="2445"/>
        <item m="1" x="1610"/>
        <item m="1" x="1613"/>
        <item m="1" x="1335"/>
        <item m="1" x="2809"/>
        <item m="1" x="2811"/>
        <item m="1" x="2814"/>
        <item m="1" x="2819"/>
        <item m="1" x="2518"/>
        <item m="1" x="2526"/>
        <item m="1" x="2755"/>
        <item m="1" x="2180"/>
        <item m="1" x="2182"/>
        <item m="1" x="2186"/>
        <item m="1" x="2188"/>
        <item m="1" x="180"/>
        <item m="1" x="2540"/>
        <item m="1" x="2548"/>
        <item m="1" x="2249"/>
        <item m="1" x="1444"/>
        <item m="1" x="1934"/>
        <item m="1" x="1105"/>
        <item m="1" x="542"/>
        <item m="1" x="546"/>
        <item m="1" x="2895"/>
        <item m="1" x="2899"/>
        <item m="1" x="2907"/>
        <item m="1" x="3152"/>
        <item m="1" x="2573"/>
        <item m="1" x="2007"/>
        <item m="1" x="1467"/>
        <item m="1" x="1469"/>
        <item m="1" x="1195"/>
        <item m="1" x="1139"/>
        <item m="1" x="831"/>
        <item m="1" x="564"/>
        <item m="1" x="284"/>
        <item m="1" x="2308"/>
        <item m="1" x="1749"/>
        <item m="1" x="347"/>
        <item m="1" x="953"/>
        <item m="1" x="1323"/>
        <item m="1" x="723"/>
        <item m="1" x="737"/>
        <item m="1" x="458"/>
        <item m="1" x="3060"/>
        <item m="1" x="2793"/>
        <item m="1" x="1939"/>
        <item m="1" x="490"/>
        <item m="1" x="496"/>
        <item m="1" x="1000"/>
        <item m="1" x="405"/>
        <item m="1" x="1012"/>
        <item m="1" x="2887"/>
        <item m="1" x="68"/>
        <item m="1" x="196"/>
        <item m="1" x="1466"/>
        <item m="1" x="918"/>
        <item m="1" x="2100"/>
        <item m="1" x="2598"/>
        <item m="1" x="1427"/>
        <item m="1" x="2698"/>
        <item m="1" x="2355"/>
        <item m="1" x="2541"/>
        <item m="1" x="3217"/>
        <item m="1" x="2560"/>
        <item m="1" x="1107"/>
        <item m="1" x="777"/>
        <item m="1" x="710"/>
        <item m="1" x="188"/>
        <item m="1" x="229"/>
        <item m="1" x="773"/>
        <item m="1" x="2910"/>
        <item m="1" x="2038"/>
        <item m="1" x="2544"/>
        <item m="1" x="25"/>
        <item m="1" x="2345"/>
        <item m="1" x="1604"/>
        <item m="1" x="2662"/>
        <item m="1" x="1901"/>
        <item m="1" x="787"/>
        <item m="1" x="706"/>
        <item m="1" x="2674"/>
        <item m="1" x="674"/>
        <item m="1" x="2125"/>
        <item m="1" x="2524"/>
        <item m="1" x="15"/>
        <item m="1" x="1245"/>
        <item m="1" x="2385"/>
        <item m="1" x="1861"/>
        <item m="1" x="796"/>
        <item m="1" x="750"/>
        <item m="1" x="1960"/>
        <item m="1" x="2904"/>
        <item m="1" x="2604"/>
        <item m="1" x="1461"/>
        <item m="1" x="1847"/>
        <item m="1" x="1991"/>
        <item m="1" x="3100"/>
        <item m="1" x="844"/>
        <item m="1" x="283"/>
        <item m="1" x="2288"/>
        <item m="1" x="2585"/>
        <item m="1" x="2892"/>
        <item m="1" x="2230"/>
        <item m="1" x="2065"/>
        <item m="1" x="308"/>
        <item m="1" x="1725"/>
        <item m="1" x="2863"/>
        <item m="1" x="78"/>
        <item m="1" x="3015"/>
        <item m="1" x="744"/>
        <item m="1" x="2624"/>
        <item m="1" x="535"/>
        <item m="1" x="2949"/>
        <item m="1" x="441"/>
        <item m="1" x="300"/>
        <item m="1" x="1680"/>
        <item m="1" x="813"/>
        <item m="1" x="1379"/>
        <item m="1" x="367"/>
        <item m="1" x="1675"/>
        <item m="1" x="3155"/>
        <item m="1" x="2319"/>
        <item m="1" x="3022"/>
        <item m="1" x="2557"/>
        <item m="1" x="211"/>
        <item m="1" x="779"/>
        <item m="1" x="1163"/>
        <item m="1" x="1485"/>
        <item m="1" x="1224"/>
        <item m="1" x="1007"/>
        <item m="1" x="1678"/>
        <item m="1" x="2410"/>
        <item m="1" x="2313"/>
        <item m="1" x="1511"/>
        <item m="1" x="1355"/>
        <item m="1" x="1395"/>
        <item m="1" x="2638"/>
        <item m="1" x="1951"/>
        <item m="1" x="968"/>
        <item m="1" x="1663"/>
        <item m="1" x="1112"/>
        <item m="1" x="1712"/>
        <item m="1" x="2277"/>
        <item m="1" x="910"/>
        <item m="1" x="2192"/>
        <item m="1" x="2236"/>
        <item m="1" x="2775"/>
        <item m="1" x="2754"/>
        <item m="1" x="1790"/>
        <item m="1" x="862"/>
        <item m="1" x="1780"/>
        <item m="1" x="1004"/>
        <item m="1" x="1685"/>
        <item m="1" x="2034"/>
        <item m="1" x="1496"/>
        <item m="1" x="3151"/>
        <item m="1" x="2275"/>
        <item m="1" x="2151"/>
        <item m="1" x="1464"/>
        <item m="1" x="735"/>
        <item m="1" x="263"/>
        <item m="1" x="2446"/>
        <item m="1" x="228"/>
        <item m="1" x="1158"/>
        <item m="1" x="858"/>
        <item m="1" x="959"/>
        <item m="1" x="2448"/>
        <item m="1" x="875"/>
        <item m="1" x="172"/>
        <item m="1" x="143"/>
        <item m="1" x="2108"/>
        <item m="1" x="2897"/>
        <item m="1" x="265"/>
        <item m="1" x="94"/>
        <item m="1" x="1133"/>
        <item m="1" x="2426"/>
        <item m="1" x="2070"/>
        <item m="1" x="2570"/>
        <item m="1" x="2224"/>
        <item m="1" x="1843"/>
        <item m="1" x="2567"/>
        <item m="1" x="987"/>
        <item m="1" x="1443"/>
        <item m="1" x="3200"/>
        <item m="1" x="662"/>
        <item m="1" x="1218"/>
        <item m="1" x="879"/>
        <item m="1" x="1772"/>
        <item m="1" x="2403"/>
        <item m="1" x="1560"/>
        <item m="1" x="1963"/>
        <item m="1" x="1276"/>
        <item m="1" x="1961"/>
        <item m="1" x="374"/>
        <item m="1" x="2538"/>
        <item m="1" x="2083"/>
        <item m="1" x="130"/>
        <item m="1" x="1297"/>
        <item m="1" x="1216"/>
        <item m="1" x="2842"/>
        <item m="1" x="2032"/>
        <item m="1" x="213"/>
        <item m="1" x="1600"/>
        <item m="1" x="2678"/>
        <item m="1" x="2440"/>
        <item m="1" x="246"/>
        <item m="1" x="1569"/>
        <item m="1" x="450"/>
        <item m="1" x="1531"/>
        <item m="1" x="131"/>
        <item m="1" x="1556"/>
        <item m="1" x="42"/>
        <item m="1" x="2689"/>
        <item m="1" x="1179"/>
        <item m="1" x="1917"/>
        <item m="1" x="1286"/>
        <item m="1" x="2046"/>
        <item m="1" x="38"/>
        <item m="1" x="2795"/>
        <item m="1" x="1904"/>
        <item m="1" x="2165"/>
        <item m="1" x="2233"/>
        <item m="1" x="2905"/>
        <item m="1" x="269"/>
        <item m="1" x="2240"/>
        <item m="1" x="2028"/>
        <item m="1" x="691"/>
        <item m="1" x="868"/>
        <item m="1" x="873"/>
        <item m="1" x="1584"/>
        <item m="1" x="1483"/>
        <item m="1" x="1521"/>
        <item m="1" x="2069"/>
        <item m="1" x="907"/>
        <item m="1" x="2167"/>
        <item m="1" x="483"/>
        <item m="1" x="2837"/>
        <item m="1" x="880"/>
        <item m="1" x="2675"/>
        <item m="1" x="2347"/>
        <item m="1" x="592"/>
        <item m="1" x="1689"/>
        <item m="1" x="923"/>
        <item m="1" x="3115"/>
        <item m="1" x="278"/>
        <item m="1" x="1307"/>
        <item m="1" x="90"/>
        <item m="1" x="277"/>
        <item m="1" x="224"/>
        <item m="1" x="2237"/>
        <item m="1" x="1976"/>
        <item m="1" x="720"/>
        <item m="1" x="10"/>
        <item m="1" x="2241"/>
        <item m="1" x="2709"/>
        <item m="1" x="543"/>
        <item m="1" x="18"/>
        <item m="1" x="2183"/>
        <item m="1" x="183"/>
        <item m="1" x="1719"/>
        <item m="1" x="1250"/>
        <item m="1" x="2464"/>
        <item m="1" x="951"/>
        <item m="1" x="371"/>
        <item m="1" x="3096"/>
        <item m="1" x="1857"/>
        <item m="1" x="1391"/>
        <item m="1" x="323"/>
        <item m="1" x="1447"/>
        <item m="1" x="962"/>
        <item m="1" x="2615"/>
        <item m="1" x="1563"/>
        <item m="1" x="1086"/>
        <item m="1" x="526"/>
        <item m="1" x="383"/>
        <item m="1" x="1098"/>
        <item m="1" x="538"/>
        <item m="1" x="14"/>
        <item m="1" x="1767"/>
        <item m="1" x="1229"/>
        <item m="1" x="2886"/>
        <item m="1" x="2302"/>
        <item m="1" x="1839"/>
        <item m="1" x="1365"/>
        <item m="1" x="870"/>
        <item m="1" x="1962"/>
        <item m="1" x="1418"/>
        <item m="1" x="934"/>
        <item m="1" x="3084"/>
        <item m="1" x="1533"/>
        <item m="1" x="860"/>
        <item m="1" x="365"/>
        <item m="1" x="1543"/>
        <item m="1" x="579"/>
        <item m="1" x="1747"/>
        <item m="1" x="1752"/>
        <item m="1" x="1094"/>
        <item m="1" x="1186"/>
        <item m="1" x="1339"/>
        <item m="1" x="1419"/>
        <item m="1" x="1423"/>
        <item m="1" x="884"/>
        <item m="1" x="974"/>
        <item m="1" x="1128"/>
        <item m="1" x="1135"/>
        <item m="1" x="1225"/>
        <item m="1" x="630"/>
        <item m="1" x="693"/>
        <item m="1" x="79"/>
        <item m="1" x="2596"/>
        <item m="1" x="2677"/>
        <item m="1" x="2762"/>
        <item m="1" x="2767"/>
        <item m="1" x="2850"/>
        <item m="1" x="2940"/>
        <item m="1" x="2946"/>
        <item m="1" x="3011"/>
        <item m="1" x="3088"/>
        <item m="1" x="2554"/>
        <item m="1" x="2564"/>
        <item m="1" x="2641"/>
        <item m="1" x="2725"/>
        <item m="1" x="2116"/>
        <item m="1" x="2121"/>
        <item m="1" x="2203"/>
        <item m="1" x="2276"/>
        <item m="1" x="1693"/>
        <item m="1" x="1849"/>
        <item m="1" x="683"/>
        <item m="1" x="949"/>
        <item m="1" x="1244"/>
        <item m="1" x="1042"/>
        <item m="1" x="1115"/>
        <item m="1" x="1205"/>
        <item m="1" x="1582"/>
        <item m="1" x="1756"/>
        <item m="1" x="1835"/>
        <item m="1" x="1903"/>
        <item m="1" x="1911"/>
        <item m="1" x="1988"/>
        <item m="1" x="2050"/>
        <item m="1" x="1479"/>
        <item m="1" x="1546"/>
        <item m="1" x="1624"/>
        <item m="1" x="1630"/>
        <item m="1" x="1710"/>
        <item m="1" x="1716"/>
        <item m="1" x="1141"/>
        <item m="1" x="1232"/>
        <item m="1" x="1235"/>
        <item m="1" x="1306"/>
        <item m="1" x="755"/>
        <item m="1" x="760"/>
        <item m="1" x="853"/>
        <item m="1" x="942"/>
        <item m="1" x="948"/>
        <item m="1" x="786"/>
        <item m="1" x="161"/>
        <item m="1" x="3021"/>
        <item m="1" x="497"/>
        <item m="1" x="2088"/>
        <item m="1" x="2790"/>
        <item m="1" x="1682"/>
        <item m="1" x="499"/>
        <item m="1" x="1063"/>
        <item m="1" x="2483"/>
        <item m="1" x="3220"/>
        <item m="1" x="1828"/>
        <item m="1" x="3193"/>
        <item m="1" x="1072"/>
        <item m="1" x="2348"/>
        <item m="1" x="2042"/>
        <item m="1" x="2335"/>
        <item m="1" x="1258"/>
        <item m="1" x="2107"/>
        <item m="1" x="2074"/>
        <item m="1" x="1683"/>
        <item m="1" x="439"/>
        <item m="1" x="595"/>
        <item m="1" x="299"/>
        <item m="1" x="1578"/>
        <item m="1" x="825"/>
        <item m="1" x="996"/>
        <item m="1" x="1757"/>
        <item m="1" x="1860"/>
        <item m="1" x="1706"/>
        <item m="1" x="2059"/>
        <item m="1" x="1731"/>
        <item m="1" x="2082"/>
        <item m="1" x="2496"/>
        <item m="1" x="2825"/>
        <item m="1" x="82"/>
        <item m="1" x="2017"/>
        <item m="1" x="1138"/>
        <item m="1" x="352"/>
        <item m="1" x="707"/>
        <item m="1" x="2254"/>
        <item m="1" x="3188"/>
        <item m="1" x="1777"/>
        <item m="1" x="998"/>
        <item m="1" x="2931"/>
        <item m="1" x="2111"/>
        <item m="1" x="1287"/>
        <item m="1" x="616"/>
        <item m="1" x="494"/>
        <item m="1" x="1265"/>
        <item m="1" x="1426"/>
        <item m="1" x="2156"/>
        <item m="1" x="394"/>
        <item m="1" x="835"/>
        <item m="1" x="1742"/>
        <item m="1" x="2382"/>
        <item m="1" x="2064"/>
        <item m="1" x="1441"/>
        <item m="1" x="1071"/>
        <item m="1" x="3092"/>
        <item m="1" x="2562"/>
        <item m="1" x="2909"/>
        <item m="1" x="893"/>
        <item m="1" x="380"/>
        <item m="1" x="1212"/>
        <item m="1" x="1490"/>
        <item m="1" x="40"/>
        <item m="1" x="2926"/>
        <item m="1" x="1468"/>
        <item m="1" x="1446"/>
        <item m="1" x="961"/>
        <item m="1" x="963"/>
        <item m="1" x="1667"/>
        <item m="1" x="618"/>
        <item m="1" x="2353"/>
        <item m="1" x="118"/>
        <item m="1" x="2048"/>
        <item m="1" x="3185"/>
        <item m="1" x="1477"/>
        <item m="1" x="2174"/>
        <item m="1" x="2815"/>
        <item m="1" x="343"/>
        <item m="1" x="2630"/>
        <item m="1" x="1746"/>
        <item m="1" x="64"/>
        <item m="1" x="1950"/>
        <item m="1" x="3012"/>
        <item m="1" x="1794"/>
        <item m="1" x="2499"/>
        <item m="1" x="864"/>
        <item m="1" x="1850"/>
        <item m="1" x="1783"/>
        <item m="1" x="1363"/>
        <item m="1" x="1720"/>
        <item m="1" x="3136"/>
        <item m="1" x="1066"/>
        <item m="1" x="2323"/>
        <item m="1" x="1334"/>
        <item m="1" x="2327"/>
        <item m="1" x="1037"/>
        <item m="1" x="1021"/>
        <item m="1" x="2263"/>
        <item m="1" x="156"/>
        <item m="1" x="3040"/>
        <item m="1" x="2097"/>
        <item m="1" x="2077"/>
        <item m="1" x="1404"/>
        <item m="1" x="791"/>
        <item m="1" x="2212"/>
        <item m="1" x="192"/>
        <item m="1" x="1410"/>
        <item m="1" x="1769"/>
        <item m="1" x="314"/>
        <item m="1" x="1425"/>
        <item m="1" x="2110"/>
        <item m="1" x="727"/>
        <item m="1" x="1958"/>
        <item m="1" x="1028"/>
        <item m="1" x="2603"/>
        <item m="1" x="2357"/>
        <item m="1" x="484"/>
        <item m="1" x="209"/>
        <item m="1" x="3196"/>
        <item m="1" x="1488"/>
        <item m="1" x="1711"/>
        <item m="1" x="319"/>
        <item m="1" x="2701"/>
        <item m="1" x="1876"/>
        <item m="1" x="952"/>
        <item m="1" x="888"/>
        <item m="1" x="369"/>
        <item m="1" x="915"/>
        <item m="1" x="608"/>
        <item m="1" x="2858"/>
        <item m="1" x="636"/>
        <item m="1" x="2187"/>
        <item m="1" x="1149"/>
        <item m="1" x="2117"/>
        <item m="1" x="3041"/>
        <item m="1" x="2665"/>
        <item m="1" x="1185"/>
        <item m="1" x="2716"/>
        <item m="1" x="1197"/>
        <item m="1" x="3126"/>
        <item m="1" x="548"/>
        <item m="1" x="1886"/>
        <item m="1" x="1867"/>
        <item m="1" x="1324"/>
        <item m="1" x="2300"/>
        <item m="1" x="1655"/>
        <item m="1" x="1114"/>
        <item m="1" x="1411"/>
        <item m="1" x="3201"/>
        <item m="1" x="2750"/>
        <item m="1" x="2351"/>
        <item m="1" x="3157"/>
        <item m="1" x="2152"/>
        <item m="1" x="2687"/>
        <item m="1" x="2697"/>
        <item m="1" x="1698"/>
        <item m="1" x="2845"/>
        <item m="1" x="2478"/>
        <item m="1" x="824"/>
        <item m="1" x="1494"/>
        <item m="1" x="1435"/>
        <item m="1" x="1222"/>
        <item m="1" x="1227"/>
        <item m="1" x="912"/>
        <item m="1" x="925"/>
        <item m="1" x="931"/>
        <item m="1" x="936"/>
        <item m="1" x="641"/>
        <item m="1" x="646"/>
        <item m="1" x="62"/>
        <item m="1" x="2995"/>
        <item m="1" x="3003"/>
        <item m="1" x="2133"/>
        <item m="1" x="1863"/>
        <item m="1" x="2366"/>
        <item m="1" x="1816"/>
        <item m="1" x="1545"/>
        <item m="1" x="426"/>
        <item m="1" x="437"/>
        <item m="1" x="3069"/>
        <item m="1" x="2150"/>
        <item m="1" x="1354"/>
        <item m="1" x="2227"/>
        <item m="1" x="2463"/>
        <item m="1" x="1627"/>
        <item m="1" x="1634"/>
        <item m="1" x="793"/>
        <item m="1" x="798"/>
        <item m="1" x="226"/>
        <item m="1" x="740"/>
        <item m="1" x="464"/>
        <item m="1" x="3114"/>
        <item m="1" x="3118"/>
        <item m="1" x="3131"/>
        <item m="1" x="2836"/>
        <item m="1" x="1937"/>
        <item m="1" x="1953"/>
        <item m="1" x="1646"/>
        <item m="1" x="1658"/>
        <item m="1" x="829"/>
        <item m="1" x="537"/>
        <item m="1" x="2856"/>
        <item m="1" x="2859"/>
        <item m="1" x="1171"/>
        <item m="1" x="1194"/>
        <item m="1" x="904"/>
        <item m="1" x="605"/>
        <item m="1" x="619"/>
        <item m="1" x="3212"/>
        <item m="1" x="2639"/>
        <item m="1" x="61"/>
        <item m="1" x="95"/>
        <item m="1" x="2130"/>
        <item m="1" x="2132"/>
        <item m="1" x="1319"/>
        <item m="1" x="721"/>
        <item m="1" x="461"/>
        <item m="1" x="190"/>
        <item m="1" x="3097"/>
        <item m="1" x="1375"/>
        <item m="1" x="2223"/>
        <item m="1" x="1505"/>
        <item m="1" x="1760"/>
        <item m="1" x="2626"/>
        <item m="1" x="892"/>
        <item m="1" x="1776"/>
        <item m="1" x="2447"/>
        <item m="1" x="522"/>
        <item m="1" x="2274"/>
        <item m="1" x="2199"/>
        <item m="1" x="1842"/>
        <item m="1" x="1509"/>
        <item m="1" x="2412"/>
        <item m="1" x="626"/>
        <item m="1" x="656"/>
        <item m="1" x="2787"/>
        <item m="1" x="2680"/>
        <item m="1" x="218"/>
        <item m="1" x="173"/>
        <item m="1" x="973"/>
        <item m="1" x="1300"/>
        <item m="1" x="2262"/>
        <item m="1" x="1089"/>
        <item m="1" x="810"/>
        <item m="1" x="2631"/>
        <item m="1" x="428"/>
        <item m="1" x="859"/>
        <item m="1" x="2043"/>
        <item m="1" x="363"/>
        <item m="1" x="2002"/>
        <item m="1" x="2972"/>
        <item m="1" x="1169"/>
        <item m="1" x="1053"/>
        <item m="1" x="2686"/>
        <item m="1" x="2305"/>
        <item m="1" x="1328"/>
        <item m="1" x="1697"/>
        <item m="1" x="958"/>
        <item m="1" x="585"/>
        <item m="1" x="1160"/>
        <item m="1" x="1150"/>
        <item m="1" x="1785"/>
        <item m="1" x="573"/>
        <item m="1" x="1538"/>
        <item m="1" x="378"/>
        <item m="1" x="1628"/>
        <item m="1" x="1586"/>
        <item m="1" x="417"/>
        <item m="1" x="2981"/>
        <item m="1" x="2620"/>
        <item m="1" x="1763"/>
        <item m="1" x="1765"/>
        <item m="1" x="2372"/>
        <item m="1" x="2312"/>
        <item m="1" x="1251"/>
        <item m="1" x="2093"/>
        <item m="1" x="1764"/>
        <item m="1" x="663"/>
        <item m="1" x="3176"/>
        <item m="1" x="3141"/>
        <item m="1" x="2350"/>
        <item m="1" x="2579"/>
        <item m="1" x="1766"/>
        <item m="1" x="2851"/>
        <item m="1" x="1684"/>
        <item m="1" x="2587"/>
        <item m="1" x="2114"/>
        <item m="1" x="2471"/>
        <item m="1" x="665"/>
        <item m="1" x="1541"/>
        <item m="1" x="3214"/>
        <item m="1" x="2902"/>
        <item m="1" x="3225"/>
        <item m="1" x="105"/>
        <item m="1" x="1278"/>
        <item m="1" x="112"/>
        <item m="1" x="2642"/>
        <item m="1" x="556"/>
        <item m="1" x="1304"/>
        <item m="1" x="1660"/>
        <item m="1" x="2962"/>
        <item m="1" x="2749"/>
        <item m="1" x="1722"/>
        <item m="1" x="3125"/>
        <item m="1" x="1164"/>
        <item m="1" x="1880"/>
        <item m="1" x="2155"/>
        <item m="1" x="2682"/>
        <item m="1" x="2880"/>
        <item m="1" x="1433"/>
        <item m="1" x="2857"/>
        <item m="1" x="1206"/>
        <item m="1" x="1626"/>
        <item m="1" x="1918"/>
        <item m="1" x="2352"/>
        <item m="1" x="1254"/>
        <item m="1" x="2893"/>
        <item m="1" x="453"/>
        <item m="1" x="1997"/>
        <item m="1" x="1403"/>
        <item m="1" x="1648"/>
        <item m="1" x="1673"/>
        <item m="1" x="1357"/>
        <item m="1" x="3117"/>
        <item m="1" x="544"/>
        <item m="1" x="1371"/>
        <item m="1" x="946"/>
        <item m="1" x="3156"/>
        <item m="1" x="2591"/>
        <item m="1" x="126"/>
        <item m="1" x="232"/>
        <item m="1" x="1862"/>
        <item m="1" x="2705"/>
        <item m="1" x="498"/>
        <item m="1" x="1460"/>
        <item m="1" x="1322"/>
        <item m="1" x="594"/>
        <item m="1" x="2404"/>
        <item m="1" x="317"/>
        <item m="1" x="1959"/>
        <item m="1" x="2379"/>
        <item m="1" x="1510"/>
        <item m="1" x="1059"/>
        <item m="1" x="3036"/>
        <item m="1" x="1778"/>
        <item m="1" x="443"/>
        <item m="1" x="2115"/>
        <item m="1" x="3047"/>
        <item m="1" x="877"/>
        <item m="1" x="1342"/>
        <item m="1" x="655"/>
        <item m="1" x="976"/>
        <item m="1" x="1346"/>
        <item m="1" x="2259"/>
        <item m="1" x="975"/>
        <item m="1" x="1199"/>
        <item m="1" x="1201"/>
        <item m="1" x="1204"/>
        <item m="1" x="1207"/>
        <item m="1" x="1210"/>
        <item m="1" x="1213"/>
        <item m="1" x="1219"/>
        <item m="1" x="914"/>
        <item m="1" x="919"/>
        <item m="1" x="921"/>
        <item m="1" x="932"/>
        <item m="1" x="933"/>
        <item m="1" x="938"/>
        <item m="1" x="633"/>
        <item m="1" x="634"/>
        <item m="1" x="640"/>
        <item m="1" x="643"/>
        <item m="1" x="647"/>
        <item m="1" x="648"/>
        <item m="1" x="652"/>
        <item m="1" x="329"/>
        <item m="1" x="334"/>
        <item m="1" x="348"/>
        <item m="1" x="350"/>
        <item m="1" x="354"/>
        <item m="1" x="32"/>
        <item m="1" x="34"/>
        <item m="1" x="39"/>
        <item m="1" x="44"/>
        <item m="1" x="47"/>
        <item m="1" x="51"/>
        <item m="1" x="53"/>
        <item m="1" x="58"/>
        <item m="1" x="65"/>
        <item m="1" x="2987"/>
        <item m="1" x="2992"/>
        <item m="1" x="2999"/>
        <item m="1" x="3000"/>
        <item m="1" x="3006"/>
        <item m="1" x="3010"/>
        <item m="1" x="2703"/>
        <item m="1" x="2707"/>
        <item m="1" x="2710"/>
        <item m="1" x="2714"/>
        <item m="1" x="2715"/>
        <item m="1" x="2718"/>
        <item m="1" x="2720"/>
        <item m="1" x="2722"/>
        <item m="1" x="2727"/>
        <item m="1" x="2402"/>
        <item m="1" x="2406"/>
        <item m="1" x="2409"/>
        <item m="1" x="2411"/>
        <item m="1" x="2419"/>
        <item m="1" x="2421"/>
        <item m="1" x="2425"/>
        <item m="1" x="2429"/>
        <item m="1" x="2431"/>
        <item m="1" x="2120"/>
        <item m="1" x="2122"/>
        <item m="1" x="2127"/>
        <item m="1" x="2131"/>
        <item m="1" x="2136"/>
        <item m="1" x="2139"/>
        <item m="1" x="2143"/>
        <item m="1" x="2145"/>
        <item m="1" x="1854"/>
        <item m="1" x="1856"/>
        <item m="1" x="1868"/>
        <item m="1" x="1871"/>
        <item m="1" x="1873"/>
        <item m="1" x="1875"/>
        <item m="1" x="1878"/>
        <item m="1" x="2356"/>
        <item m="1" x="2358"/>
        <item m="1" x="2359"/>
        <item m="1" x="2364"/>
        <item m="1" x="2369"/>
        <item m="1" x="2370"/>
        <item m="1" x="2374"/>
        <item m="1" x="2376"/>
        <item m="1" x="2076"/>
        <item m="1" x="2078"/>
        <item m="1" x="2079"/>
        <item m="1" x="2081"/>
        <item m="1" x="2084"/>
        <item m="1" x="2087"/>
        <item m="1" x="2095"/>
        <item m="1" x="2098"/>
        <item m="1" x="2101"/>
        <item m="1" x="1809"/>
        <item m="1" x="1812"/>
        <item m="1" x="1819"/>
        <item m="1" x="1824"/>
        <item m="1" x="1826"/>
        <item m="1" x="1831"/>
        <item m="1" x="1836"/>
        <item m="1" x="1838"/>
        <item m="1" x="1527"/>
        <item m="1" x="1530"/>
        <item m="1" x="1532"/>
        <item m="1" x="1534"/>
        <item m="1" x="1536"/>
        <item m="1" x="1540"/>
        <item m="1" x="1550"/>
        <item m="1" x="1552"/>
        <item m="1" x="1267"/>
        <item m="1" x="1270"/>
        <item m="1" x="1272"/>
        <item m="1" x="1273"/>
        <item m="1" x="1275"/>
        <item m="1" x="1281"/>
        <item m="1" x="1285"/>
        <item m="1" x="1288"/>
        <item m="1" x="1290"/>
        <item m="1" x="982"/>
        <item m="1" x="983"/>
        <item m="1" x="986"/>
        <item m="1" x="992"/>
        <item m="1" x="994"/>
        <item m="1" x="995"/>
        <item m="1" x="999"/>
        <item m="1" x="1003"/>
        <item m="1" x="1006"/>
        <item m="1" x="1011"/>
        <item m="1" x="680"/>
        <item m="1" x="682"/>
        <item m="1" x="687"/>
        <item m="1" x="689"/>
        <item m="1" x="696"/>
        <item m="1" x="698"/>
        <item m="1" x="702"/>
        <item m="1" x="704"/>
        <item m="1" x="709"/>
        <item m="1" x="402"/>
        <item m="1" x="408"/>
        <item m="1" x="412"/>
        <item m="1" x="416"/>
        <item m="1" x="422"/>
        <item m="1" x="429"/>
        <item m="1" x="435"/>
        <item m="1" x="119"/>
        <item m="1" x="124"/>
        <item m="1" x="128"/>
        <item m="1" x="132"/>
        <item m="1" x="135"/>
        <item m="1" x="138"/>
        <item m="1" x="140"/>
        <item m="1" x="148"/>
        <item m="1" x="3059"/>
        <item m="1" x="3063"/>
        <item m="1" x="3066"/>
        <item m="1" x="3073"/>
        <item m="1" x="3077"/>
        <item m="1" x="3079"/>
        <item m="1" x="362"/>
        <item m="1" x="375"/>
        <item m="1" x="3027"/>
        <item m="1" x="3030"/>
        <item m="1" x="2736"/>
        <item m="1" x="2738"/>
        <item m="1" x="2739"/>
        <item m="1" x="2744"/>
        <item m="1" x="2746"/>
        <item m="1" x="2748"/>
        <item m="1" x="2751"/>
        <item m="1" x="2436"/>
        <item m="1" x="2437"/>
        <item m="1" x="2452"/>
        <item m="1" x="2454"/>
        <item m="1" x="2149"/>
        <item m="1" x="2154"/>
        <item m="1" x="2162"/>
        <item m="1" x="2164"/>
        <item m="1" x="2166"/>
        <item m="1" x="1885"/>
        <item m="1" x="1891"/>
        <item m="1" x="1597"/>
        <item m="1" x="1599"/>
        <item m="1" x="1603"/>
        <item m="1" x="1606"/>
        <item m="1" x="1611"/>
        <item m="1" x="1340"/>
        <item m="1" x="1356"/>
        <item m="1" x="1361"/>
        <item m="1" x="1050"/>
        <item m="1" x="1058"/>
        <item m="1" x="1062"/>
        <item m="1" x="1557"/>
        <item m="1" x="1559"/>
        <item m="1" x="1562"/>
        <item m="1" x="1026"/>
        <item m="1" x="445"/>
        <item m="1" x="459"/>
        <item m="1" x="462"/>
        <item m="1" x="152"/>
        <item m="1" x="160"/>
        <item m="1" x="167"/>
        <item m="1" x="171"/>
        <item m="1" x="3085"/>
        <item m="1" x="3090"/>
        <item m="1" x="2816"/>
        <item m="1" x="2817"/>
        <item m="1" x="2822"/>
        <item m="1" x="2510"/>
        <item m="1" x="2530"/>
        <item m="1" x="2533"/>
        <item m="1" x="2213"/>
        <item m="1" x="2215"/>
        <item m="1" x="2218"/>
        <item m="1" x="2222"/>
        <item m="1" x="2753"/>
        <item m="1" x="2763"/>
        <item m="1" x="2765"/>
        <item m="1" x="2774"/>
        <item m="1" x="2779"/>
        <item m="1" x="2781"/>
        <item m="1" x="2457"/>
        <item m="1" x="2465"/>
        <item m="1" x="2481"/>
        <item m="1" x="2484"/>
        <item m="1" x="2171"/>
        <item m="1" x="2175"/>
        <item m="1" x="1897"/>
        <item m="1" x="1899"/>
        <item m="1" x="1905"/>
        <item m="1" x="1907"/>
        <item m="1" x="1914"/>
        <item m="1" x="1921"/>
        <item m="1" x="1924"/>
        <item m="1" x="1928"/>
        <item m="1" x="1615"/>
        <item m="1" x="1623"/>
        <item m="1" x="1636"/>
        <item m="1" x="1639"/>
        <item m="1" x="1641"/>
        <item m="1" x="1643"/>
        <item m="1" x="1645"/>
        <item m="1" x="1366"/>
        <item m="1" x="1369"/>
        <item m="1" x="1373"/>
        <item m="1" x="1376"/>
        <item m="1" x="1381"/>
        <item m="1" x="1070"/>
        <item m="1" x="1074"/>
        <item m="1" x="1075"/>
        <item m="1" x="1077"/>
        <item m="1" x="1081"/>
        <item m="1" x="1082"/>
        <item m="1" x="1088"/>
        <item m="1" x="1093"/>
        <item m="1" x="1095"/>
        <item m="1" x="776"/>
        <item m="1" x="778"/>
        <item m="1" x="782"/>
        <item m="1" x="803"/>
        <item m="1" x="510"/>
        <item m="1" x="515"/>
        <item m="1" x="519"/>
        <item m="1" x="521"/>
        <item m="1" x="524"/>
        <item m="1" x="528"/>
        <item m="1" x="533"/>
        <item m="1" x="230"/>
        <item m="1" x="236"/>
        <item m="1" x="244"/>
        <item m="1" x="245"/>
        <item m="1" x="739"/>
        <item m="1" x="742"/>
        <item m="1" x="743"/>
        <item m="1" x="745"/>
        <item m="1" x="747"/>
        <item m="1" x="748"/>
        <item m="1" x="751"/>
        <item m="1" x="468"/>
        <item m="1" x="470"/>
        <item m="1" x="479"/>
        <item m="1" x="481"/>
        <item m="1" x="485"/>
        <item m="1" x="184"/>
        <item m="1" x="191"/>
        <item m="1" x="194"/>
        <item m="1" x="199"/>
        <item m="1" x="201"/>
        <item m="1" x="203"/>
        <item m="1" x="205"/>
        <item m="1" x="3104"/>
        <item m="1" x="3107"/>
        <item m="1" x="3110"/>
        <item m="1" x="3124"/>
        <item m="1" x="3128"/>
        <item m="1" x="3135"/>
        <item m="1" x="2829"/>
        <item m="1" x="2835"/>
        <item m="1" x="2840"/>
        <item m="1" x="2843"/>
        <item m="1" x="2844"/>
        <item m="1" x="2542"/>
        <item m="1" x="2555"/>
        <item m="1" x="2559"/>
        <item m="1" x="2565"/>
        <item m="1" x="2231"/>
        <item m="1" x="2235"/>
        <item m="1" x="2239"/>
        <item m="1" x="2243"/>
        <item m="1" x="2246"/>
        <item m="1" x="1972"/>
        <item m="1" x="1974"/>
        <item m="1" x="1978"/>
        <item m="1" x="1982"/>
        <item m="1" x="1691"/>
        <item m="1" x="1696"/>
        <item m="1" x="1700"/>
        <item m="1" x="1708"/>
        <item m="1" x="1709"/>
        <item m="1" x="1437"/>
        <item m="1" x="1439"/>
        <item m="1" x="1448"/>
        <item m="1" x="1949"/>
        <item m="1" x="1653"/>
        <item m="1" x="1654"/>
        <item m="1" x="1664"/>
        <item m="1" x="1666"/>
        <item m="1" x="1392"/>
        <item m="1" x="1394"/>
        <item m="1" x="1396"/>
        <item m="1" x="1100"/>
        <item m="1" x="1106"/>
        <item m="1" x="1109"/>
        <item m="1" x="1113"/>
        <item m="1" x="1116"/>
        <item m="1" x="808"/>
        <item m="1" x="812"/>
        <item m="1" x="815"/>
        <item m="1" x="817"/>
        <item m="1" x="822"/>
        <item m="1" x="828"/>
        <item m="1" x="545"/>
        <item m="1" x="547"/>
        <item m="1" x="550"/>
        <item m="1" x="554"/>
        <item m="1" x="255"/>
        <item m="1" x="259"/>
        <item m="1" x="268"/>
        <item m="1" x="3173"/>
        <item m="1" x="3180"/>
        <item m="1" x="3184"/>
        <item m="1" x="3186"/>
        <item m="1" x="3194"/>
        <item m="1" x="2900"/>
        <item m="1" x="2906"/>
        <item m="1" x="2914"/>
        <item m="1" x="2919"/>
        <item m="1" x="2921"/>
        <item m="1" x="2925"/>
        <item m="1" x="2928"/>
        <item m="1" x="2608"/>
        <item m="1" x="2609"/>
        <item m="1" x="2617"/>
        <item m="1" x="2623"/>
        <item m="1" x="2625"/>
        <item m="1" x="2629"/>
        <item m="1" x="3139"/>
        <item m="1" x="3143"/>
        <item m="1" x="3145"/>
        <item m="1" x="3154"/>
        <item m="1" x="2853"/>
        <item m="1" x="2855"/>
        <item m="1" x="2862"/>
        <item m="1" x="2865"/>
        <item m="1" x="2869"/>
        <item m="1" x="2577"/>
        <item m="1" x="2580"/>
        <item m="1" x="2588"/>
        <item m="1" x="2264"/>
        <item m="1" x="2267"/>
        <item m="1" x="2268"/>
        <item m="1" x="2272"/>
        <item m="1" x="2273"/>
        <item m="1" x="2003"/>
        <item m="1" x="2010"/>
        <item m="1" x="2013"/>
        <item m="1" x="2014"/>
        <item m="1" x="1718"/>
        <item m="1" x="1726"/>
        <item m="1" x="1743"/>
        <item m="1" x="1176"/>
        <item m="1" x="1178"/>
        <item m="1" x="1188"/>
        <item m="1" x="1191"/>
        <item m="1" x="1196"/>
        <item m="1" x="609"/>
        <item m="1" x="615"/>
        <item m="1" x="622"/>
        <item m="1" x="1123"/>
        <item m="1" x="1125"/>
        <item m="1" x="1127"/>
        <item m="1" x="1130"/>
        <item m="1" x="1132"/>
        <item m="1" x="1136"/>
        <item m="1" x="1144"/>
        <item m="1" x="1148"/>
        <item m="1" x="834"/>
        <item m="1" x="838"/>
        <item m="1" x="842"/>
        <item m="1" x="845"/>
        <item m="1" x="848"/>
        <item m="1" x="851"/>
        <item m="1" x="855"/>
        <item m="1" x="857"/>
        <item m="1" x="861"/>
        <item m="1" x="557"/>
        <item m="1" x="558"/>
        <item m="1" x="560"/>
        <item m="1" x="568"/>
        <item m="1" x="569"/>
        <item m="1" x="572"/>
        <item m="1" x="576"/>
        <item m="1" x="577"/>
        <item m="1" x="274"/>
        <item m="1" x="279"/>
        <item m="1" x="281"/>
        <item m="1" x="286"/>
        <item m="1" x="288"/>
        <item m="1" x="290"/>
        <item m="1" x="295"/>
        <item m="1" x="297"/>
        <item m="1" x="298"/>
        <item m="1" x="3197"/>
        <item m="1" x="3199"/>
        <item m="1" x="3202"/>
        <item m="1" x="3203"/>
        <item m="1" x="3206"/>
        <item m="1" x="3209"/>
        <item m="1" x="2651"/>
        <item m="1" x="2339"/>
        <item m="1" x="2342"/>
        <item m="1" x="2061"/>
        <item m="1" x="1789"/>
        <item m="1" x="2298"/>
        <item m="1" x="2306"/>
        <item m="1" x="2018"/>
        <item m="1" x="2021"/>
        <item m="1" x="1753"/>
        <item m="1" x="1221"/>
        <item m="1" x="57"/>
        <item m="1" x="2989"/>
        <item m="1" x="2991"/>
        <item m="1" x="2997"/>
        <item m="1" x="2134"/>
        <item m="1" x="1308"/>
        <item m="1" x="728"/>
        <item m="1" x="732"/>
        <item m="1" x="471"/>
        <item m="1" x="186"/>
        <item m="1" x="197"/>
        <item m="1" x="3093"/>
        <item m="1" x="3095"/>
        <item m="1" x="3098"/>
        <item m="1" x="3102"/>
        <item m="1" x="3105"/>
        <item m="1" x="3109"/>
        <item m="1" x="3112"/>
        <item m="1" x="3116"/>
        <item m="1" x="3123"/>
        <item m="1" x="390"/>
        <item m="1" x="393"/>
        <item m="1" x="396"/>
        <item m="1" x="399"/>
        <item m="1" x="403"/>
        <item m="1" x="409"/>
        <item m="1" x="413"/>
        <item m="1" x="418"/>
        <item m="1" x="423"/>
        <item m="1" x="427"/>
        <item m="1" x="101"/>
        <item m="1" x="109"/>
        <item m="1" x="115"/>
        <item m="1" x="120"/>
        <item m="1" x="134"/>
        <item m="1" x="136"/>
        <item m="1" x="3050"/>
        <item m="1" x="3053"/>
        <item m="1" x="3055"/>
        <item m="1" x="3057"/>
        <item m="1" x="3064"/>
        <item m="1" x="3070"/>
        <item m="1" x="3074"/>
        <item m="1" x="3078"/>
        <item m="1" x="2771"/>
        <item m="1" x="2773"/>
        <item m="1" x="2777"/>
        <item m="1" x="2780"/>
        <item m="1" x="2784"/>
        <item m="1" x="2788"/>
        <item m="1" x="2796"/>
        <item m="1" x="2798"/>
        <item m="1" x="2475"/>
        <item m="1" x="2491"/>
        <item m="1" x="2492"/>
        <item m="1" x="1926"/>
        <item m="1" x="493"/>
        <item m="1" x="3134"/>
        <item m="1" x="2170"/>
        <item m="1" x="1338"/>
        <item m="1" x="1537"/>
        <item m="1" x="639"/>
        <item m="1" x="649"/>
        <item m="1" x="1852"/>
        <item m="1" x="2889"/>
        <item m="1" x="1518"/>
        <item m="1" x="3068"/>
        <item m="1" x="3226"/>
        <item m="1" x="1602"/>
        <item m="1" x="1656"/>
        <item m="1" x="575"/>
        <item m="1" x="1079"/>
        <item m="1" x="2823"/>
        <item m="1" x="2719"/>
        <item m="1" x="1915"/>
        <item m="1" x="2595"/>
        <item m="1" x="285"/>
        <item m="1" x="1990"/>
        <item m="1" x="507"/>
        <item m="1" x="2482"/>
        <item m="1" x="629"/>
        <item m="1" x="2804"/>
        <item m="1" x="466"/>
        <item m="1" x="2173"/>
        <item m="1" x="1947"/>
        <item m="1" x="1351"/>
        <item m="1" x="164"/>
        <item m="1" x="1797"/>
        <item m="1" x="2051"/>
        <item m="1" x="76"/>
        <item m="1" x="1967"/>
        <item m="1" x="606"/>
        <item m="1" x="2820"/>
        <item m="1" x="258"/>
        <item m="1" x="89"/>
        <item m="1" x="1738"/>
        <item m="1" x="967"/>
        <item m="1" x="3051"/>
        <item m="1" x="899"/>
        <item m="1" x="1491"/>
        <item m="1" x="2520"/>
        <item m="1" x="2322"/>
        <item m="1" x="2160"/>
        <item m="1" x="2871"/>
        <item m="1" x="2408"/>
        <item m="1" x="2049"/>
        <item m="1" x="1438"/>
        <item m="1" x="3108"/>
        <item m="1" x="2004"/>
        <item m="1" x="1350"/>
        <item m="1" x="2393"/>
        <item m="1" x="1292"/>
        <item m="1" x="1587"/>
        <item m="1" x="1238"/>
        <item m="1" x="385"/>
        <item m="1" x="1575"/>
        <item m="1" x="2011"/>
        <item m="1" x="2439"/>
        <item m="1" x="77"/>
        <item m="1" x="2532"/>
        <item m="1" x="37"/>
        <item m="1" x="2495"/>
        <item m="1" x="2285"/>
        <item m="1" x="909"/>
        <item m="1" x="1431"/>
        <item m="1" x="941"/>
        <item m="1" x="324"/>
        <item m="1" x="2785"/>
        <item m="1" x="552"/>
        <item m="1" x="789"/>
        <item m="1" x="885"/>
        <item m="1" x="1985"/>
        <item m="1" x="3072"/>
        <item m="1" x="97"/>
        <item m="1" x="1840"/>
        <item m="1" x="2012"/>
        <item m="1" x="1314"/>
        <item m="1" x="2206"/>
        <item m="1" x="764"/>
        <item m="1" x="2015"/>
        <item m="1" x="2144"/>
        <item m="1" x="1832"/>
        <item m="1" x="821"/>
        <item m="1" x="2551"/>
        <item m="1" x="811"/>
        <item m="1" x="565"/>
        <item m="1" x="1721"/>
        <item m="1" x="2265"/>
        <item m="1" x="282"/>
        <item m="1" x="1965"/>
        <item m="1" x="2118"/>
        <item m="1" x="717"/>
        <item m="1" x="2633"/>
        <item m="1" x="2232"/>
        <item m="1" x="927"/>
        <item m="1" x="486"/>
        <item m="1" x="2360"/>
        <item m="1" x="3031"/>
        <item m="1" x="1704"/>
        <item m="1" x="924"/>
        <item m="1" x="2022"/>
        <item m="1" x="2616"/>
        <item m="1" x="1352"/>
        <item m="1" x="2888"/>
        <item m="1" x="2571"/>
        <item m="1" x="407"/>
        <item m="1" x="69"/>
        <item m="1" x="17"/>
        <item m="1" x="2391"/>
        <item m="1" x="88"/>
        <item m="1" x="1325"/>
        <item m="1" x="91"/>
        <item m="1" x="1091"/>
        <item m="1" x="878"/>
        <item m="1" x="2035"/>
        <item m="1" x="3061"/>
        <item m="1" x="2158"/>
        <item m="1" x="1758"/>
        <item m="1" x="1489"/>
        <item m="1" x="756"/>
        <item m="1" x="2420"/>
        <item m="1" x="1442"/>
        <item m="1" x="2969"/>
        <item m="1" x="404"/>
        <item m="1" x="2712"/>
        <item m="1" x="2841"/>
        <item m="1" x="676"/>
        <item m="1" x="1310"/>
        <item m="1" x="2747"/>
        <item m="1" x="2092"/>
        <item m="1" x="708"/>
        <item m="1" x="1223"/>
        <item m="1" x="1956"/>
        <item m="1" x="1528"/>
        <item m="1" x="1162"/>
        <item m="1" x="1456"/>
        <item m="1" x="270"/>
        <item m="1" x="2281"/>
        <item m="1" x="2849"/>
        <item m="1" x="570"/>
        <item m="1" x="1260"/>
        <item m="1" x="2741"/>
        <item m="1" x="395"/>
        <item m="1" x="1929"/>
        <item m="1" x="1407"/>
        <item m="1" x="2597"/>
        <item m="1" x="1692"/>
        <item m="1" x="1992"/>
        <item m="1" x="1820"/>
        <item m="1" x="1013"/>
        <item m="1" x="2295"/>
        <item m="1" x="685"/>
        <item m="1" x="2801"/>
        <item m="1" x="2119"/>
        <item m="1" x="2685"/>
        <item m="1" x="2290"/>
        <item m="1" x="2434"/>
        <item m="1" x="2986"/>
        <item m="1" x="2387"/>
        <item m="1" x="1246"/>
        <item m="1" x="137"/>
        <item m="1" x="1748"/>
        <item m="1" x="1211"/>
        <item m="1" x="2582"/>
        <item m="1" x="3087"/>
        <item m="1" x="2993"/>
        <item m="1" x="1401"/>
        <item m="1" x="511"/>
        <item m="1" x="1312"/>
        <item m="1" x="1553"/>
        <item m="1" x="1161"/>
        <item m="1" x="1754"/>
        <item m="1" x="3049"/>
        <item m="1" x="1367"/>
        <item m="1" x="2086"/>
        <item m="1" x="3228"/>
        <item m="1" x="529"/>
        <item m="1" x="1057"/>
        <item m="1" x="2467"/>
        <item m="1" x="584"/>
        <item m="1" x="1291"/>
        <item m="1" x="3009"/>
        <item m="1" x="516"/>
        <item m="1" x="2985"/>
        <item m="1" x="3227"/>
        <item m="1" x="2878"/>
        <item m="1" x="2001"/>
        <item m="1" x="414"/>
        <item m="1" x="1821"/>
        <item m="1" x="2552"/>
        <item m="1" x="3082"/>
        <item m="1" x="2975"/>
        <item m="1" x="1"/>
        <item m="1" x="7"/>
        <item m="1" x="1268"/>
        <item m="1" x="2397"/>
        <item m="1" x="208"/>
        <item m="1" x="2613"/>
        <item m="1" x="2958"/>
        <item m="1" x="2338"/>
        <item m="1" x="2867"/>
        <item m="1" x="174"/>
        <item m="1" x="247"/>
        <item m="1" x="847"/>
        <item m="1" x="36"/>
        <item m="1" x="801"/>
        <item m="1" x="971"/>
        <item m="1" x="3195"/>
        <item m="1" x="1913"/>
        <item m="1" x="1145"/>
        <item m="1" x="147"/>
        <item m="1" x="894"/>
        <item m="1" x="1519"/>
        <item m="1" x="71"/>
        <item m="1" x="321"/>
        <item m="1" x="2304"/>
        <item m="1" x="1506"/>
        <item m="1" x="1389"/>
        <item m="1" x="2052"/>
        <item m="1" x="3182"/>
        <item m="1" x="2378"/>
        <item m="1" x="1724"/>
        <item m="1" x="149"/>
        <item m="1" x="513"/>
        <item m="1" x="527"/>
        <item m="1" x="1256"/>
        <item m="1" x="3191"/>
        <item m="1" x="2890"/>
        <item m="1" x="1299"/>
        <item m="1" x="1398"/>
        <item m="1" x="1209"/>
        <item m="1" x="1608"/>
        <item m="1" x="2399"/>
        <item m="1" x="1890"/>
        <item m="1" x="840"/>
        <item m="1" x="890"/>
        <item m="1" x="1463"/>
        <item m="1" x="2660"/>
        <item m="1" x="2594"/>
        <item m="1" x="2247"/>
        <item m="1" x="29"/>
        <item m="1" x="1855"/>
        <item m="1" x="1279"/>
        <item m="1" x="3179"/>
        <item m="1" x="3081"/>
        <item m="1" x="504"/>
        <item m="1" x="1154"/>
        <item m="1" x="223"/>
        <item m="1" x="2389"/>
        <item m="1" x="1241"/>
        <item m="1" x="2605"/>
        <item m="1" x="2324"/>
        <item m="1" x="1353"/>
        <item m="1" x="433"/>
        <item m="1" x="66"/>
        <item m="1" x="2138"/>
        <item m="1" x="264"/>
        <item m="1" x="3020"/>
        <item m="1" x="1408"/>
        <item m="1" x="2005"/>
        <item m="1" x="1065"/>
        <item m="1" x="1296"/>
        <item m="1" x="1170"/>
        <item m="1" x="2375"/>
        <item m="1" x="865"/>
        <item m="1" x="2653"/>
        <item m="1" x="1554"/>
        <item m="1" x="189"/>
        <item m="1" x="185"/>
        <item m="1" x="757"/>
        <item m="1" x="421"/>
        <item m="1" x="1023"/>
        <item m="1" x="2730"/>
        <item m="1" x="2789"/>
        <item m="1" x="1902"/>
        <item m="1" x="455"/>
        <item m="1" x="331"/>
        <item m="1" x="6"/>
        <item m="1" x="2883"/>
        <item m="1" x="771"/>
        <item m="1" x="3138"/>
        <item m="1" x="1332"/>
        <item m="1" x="2791"/>
        <item m="1" x="2422"/>
        <item m="1" x="1588"/>
        <item m="1" x="1475"/>
        <item m="1" x="1966"/>
        <item m="1" x="1453"/>
        <item m="1" x="2006"/>
        <item m="1" x="1189"/>
        <item m="1" x="715"/>
        <item m="1" x="198"/>
        <item m="1" x="2299"/>
        <item m="1" x="465"/>
        <item m="1" x="659"/>
        <item m="1" x="2614"/>
        <item m="1" x="1888"/>
        <item m="1" x="1406"/>
        <item m="1" x="2812"/>
        <item m="1" x="2462"/>
        <item m="1" x="9"/>
        <item m="1" x="886"/>
        <item m="1" x="366"/>
        <item m="1" x="2205"/>
        <item m="1" x="2734"/>
        <item m="1" x="2373"/>
        <item m="1" x="701"/>
        <item m="1" x="512"/>
        <item m="1" x="3172"/>
        <item m="1" x="3159"/>
        <item m="1" x="75"/>
        <item m="1" x="600"/>
        <item m="1" x="2632"/>
        <item m="1" x="1313"/>
        <item m="1" x="1893"/>
        <item m="1" x="2996"/>
        <item m="1" x="551"/>
        <item m="1" x="882"/>
        <item m="1" x="2444"/>
        <item m="1" x="534"/>
        <item m="1" x="1458"/>
        <item m="1" x="2568"/>
        <item m="1" x="2413"/>
        <item m="1" x="1029"/>
        <item m="1" x="1829"/>
        <item m="1" x="2947"/>
        <item m="1" x="1580"/>
        <item m="1" x="1117"/>
        <item m="1" x="1943"/>
        <item m="1" x="41"/>
        <item m="1" x="1497"/>
        <item m="1" x="752"/>
        <item m="1" x="820"/>
        <item m="1" x="1788"/>
        <item m="1" x="1699"/>
        <item m="1" x="749"/>
        <item m="1" x="1874"/>
        <item m="1" x="2556"/>
        <item m="1" x="1944"/>
        <item m="1" x="1561"/>
        <item m="1" x="2039"/>
        <item m="1" x="2908"/>
        <item m="1" x="26"/>
        <item m="1" x="1415"/>
        <item m="1" x="238"/>
        <item m="1" x="2210"/>
        <item m="1" x="1476"/>
        <item m="1" x="2935"/>
        <item m="1" x="2331"/>
        <item m="1" x="2091"/>
        <item m="1" x="3094"/>
        <item m="1" x="1383"/>
        <item m="1" x="1734"/>
        <item m="1" x="2068"/>
        <item m="1" x="3175"/>
        <item m="1" x="1473"/>
        <item m="1" x="1480"/>
        <item m="1" x="1564"/>
        <item m="1" x="1730"/>
        <item m="1" x="1236"/>
        <item m="1" x="854"/>
        <item m="1" x="1252"/>
        <item m="1" x="1864"/>
        <item m="1" x="1811"/>
        <item m="1" x="1822"/>
        <item m="1" x="1591"/>
        <item m="1" x="2102"/>
        <item m="1" x="692"/>
        <item m="1" x="1981"/>
        <item m="1" x="2988"/>
        <item m="1" x="1889"/>
        <item m="1" x="2501"/>
        <item m="1" x="221"/>
        <item m="1" x="869"/>
        <item m="1" x="2672"/>
        <item m="1" x="1799"/>
        <item m="1" x="574"/>
        <item m="1" x="2291"/>
        <item m="1" x="3007"/>
        <item m="1" x="2943"/>
        <item m="1" x="1846"/>
        <item m="1" x="514"/>
        <item m="1" x="460"/>
        <item m="1" x="1548"/>
        <item m="1" x="3153"/>
        <item m="1" x="108"/>
        <item m="1" x="1583"/>
        <item m="1" x="117"/>
        <item m="1" x="2821"/>
        <item m="1" x="719"/>
        <item m="1" x="1397"/>
        <item m="1" x="1707"/>
        <item m="1" x="599"/>
        <item m="1" x="2681"/>
        <item m="1" x="346"/>
        <item m="1" x="1791"/>
        <item m="1" x="242"/>
        <item m="1" x="2944"/>
        <item m="1" x="2951"/>
        <item m="1" x="2607"/>
        <item m="1" x="2549"/>
        <item m="1" x="169"/>
        <item m="1" x="273"/>
        <item m="1" x="2400"/>
        <item m="1" x="139"/>
        <item m="1" x="978"/>
        <item m="1" x="988"/>
        <item m="1" x="27"/>
        <item m="1" x="929"/>
        <item m="1" x="2827"/>
        <item m="1" x="3190"/>
        <item m="1" x="1492"/>
        <item m="1" x="2527"/>
        <item m="1" x="3086"/>
        <item m="1" x="2361"/>
        <item m="1" x="2942"/>
        <item m="1" x="293"/>
        <item m="1" x="116"/>
        <item m="1" x="2054"/>
        <item m="1" x="1916"/>
        <item m="1" x="1420"/>
        <item m="1" x="3002"/>
        <item m="1" x="2504"/>
        <item m="1" x="1240"/>
        <item m="1" x="1152"/>
        <item m="1" x="289"/>
        <item m="1" x="505"/>
        <item m="1" x="2758"/>
        <item m="1" x="22"/>
        <item m="1" x="2096"/>
        <item m="1" x="1998"/>
        <item m="1" x="1571"/>
        <item m="1" x="2023"/>
        <item m="1" x="580"/>
        <item m="1" x="81"/>
        <item m="1" x="1413"/>
        <item m="1" x="506"/>
        <item m="1" x="84"/>
        <item m="1" x="214"/>
        <item m="1" x="617"/>
        <item m="1" x="620"/>
        <item m="1" x="2974"/>
        <item m="1" x="67"/>
        <item m="1" x="2973"/>
        <item m="1" x="1572"/>
        <item m="1" x="2258"/>
        <item m="1" x="2202"/>
        <item m="1" x="2517"/>
        <item m="1" x="601"/>
        <item m="1" x="1032"/>
        <item m="1" x="1945"/>
        <item m="1" x="724"/>
        <item m="1" x="2728"/>
        <item m="1" x="1428"/>
        <item m="1" x="2584"/>
        <item m="1" x="1360"/>
        <item m="1" x="530"/>
        <item m="1" x="1005"/>
        <item m="1" x="1104"/>
        <item m="1" x="2752"/>
        <item m="1" x="419"/>
        <item m="1" x="434"/>
        <item m="1" x="2137"/>
        <item m="1" x="2965"/>
        <item m="1" x="2384"/>
        <item m="1" x="157"/>
        <item m="1" x="612"/>
        <item m="1" x="2531"/>
        <item m="1" x="387"/>
        <item m="1" x="488"/>
        <item m="1" x="3103"/>
        <item m="1" x="2047"/>
        <item m="1" x="2834"/>
        <item m="1" x="2939"/>
        <item m="1" x="2706"/>
        <item m="1" x="832"/>
        <item m="1" x="957"/>
        <item m="1" x="770"/>
        <item m="1" x="1271"/>
        <item m="1" x="1649"/>
        <item m="1" x="1198"/>
        <item m="1" x="1702"/>
        <item m="1" x="541"/>
        <item m="1" x="1330"/>
        <item m="1" x="1625"/>
        <item m="1" x="344"/>
        <item m="1" x="1134"/>
        <item m="1" x="420"/>
        <item m="1" x="2643"/>
        <item m="1" x="2644"/>
        <item m="1" x="2238"/>
        <item m="1" x="677"/>
        <item m="1" x="311"/>
        <item m="1" x="2066"/>
        <item m="1" x="797"/>
        <item m="1" x="1596"/>
        <item m="1" x="472"/>
        <item m="1" x="491"/>
        <item m="1" x="818"/>
        <item m="1" x="1337"/>
        <item m="1" x="3224"/>
        <item m="1" x="2934"/>
        <item m="1" x="1529"/>
        <item m="1" x="1601"/>
        <item m="1" x="1010"/>
        <item m="1" x="1167"/>
        <item m="1" x="2670"/>
        <item m="1" x="2123"/>
        <item m="1" x="1038"/>
        <item m="1" x="501"/>
        <item m="1" x="802"/>
        <item m="1" x="446"/>
        <item m="1" x="2228"/>
        <item m="1" x="231"/>
        <item m="1" x="2655"/>
        <item m="1" x="327"/>
        <item m="1" x="358"/>
        <item m="1" x="475"/>
        <item m="1" x="424"/>
        <item m="1" x="678"/>
        <item m="1" x="2189"/>
        <item m="1" x="200"/>
        <item m="1" x="1516"/>
        <item m="1" x="525"/>
        <item m="1" x="2099"/>
        <item m="1" x="1732"/>
        <item m="1" x="2030"/>
        <item m="1" x="457"/>
        <item m="1" x="2896"/>
        <item m="1" x="920"/>
        <item m="1" x="2058"/>
        <item m="1" x="1242"/>
        <item m="1" x="72"/>
        <item m="1" x="725"/>
        <item m="1" x="1024"/>
        <item m="1" x="24"/>
        <item m="1" x="902"/>
        <item m="1" x="1620"/>
        <item m="1" x="2"/>
        <item m="1" x="1239"/>
        <item m="1" x="1922"/>
        <item m="1" x="240"/>
        <item m="1" x="1499"/>
        <item m="1" x="1481"/>
        <item m="1" x="125"/>
        <item m="1" x="1183"/>
        <item m="1" x="1090"/>
        <item m="1" x="872"/>
        <item m="1" x="55"/>
        <item m="1" x="2226"/>
        <item m="1" x="1771"/>
        <item m="1" x="2870"/>
        <item m="1" x="2599"/>
        <item m="1" x="603"/>
        <item m="1" x="1566"/>
        <item m="1" x="989"/>
        <item m="1" x="4"/>
        <item m="1" x="2918"/>
        <item m="1" x="1703"/>
        <item m="1" x="86"/>
        <item m="1" x="1621"/>
        <item m="1" x="1502"/>
        <item m="1" x="2449"/>
        <item m="1" x="1400"/>
        <item m="1" x="3099"/>
        <item m="1" x="478"/>
        <item m="1" x="2477"/>
        <item m="1" x="2286"/>
        <item m="1" x="631"/>
        <item m="1" x="2515"/>
        <item m="1" x="2742"/>
        <item m="1" x="1933"/>
        <item m="1" x="389"/>
        <item m="1" x="3101"/>
        <item m="1" x="1642"/>
        <item m="1" x="741"/>
        <item m="1" x="950"/>
        <item m="1" x="1073"/>
        <item m="1" x="716"/>
        <item m="1" x="1501"/>
        <item m="1" x="2879"/>
        <item m="1" x="2683"/>
        <item m="1" x="1001"/>
        <item m="1" x="3023"/>
        <item m="1" x="1805"/>
        <item m="1" x="1825"/>
        <item m="1" x="2929"/>
        <item m="1" x="2509"/>
        <item m="1" x="2181"/>
        <item m="1" x="142"/>
        <item m="1" x="2041"/>
        <item m="1" x="763"/>
        <item m="1" x="675"/>
        <item m="1" x="3177"/>
        <item m="1" x="2067"/>
        <item m="1" x="1309"/>
        <item m="1" x="3216"/>
        <item m="1" x="2846"/>
        <item m="1" x="1768"/>
        <item m="1" x="769"/>
        <item m="1" x="46"/>
        <item m="1" x="21"/>
        <item m="1" x="1920"/>
        <item m="1" x="2362"/>
        <item m="1" x="1202"/>
        <item m="1" x="2126"/>
        <item m="1" x="2661"/>
        <item m="1" x="1436"/>
        <item m="1" x="871"/>
        <item m="1" x="123"/>
        <item m="1" x="1253"/>
        <item m="1" x="1035"/>
        <item m="1" x="1120"/>
        <item m="1" x="181"/>
        <item m="1" x="3121"/>
        <item m="1" x="2207"/>
        <item m="1" x="307"/>
        <item m="1" x="92"/>
        <item m="1" x="2729"/>
        <item m="1" x="1233"/>
        <item m="1" x="561"/>
        <item m="1" x="2195"/>
        <item m="1" x="1713"/>
        <item m="1" x="489"/>
        <item m="1" x="2733"/>
        <item m="1" x="2537"/>
        <item m="1" x="2546"/>
        <item m="1" x="106"/>
        <item m="1" x="163"/>
        <item m="1" x="1773"/>
        <item m="1" x="1165"/>
        <item m="1" x="922"/>
        <item m="1" x="2396"/>
        <item m="1" x="1815"/>
        <item m="1" x="578"/>
        <item m="1" x="2813"/>
        <item m="1" x="73"/>
        <item m="1" x="1175"/>
        <item m="1" x="1056"/>
        <item m="1" x="1884"/>
        <item m="1" x="2891"/>
        <item m="1" x="96"/>
        <item m="1" x="2459"/>
        <item m="1" x="2282"/>
        <item m="1" x="2964"/>
        <item m="1" x="304"/>
        <item m="1" x="1750"/>
        <item m="1" x="705"/>
        <item m="1" x="1044"/>
        <item m="1" x="2309"/>
        <item m="1" x="2487"/>
        <item m="1" x="1262"/>
        <item m="1" x="2388"/>
        <item m="1" x="1741"/>
        <item m="1" x="1033"/>
        <item m="1" x="2782"/>
        <item m="1" x="100"/>
        <item m="1" x="654"/>
        <item m="1" x="2543"/>
        <item m="1" x="3207"/>
        <item m="1" x="1315"/>
        <item m="1" x="668"/>
        <item m="1" x="809"/>
        <item m="1" x="2033"/>
        <item m="1" x="2948"/>
        <item m="1" x="955"/>
        <item m="1" x="235"/>
        <item m="1" x="336"/>
        <item m="1" x="1259"/>
        <item m="1" x="2743"/>
        <item m="1" x="2833"/>
        <item m="1" x="889"/>
        <item m="1" x="673"/>
        <item m="1" x="1796"/>
        <item m="1" x="267"/>
        <item m="1" x="993"/>
        <item m="1" x="1190"/>
        <item m="1" x="571"/>
        <item m="1" x="1881"/>
        <item m="1" x="833"/>
        <item m="1" x="2513"/>
        <item m="1" x="635"/>
        <item m="1" x="3018"/>
        <item m="1" x="2229"/>
        <item m="1" x="210"/>
        <item m="1" x="1638"/>
        <item m="1" x="1380"/>
        <item m="1" x="2062"/>
        <item m="1" x="1986"/>
        <item m="1" x="3065"/>
        <item m="1" x="2179"/>
        <item m="1" x="2673"/>
        <item m="1" x="1282"/>
        <item m="1" x="2386"/>
        <item m="1" x="2172"/>
        <item m="1" x="2894"/>
        <item m="1" x="2786"/>
        <item m="1" x="1424"/>
        <item m="1" x="52"/>
        <item m="1" x="2244"/>
        <item m="1" x="1882"/>
        <item m="1" x="1687"/>
        <item m="1" x="2036"/>
        <item m="1" x="219"/>
        <item m="1" x="3083"/>
        <item m="1" x="430"/>
        <item m="1" x="2141"/>
        <item m="1" x="981"/>
        <item m="1" x="3178"/>
        <item m="1" x="2882"/>
        <item m="1" x="1318"/>
        <item m="1" x="1503"/>
        <item m="1" x="1688"/>
        <item m="1" x="2204"/>
        <item m="1" x="2828"/>
        <item m="1" x="775"/>
        <item m="1" x="694"/>
        <item m="1" x="2071"/>
        <item m="1" x="1030"/>
        <item m="1" x="1215"/>
        <item m="1" x="1793"/>
        <item m="1" x="1954"/>
        <item m="1" x="1131"/>
        <item m="1" x="2636"/>
        <item m="1" x="121"/>
        <item m="1" x="1894"/>
        <item m="1" x="901"/>
        <item m="1" x="291"/>
        <item m="1" x="581"/>
        <item m="1" x="2193"/>
        <item m="1" x="2664"/>
        <item m="1" x="2371"/>
        <item m="1" x="2761"/>
        <item m="1" x="225"/>
        <item m="1" x="3170"/>
        <item m="1" x="761"/>
        <item m="1" x="3189"/>
        <item m="1" x="2506"/>
        <item m="1" x="1333"/>
        <item m="1" x="1834"/>
        <item m="1" x="1457"/>
        <item m="1" x="1520"/>
        <item m="1" x="2314"/>
        <item m="1" x="583"/>
        <item m="1" x="2261"/>
        <item m="1" x="2756"/>
        <item m="1" x="772"/>
        <item m="1" x="785"/>
        <item m="1" x="1040"/>
        <item m="1" x="162"/>
        <item m="1" x="1955"/>
        <item m="1" x="1118"/>
        <item m="1" x="1650"/>
        <item m="1" x="2485"/>
        <item m="1" x="178"/>
        <item m="1" x="913"/>
        <item m="1" x="1166"/>
        <item m="1" x="2489"/>
        <item m="1" x="2310"/>
        <item m="1" x="2602"/>
        <item m="1" x="2898"/>
        <item m="1" x="598"/>
        <item m="1" x="206"/>
        <item m="1" x="1019"/>
        <item m="1" x="3122"/>
        <item m="1" x="1020"/>
        <item m="1" x="2618"/>
        <item m="1" x="627"/>
        <item m="1" x="2418"/>
        <item m="1" x="928"/>
        <item m="1" x="2807"/>
        <item m="1" x="2424"/>
        <item m="1" x="56"/>
        <item m="1" x="540"/>
        <item m="1" x="2724"/>
        <item m="1" x="774"/>
        <item m="1" x="1084"/>
        <item m="1" x="43"/>
        <item m="1" x="3111"/>
        <item m="1" x="2881"/>
        <item m="1" x="2044"/>
        <item m="1" x="2026"/>
        <item m="1" x="3147"/>
        <item m="1" x="588"/>
        <item m="1" x="2953"/>
        <item m="1" x="30"/>
        <item m="1" x="2443"/>
        <item m="1" x="1964"/>
        <item m="1" x="110"/>
        <item m="1" x="2717"/>
        <item m="1" x="1892"/>
        <item m="1" x="1187"/>
        <item m="1" x="2539"/>
        <item m="1" x="2861"/>
        <item m="1" x="2983"/>
        <item m="1" x="2124"/>
        <item m="1" x="794"/>
        <item m="1" x="2031"/>
        <item m="1" x="937"/>
        <item m="1" x="2494"/>
        <item m="1" x="2176"/>
        <item m="1" x="345"/>
        <item m="1" x="867"/>
        <item m="1" x="1957"/>
        <item m="1" x="3146"/>
        <item m="1" x="222"/>
        <item m="1" x="681"/>
        <item m="1" x="2468"/>
        <item m="1" x="2590"/>
        <item m="1" x="722"/>
        <item m="1" x="2159"/>
        <item m="1" x="1590"/>
        <item m="1" x="637"/>
        <item m="1" x="2839"/>
        <item m="1" x="301"/>
        <item m="1" x="2502"/>
        <item m="1" x="2955"/>
        <item m="1" x="2216"/>
        <item m="1" x="644"/>
        <item m="1" x="1220"/>
        <item m="1" x="2830"/>
        <item m="1" x="790"/>
        <item m="1" x="2507"/>
        <item m="1" x="382"/>
        <item m="1" x="448"/>
        <item m="1" x="788"/>
        <item m="1" x="2009"/>
        <item m="1" x="306"/>
        <item m="1" x="2826"/>
        <item m="1" x="1946"/>
        <item m="1" x="2635"/>
        <item m="1" x="2627"/>
        <item m="1" x="2008"/>
        <item m="1" x="2209"/>
        <item m="1" x="122"/>
        <item m="1" x="2140"/>
        <item m="1" x="1231"/>
        <item m="1" x="2535"/>
        <item m="1" x="604"/>
        <item m="1" x="2157"/>
        <item m="1" x="3171"/>
        <item m="1" x="1498"/>
        <item m="1" x="2194"/>
        <item m="1" x="2512"/>
        <item m="1" x="2776"/>
        <item m="1" x="559"/>
        <item m="1" x="127"/>
        <item m="1" x="2699"/>
        <item m="1" x="1668"/>
        <item m="1" x="2873"/>
        <item m="1" x="2930"/>
        <item m="1" x="670"/>
        <item m="1" x="1547"/>
        <item m="1" x="2737"/>
        <item m="1" x="2818"/>
        <item m="1" x="2450"/>
        <item m="1" x="1417"/>
        <item m="1" x="1378"/>
        <item m="1" x="2260"/>
        <item m="1" x="2294"/>
        <item m="1" x="965"/>
        <item m="1" x="70"/>
        <item m="1" x="3075"/>
        <item m="1" x="1970"/>
        <item m="1" x="1635"/>
        <item m="1" x="2106"/>
        <item m="1" x="80"/>
        <item m="1" x="364"/>
        <item m="1" x="2917"/>
        <item m="1" x="1484"/>
        <item m="1" x="2593"/>
        <item m="1" x="1919"/>
        <item m="1" x="2163"/>
        <item m="1" x="972"/>
        <item m="1" x="1051"/>
        <item m="1" x="2394"/>
        <item m="1" x="2783"/>
        <item m="1" x="330"/>
        <item m="1" x="276"/>
        <item m="1" x="3165"/>
        <item m="1" x="1078"/>
        <item m="1" x="2398"/>
        <item m="1" x="114"/>
        <item m="1" x="1517"/>
        <item m="1" x="3054"/>
        <item m="1" x="217"/>
        <item m="1" x="54"/>
        <item m="1" x="2528"/>
        <item m="1" x="613"/>
        <item m="1" x="93"/>
        <item m="1" x="260"/>
        <item m="1" x="1214"/>
        <item m="1" x="2148"/>
        <item m="1" x="1770"/>
        <item m="1" x="1775"/>
        <item m="1" x="2469"/>
        <item m="1" x="1372"/>
        <item m="1" x="2726"/>
        <item m="1" x="783"/>
        <item m="1" x="1669"/>
        <item m="1" x="1555"/>
        <item m="1" x="2690"/>
        <item m="1" x="799"/>
        <item m="1" x="2695"/>
        <item m="1" x="1647"/>
        <item m="1" x="758"/>
        <item m="1" x="2529"/>
        <item m="1" x="1146"/>
        <item m="1" x="170"/>
        <item m="1" x="1800"/>
        <item m="1" x="502"/>
        <item m="1" x="254"/>
        <item m="1" x="759"/>
        <item m="1" x="2109"/>
        <item m="1" x="2572"/>
        <item m="1" x="113"/>
        <item m="1" x="2866"/>
        <item m="1" x="846"/>
        <item m="1" x="3168"/>
        <item m="1" x="2479"/>
        <item m="1" x="1462"/>
        <item m="1" x="3024"/>
        <item m="1" x="947"/>
        <item m="1" x="827"/>
        <item m="1" x="146"/>
        <item m="1" x="2168"/>
        <item m="1" x="1644"/>
        <item m="1" x="2778"/>
        <item m="1" x="590"/>
        <item m="1" x="3208"/>
        <item m="1" x="3162"/>
        <item m="1" x="2113"/>
        <item m="1" x="2923"/>
        <item m="1" x="2936"/>
        <item m="1" x="2911"/>
        <item m="1" x="2847"/>
        <item m="1" x="195"/>
        <item m="1" x="1762"/>
        <item m="1" x="215"/>
        <item m="1" x="819"/>
        <item m="1" x="2956"/>
        <item m="1" x="586"/>
        <item m="1" x="2656"/>
        <item m="1" x="2349"/>
        <item m="1" x="2498"/>
        <item m="1" x="1735"/>
        <item m="1" x="2959"/>
        <item m="1" x="401"/>
        <item m="1" x="2307"/>
        <item m="1" x="3148"/>
        <item m="1" x="3013"/>
        <item m="1" x="1570"/>
        <item m="1" x="653"/>
        <item m="1" x="672"/>
        <item m="1" x="2547"/>
        <item m="1" x="1535"/>
        <item m="1" x="3071"/>
        <item m="1" x="357"/>
        <item m="1" x="2045"/>
        <item m="1" x="2872"/>
        <item m="1" x="2578"/>
        <item m="1" x="1180"/>
        <item m="1" x="2652"/>
        <item m="1" x="1266"/>
        <item m="1" x="876"/>
        <item m="1" x="1940"/>
        <item m="1" x="2270"/>
        <item m="1" x="3132"/>
        <item m="1" x="1414"/>
        <item m="1" x="2514"/>
        <item m="1" x="272"/>
        <item m="1" x="669"/>
        <item m="1" x="713"/>
        <item m="1" x="1311"/>
        <item m="1" x="2732"/>
        <item m="1" x="1679"/>
        <item m="1" x="250"/>
        <item m="1" x="2441"/>
        <item m="1" x="440"/>
        <item m="1" x="3034"/>
        <item m="1" x="2442"/>
        <item m="1" x="2536"/>
        <item m="1" x="1651"/>
        <item m="1" x="562"/>
        <item m="1" x="368"/>
        <item m="1" x="326"/>
        <item m="1" x="271"/>
        <item m="1" x="2505"/>
        <item m="1" x="657"/>
        <item m="1" x="1320"/>
        <item m="1" x="1101"/>
        <item m="1" x="738"/>
        <item m="1" x="98"/>
        <item m="1" x="2153"/>
        <item m="1" x="1622"/>
        <item m="1" x="881"/>
        <item m="1" x="2080"/>
        <item m="1" x="287"/>
        <item m="1" x="2634"/>
        <item m="1" x="2792"/>
        <item m="1" x="60"/>
        <item m="1" x="1237"/>
        <item m="1" x="3113"/>
        <item m="1" x="1362"/>
        <item m="1" x="2460"/>
        <item m="1" x="13"/>
        <item m="1" x="930"/>
        <item m="1" x="3029"/>
        <item m="1" x="415"/>
        <item m="1" x="2414"/>
        <item m="1" x="2161"/>
        <item m="1" x="2691"/>
        <item m="1" x="2320"/>
        <item m="1" x="320"/>
        <item m="1" x="3056"/>
        <item m="1" x="166"/>
        <item m="1" x="339"/>
        <item m="1" x="1327"/>
        <item m="1" x="2269"/>
        <item m="1" x="1321"/>
        <item m="1" x="1993"/>
        <item m="1" x="2903"/>
        <item m="1" x="567"/>
        <item m="1" x="531"/>
        <item m="1" x="2640"/>
        <item m="1" x="700"/>
        <item m="1" x="492"/>
        <item m="1" x="566"/>
        <item m="1" x="261"/>
        <item m="1" x="1009"/>
        <item m="1" x="2938"/>
        <item m="1" x="469"/>
        <item m="1" x="1230"/>
        <item m="1" x="2503"/>
        <item m="1" x="2365"/>
        <item m="1" x="2423"/>
        <item m="1" x="966"/>
        <item m="1" x="2221"/>
        <item m="1" x="3213"/>
        <item m="1" x="2197"/>
        <item m="1" x="3016"/>
        <item m="1" x="1672"/>
        <item m="1" x="1676"/>
        <item m="1" x="253"/>
        <item m="1" x="1155"/>
        <item m="1" x="632"/>
        <item m="1" x="1045"/>
        <item m="1" x="2977"/>
        <item m="1" x="8"/>
        <item m="1" x="863"/>
        <item m="1" x="2367"/>
        <item m="1" x="2569"/>
        <item m="1" x="1382"/>
        <item m="1" x="2794"/>
        <item m="1" x="1539"/>
        <item m="1" x="1779"/>
        <item m="1" x="850"/>
        <item m="1" x="2982"/>
        <item m="1" x="1807"/>
        <item m="1" x="3005"/>
        <item m="1" x="1938"/>
        <item m="1" x="313"/>
        <item m="1" x="2438"/>
        <item m="1" x="316"/>
        <item m="1" x="2333"/>
        <item m="1" x="243"/>
        <item m="1" x="1092"/>
        <item m="1" x="1695"/>
        <item m="1" x="2474"/>
        <item m="1" x="964"/>
        <item m="1" x="2805"/>
        <item m="1" x="1507"/>
        <item m="1" x="129"/>
        <item m="1" x="1755"/>
        <item m="1" x="133"/>
        <item m="1" x="3169"/>
        <item m="1" x="2649"/>
        <item m="1" x="2645"/>
        <item m="1" x="2252"/>
        <item m="1" x="2435"/>
        <item m="1" x="2648"/>
        <item m="1" x="697"/>
        <item m="1" x="736"/>
        <item m="1" x="2257"/>
        <item m="1" x="2284"/>
        <item m="1" x="1083"/>
        <item m="1" x="2486"/>
        <item m="1" x="2693"/>
        <item m="1" x="1263"/>
        <item m="1" x="406"/>
        <item m="1" x="658"/>
        <item m="1" x="900"/>
        <item m="1" x="2287"/>
        <item m="1" x="843"/>
        <item m="1" x="1200"/>
        <item m="1" x="2266"/>
        <item m="1" x="2954"/>
        <item m="1" x="1264"/>
        <item m="1" x="3119"/>
        <item m="1" x="1971"/>
        <item m="1" x="2810"/>
        <item m="1" x="518"/>
        <item m="1" x="2317"/>
        <item m="1" x="3058"/>
        <item m="1" x="1784"/>
        <item m="1" x="984"/>
        <item m="1" x="207"/>
        <item m="1" x="28"/>
        <item m="1" x="16"/>
        <item m="1" x="50"/>
        <item m="1" x="1618"/>
        <item m="1" x="3045"/>
        <item m="1" x="3181"/>
        <item m="1" x="1348"/>
        <item m="1" x="1996"/>
        <item m="1" x="731"/>
        <item m="1" x="2941"/>
        <item m="1" x="2561"/>
        <item m="1" x="266"/>
        <item m="1" x="3076"/>
        <item m="1" x="1341"/>
        <item m="1" x="1027"/>
        <item m="1" x="2390"/>
        <item m="1" x="939"/>
        <item m="1" x="1015"/>
        <item m="1" x="1002"/>
        <item m="1" x="1470"/>
        <item m="1" x="800"/>
        <item m="1" x="1445"/>
        <item m="1" x="49"/>
        <item m="1" x="1983"/>
        <item m="1" x="2621"/>
        <item m="1" x="386"/>
        <item m="1" x="2915"/>
        <item m="1" x="1041"/>
        <item m="1" x="410"/>
        <item m="1" x="1729"/>
        <item m="1" x="1817"/>
        <item m="1" x="2401"/>
        <item m="1" x="2708"/>
        <item m="1" x="1039"/>
        <item m="1" x="1841"/>
        <item m="1" x="351"/>
        <item m="1" x="754"/>
        <item m="1" x="3222"/>
        <item m="1" x="1792"/>
        <item m="1" x="2476"/>
        <item m="1" x="2735"/>
        <item m="1" x="2208"/>
        <item m="1" x="1969"/>
        <item m="1" x="582"/>
        <item m="1" x="104"/>
        <item m="1" x="2550"/>
        <item m="1" x="726"/>
        <item m="1" x="1487"/>
        <item m="1" x="2343"/>
        <item m="1" x="2196"/>
        <item m="1" x="2968"/>
        <item m="1" x="1804"/>
        <item m="1" x="2341"/>
        <item m="1" x="2901"/>
        <item m="1" x="2220"/>
        <item m="1" x="2480"/>
        <item m="1" x="391"/>
        <item m="1" x="2589"/>
        <item m="1" x="381"/>
        <item m="1" x="1671"/>
        <item m="1" x="332"/>
        <item m="1" x="896"/>
        <item m="1" x="1522"/>
        <item m="1" x="766"/>
        <item m="1" x="2325"/>
        <item m="1" x="322"/>
        <item m="1" x="1416"/>
        <item m="1" x="1482"/>
        <item m="1" x="1935"/>
        <item m="1" x="1640"/>
        <item m="1" x="318"/>
        <item m="1" x="523"/>
        <item m="1" x="2245"/>
        <item m="1" x="1329"/>
        <item m="1" x="2219"/>
        <item m="1" x="2933"/>
        <item m="1" x="895"/>
        <item m="1" x="2721"/>
        <item m="1" x="2523"/>
        <item m="1" x="2201"/>
        <item m="1" x="1909"/>
        <item m="1" x="2876"/>
        <item m="1" x="1174"/>
        <item m="1" x="2040"/>
        <item m="1" x="1110"/>
        <item m="1" x="623"/>
        <item m="1" x="667"/>
        <item m="1" x="2337"/>
        <item m="1" x="187"/>
        <item m="1" x="990"/>
        <item m="1" x="1544"/>
        <item m="1" x="2057"/>
        <item m="1" x="625"/>
        <item m="1" x="1047"/>
        <item m="1" x="2363"/>
        <item m="1" x="2328"/>
        <item m="1" x="1157"/>
        <item m="1" x="2075"/>
        <item m="1" x="2453"/>
        <item m="1" x="474"/>
        <item m="1" x="1177"/>
        <item m="1" x="1022"/>
        <item m="1" x="2961"/>
        <item m="1" x="823"/>
        <item m="1" x="3187"/>
        <item m="1" x="849"/>
        <item m="1" x="2303"/>
        <item m="1" x="74"/>
        <item m="1" x="2321"/>
        <item m="1" x="883"/>
        <item m="1" x="168"/>
        <item m="1" x="248"/>
        <item m="1" x="1168"/>
        <item m="1" x="908"/>
        <item m="1" x="1681"/>
        <item m="1" x="141"/>
        <item m="1" x="2234"/>
        <item m="1" x="699"/>
        <item m="1" x="2177"/>
        <item m="1" x="1942"/>
        <item m="1" x="2433"/>
        <item m="1" x="695"/>
        <item m="1" x="1525"/>
        <item m="1" x="175"/>
        <item m="1" x="3025"/>
        <item m="1" x="337"/>
        <item m="1" x="3204"/>
        <item m="1" x="563"/>
        <item m="1" x="2104"/>
        <item m="1" x="688"/>
        <item m="1" x="2874"/>
        <item m="1" x="2978"/>
        <item m="1" x="3140"/>
        <item m="1" x="2146"/>
        <item m="1" x="1690"/>
        <item m="1" x="3080"/>
        <item m="1" x="477"/>
        <item m="1" x="2937"/>
        <item m="1" x="1900"/>
        <item m="1" x="3017"/>
        <item m="1" x="671"/>
        <item m="1" x="1851"/>
        <item m="1" x="1284"/>
        <item m="1" x="841"/>
        <item m="1" x="1633"/>
        <item m="1" x="645"/>
        <item m="1" x="650"/>
        <item m="1" x="2963"/>
        <item m="1" x="2253"/>
        <item m="1" x="874"/>
        <item m="1" x="2255"/>
        <item m="1" x="1018"/>
        <item m="1" x="508"/>
        <item m="1" x="1302"/>
        <item m="1" x="1126"/>
        <item m="1" x="1632"/>
        <item m="1" x="940"/>
        <item m="1" x="325"/>
        <item m="1" x="1103"/>
        <item m="1" x="2056"/>
        <item m="1" x="2142"/>
        <item m="1" x="2105"/>
        <item m="1" x="1143"/>
        <item m="1" x="2980"/>
        <item m="1" x="969"/>
        <item m="1" x="792"/>
        <item m="1" x="1984"/>
        <item m="1" x="2658"/>
        <item m="1" x="1879"/>
        <item m="1" x="99"/>
        <item m="1" x="1025"/>
        <item m="1" x="3160"/>
        <item m="1" x="1585"/>
        <item m="1" x="1255"/>
        <item m="1" x="1193"/>
        <item m="1" x="1576"/>
        <item m="1" x="2395"/>
        <item m="1" x="19"/>
        <item m="1" x="165"/>
        <item m="1" x="444"/>
        <item m="1" x="1759"/>
        <item m="1" x="1803"/>
        <item m="1" x="1524"/>
        <item m="1" x="1740"/>
        <item m="1" x="1589"/>
        <item m="1" x="549"/>
        <item m="1" x="292"/>
        <item m="1" x="1228"/>
        <item m="1" x="3198"/>
        <item m="1" x="1331"/>
        <item m="1" x="814"/>
        <item m="1" x="1925"/>
        <item m="1" x="3091"/>
        <item m="1" x="2581"/>
        <item m="1" x="2519"/>
        <item m="1" x="2296"/>
        <item m="1" x="780"/>
        <item m="1" x="734"/>
        <item m="1" x="2451"/>
        <item m="1" x="1898"/>
        <item m="1" x="2654"/>
        <item m="1" x="887"/>
        <item m="1" x="257"/>
        <item m="1" x="2679"/>
        <item m="1" x="1137"/>
        <item m="1" x="1612"/>
        <item m="1" x="660"/>
        <item m="1" x="2831"/>
        <item m="1" x="2407"/>
        <item m="1" x="1257"/>
        <item m="1" x="2493"/>
        <item m="1" x="1549"/>
        <item m="1" x="2740"/>
        <item m="1" x="3183"/>
        <item m="1" x="3174"/>
        <item m="1" x="991"/>
        <item m="1" x="607"/>
        <item m="1" x="596"/>
        <item m="1" x="436"/>
        <item m="1" x="1298"/>
        <item m="1" x="866"/>
        <item m="1" x="373"/>
        <item m="1" x="1374"/>
        <item m="1" x="1853"/>
        <item m="1" x="1440"/>
        <item m="1" x="1151"/>
        <item m="1" x="2563"/>
        <item m="1" x="2020"/>
        <item m="1" x="1347"/>
        <item m="1" x="753"/>
        <item m="1" x="3008"/>
        <item m="1" x="1274"/>
        <item m="1" x="1016"/>
        <item m="1" x="23"/>
        <item m="1" x="2415"/>
        <item m="1" x="1858"/>
        <item m="1" x="1124"/>
        <item m="1" x="1952"/>
        <item m="1" x="376"/>
        <item m="1" x="2214"/>
        <item m="1" x="431"/>
        <item m="1" x="1614"/>
        <item m="1" x="1358"/>
        <item m="1" x="3133"/>
        <item m="1" x="241"/>
        <item m="1" x="1119"/>
        <item m="1" x="2340"/>
        <item m="1" x="2852"/>
        <item m="1" x="59"/>
        <item m="1" x="2248"/>
        <item m="1" x="1080"/>
        <item m="1" x="392"/>
        <item m="1" x="2198"/>
        <item m="1" x="1289"/>
        <item m="1" x="1930"/>
        <item m="1" x="1592"/>
        <item m="1" x="1609"/>
        <item m="1" x="3192"/>
        <item m="1" x="2297"/>
        <item m="1" x="1705"/>
        <item m="1" x="1637"/>
        <item m="1" x="1581"/>
        <item m="1" x="1036"/>
        <item m="1" x="903"/>
        <item m="1" x="384"/>
        <item m="1" x="442"/>
        <item m="1" x="155"/>
        <item m="1" x="2757"/>
        <item m="1" x="2316"/>
        <item m="1" x="2211"/>
        <item m="1" x="3161"/>
        <item m="1" x="2864"/>
        <item m="1" x="1936"/>
        <item m="1" x="979"/>
        <item m="1" x="1399"/>
        <item m="1" x="1249"/>
        <item m="1" x="2256"/>
        <item m="1" x="2368"/>
        <item m="1" x="1751"/>
        <item m="1" x="1261"/>
        <item m="1" x="2251"/>
        <item m="1" x="2770"/>
        <item m="1" x="438"/>
        <item m="1" x="2283"/>
        <item m="1" x="2311"/>
        <item m="1" x="610"/>
        <item m="1" x="3120"/>
        <item m="1" x="237"/>
        <item m="1" x="2659"/>
        <item m="1" x="2971"/>
        <item m="1" x="1370"/>
        <item m="1" x="3032"/>
        <item m="1" x="2278"/>
        <item m="1" x="1813"/>
        <item m="1" x="1895"/>
        <item m="1" x="212"/>
        <item m="1" x="1068"/>
        <item m="1" x="216"/>
        <item m="1" x="2217"/>
        <item m="1" x="2534"/>
        <item m="1" x="2950"/>
        <item m="1" x="2760"/>
        <item m="1" x="1121"/>
        <item m="1" x="1872"/>
        <item m="1" x="2455"/>
        <item m="1" x="1387"/>
        <item m="1" x="2927"/>
        <item m="1" x="2525"/>
        <item m="1" x="3019"/>
        <item m="1" x="1087"/>
        <item m="1" x="1786"/>
        <item m="1" x="0"/>
        <item m="1" x="1295"/>
        <item m="1" x="3166"/>
        <item m="1" x="3043"/>
        <item m="1" x="836"/>
        <item m="1" x="1049"/>
        <item m="1" x="746"/>
        <item m="1" x="1326"/>
        <item m="1" x="1269"/>
        <item m="1" x="1181"/>
        <item m="1" x="1465"/>
        <item m="1" x="2619"/>
        <item m="1" x="1043"/>
        <item m="1" x="1486"/>
        <item m="1" x="2711"/>
        <item m="1" x="2332"/>
        <item m="1" x="2326"/>
        <item m="1" x="2292"/>
        <item m="1" x="2089"/>
        <item m="1" x="2984"/>
        <item m="1" x="2508"/>
        <item m="1" x="296"/>
        <item m="1" x="2336"/>
        <item m="1" x="1865"/>
        <item m="1" x="3218"/>
        <item m="1" x="2692"/>
        <item m="1" x="509"/>
        <item m="1" x="179"/>
        <item m="1" x="3052"/>
        <item m="1" x="249"/>
        <item m="1" x="1717"/>
        <item m="1" x="1657"/>
        <item m="1" x="2684"/>
        <item m="1" x="2694"/>
        <item m="1" x="2696"/>
        <item m="1" x="1827"/>
        <item m="1" x="5"/>
        <item m="1" x="239"/>
        <item m="1" x="2970"/>
        <item m="1" x="1714"/>
        <item m="1" x="1686"/>
        <item m="1" x="1523"/>
        <item m="1" x="2380"/>
        <item m="1" x="111"/>
        <item m="1" x="2650"/>
        <item m="1" x="11"/>
        <item m="1" x="482"/>
        <item m="1" x="1806"/>
        <item m="1" x="3137"/>
        <item m="1" x="985"/>
        <item m="1" x="2511"/>
        <item m="1" x="451"/>
        <item m="1" x="1848"/>
        <item m="1" x="1565"/>
        <item m="1" x="1728"/>
        <item m="1" x="1345"/>
        <item m="1" x="2637"/>
        <item m="1" x="1203"/>
        <item m="1" x="1409"/>
        <item m="1" x="1877"/>
        <item m="1" x="1156"/>
        <item m="1" x="1999"/>
        <item m="1" x="2063"/>
        <item m="1" x="1452"/>
        <item m="1" x="3026"/>
        <item m="1" x="703"/>
        <item m="1" x="302"/>
        <item m="1" x="2702"/>
        <item m="1" x="1449"/>
        <item m="1" x="2553"/>
        <item m="1" x="784"/>
        <item m="1" x="2877"/>
        <item m="1" x="312"/>
        <item m="1" x="2016"/>
        <item m="1" x="1064"/>
        <item m="1" x="2558"/>
        <item m="1" x="1745"/>
        <item m="1" x="372"/>
        <item m="1" x="589"/>
        <item m="1" x="1887"/>
        <item m="1" x="2606"/>
        <item m="1" x="361"/>
        <item m="1" x="1629"/>
        <item m="1" x="153"/>
        <item m="1" x="1975"/>
        <item m="1" x="2799"/>
        <item m="1" x="1364"/>
        <item m="1" x="1931"/>
        <item m="1" x="2329"/>
        <item m="1" x="1280"/>
        <item m="1" x="1432"/>
        <item m="1" x="1368"/>
        <item m="1" x="2957"/>
        <item m="1" x="2952"/>
        <item m="1" x="1577"/>
        <item m="1" x="1096"/>
        <item m="1" x="1208"/>
        <item m="1" x="2586"/>
        <item m="1" x="476"/>
        <item m="1" x="1515"/>
        <item m="1" x="1661"/>
        <item m="1" x="3"/>
        <item m="1" x="2824"/>
        <item m="1" x="1301"/>
        <item m="1" x="1031"/>
        <item m="1" x="1665"/>
        <item m="1" x="1147"/>
        <item m="1" x="807"/>
        <item m="1" x="1727"/>
        <item m="1" x="204"/>
        <item m="1" x="335"/>
        <item m="1" x="1450"/>
        <item m="1" x="3089"/>
        <item m="1" x="1153"/>
        <item m="1" x="1593"/>
        <item m="1" x="2392"/>
        <item m="1" x="536"/>
        <item m="1" x="602"/>
        <item m="1" x="2405"/>
        <item m="1" x="3037"/>
        <item m="1" x="917"/>
        <item m="1" x="553"/>
        <item m="1" x="661"/>
        <item m="1" x="781"/>
        <item m="1" x="370"/>
        <item m="1" x="2472"/>
        <item m="1" x="328"/>
        <item m="1" x="2242"/>
        <item m="1" x="839"/>
        <item m="1" x="220"/>
        <item m="1" x="2428"/>
        <item m="1" x="1377"/>
        <item m="1" x="795"/>
        <item m="1" x="1017"/>
        <item m="1" x="341"/>
        <item m="1" x="1810"/>
        <item m="1" x="262"/>
        <item m="1" x="2346"/>
        <item m="1" x="1973"/>
        <item m="1" x="2979"/>
        <item m="1" x="251"/>
        <item m="1" x="3167"/>
        <item m="1" x="2458"/>
        <item m="1" x="1573"/>
        <item m="1" x="806"/>
        <item m="1" x="1008"/>
        <item m="1" x="2377"/>
        <item m="1" x="467"/>
        <item m="1" x="1568"/>
        <item m="1" x="1472"/>
        <item m="1" x="1844"/>
        <item m="1" x="1619"/>
        <item m="1" x="3004"/>
        <item m="1" x="805"/>
        <item m="1" x="1173"/>
        <item m="1" x="2622"/>
        <item m="1" x="2920"/>
        <item m="1" x="2967"/>
        <item m="1" x="591"/>
        <item m="1" x="480"/>
        <item m="1" x="2657"/>
        <item m="1" x="1994"/>
        <item m="1" x="768"/>
        <item m="1" x="1508"/>
        <item m="1" x="1782"/>
        <item m="1" x="1076"/>
        <item m="1" x="587"/>
        <item m="1" x="2094"/>
        <item m="1" x="1659"/>
        <item m="1" x="2250"/>
        <item m="1" x="2473"/>
        <item m="1" x="2601"/>
        <item m="1" x="2671"/>
        <item m="1" x="830"/>
        <item m="1" x="377"/>
        <item m="1" x="638"/>
        <item m="1" x="473"/>
        <item m="1" x="309"/>
        <item m="1" x="2575"/>
        <item m="1" x="593"/>
        <item m="1" x="651"/>
        <item m="1" x="1159"/>
        <item m="1" x="1283"/>
        <item m="1" x="679"/>
        <item m="1" x="905"/>
        <item m="1" x="1701"/>
        <item m="1" x="2667"/>
        <item m="1" x="1478"/>
        <item m="1" x="1808"/>
        <item m="1" x="2945"/>
        <item m="1" x="2990"/>
        <item m="1" x="1723"/>
        <item m="1" x="2280"/>
        <item m="1" x="2470"/>
        <item m="1" x="1739"/>
        <item m="1" x="2666"/>
        <item m="1" x="145"/>
        <item m="1" x="35"/>
        <item m="1" x="1514"/>
        <item m="1" x="1605"/>
        <item m="1" x="1388"/>
        <item m="1" x="997"/>
        <item m="1" x="730"/>
        <item m="1" x="1744"/>
        <item m="1" x="1870"/>
        <item m="1" x="1715"/>
        <item m="1" x="1674"/>
        <item m="1" x="2583"/>
        <item m="1" x="1386"/>
        <item m="1" x="2592"/>
        <item m="1" x="3211"/>
        <item m="1" x="1977"/>
        <item m="1" x="3062"/>
        <item m="1" x="2293"/>
        <item m="1" x="3028"/>
        <item m="1" x="1182"/>
        <item m="1" x="1980"/>
        <item m="1" x="256"/>
        <item m="1" x="87"/>
        <item m="1" x="107"/>
        <item m="1" x="1830"/>
        <item m="1" x="897"/>
        <item m="1" x="2029"/>
        <item m="1" x="275"/>
        <item m="1" x="360"/>
        <item m="1" x="452"/>
        <item m="1" x="454"/>
        <item m="1" x="3033"/>
        <item m="1" x="2700"/>
        <item m="1" x="1948"/>
        <item m="1" x="2922"/>
        <item m="1" x="1823"/>
        <item m="1" x="2490"/>
        <item m="1" x="1402"/>
        <item m="1" x="503"/>
        <item m="1" x="686"/>
        <item m="1" x="2545"/>
        <item m="1" x="2647"/>
        <item m="1" x="1781"/>
        <item m="1" x="2731"/>
        <item m="1" x="977"/>
        <item m="1" x="2764"/>
        <item m="1" x="1607"/>
        <item m="1" x="2566"/>
        <item m="1" x="3219"/>
        <item m="1" x="2884"/>
        <item m="1" x="1500"/>
        <item m="1" x="945"/>
        <item m="1" x="2191"/>
        <item m="1" x="916"/>
        <item m="1" x="1845"/>
        <item m="1" x="2646"/>
        <item m="1" x="1412"/>
        <item m="1" x="1598"/>
        <item m="1" x="804"/>
        <item m="1" x="1055"/>
        <item m="1" x="1085"/>
        <item m="1" x="2416"/>
        <item m="1" x="2178"/>
        <item m="1" x="2037"/>
        <item m="1" x="1574"/>
        <item m="1" x="1305"/>
        <item m="1" x="400"/>
        <item m="1" x="2611"/>
        <item m="1" x="154"/>
        <item m="1" x="3144"/>
        <item m="1" x="1474"/>
        <item m="1" x="837"/>
        <item m="1" x="2521"/>
        <item m="1" x="2808"/>
        <item m="1" x="1108"/>
        <item m="1" x="2090"/>
        <item m="1" x="1243"/>
        <item m="1" x="411"/>
        <item m="1" x="3044"/>
        <item m="1" x="624"/>
        <item m="1" x="1595"/>
        <item m="1" x="1551"/>
        <item m="1" x="2128"/>
        <item m="1" x="2072"/>
        <item m="1" x="2600"/>
        <item m="1" x="2271"/>
        <item m="1" x="2924"/>
        <item m="1" x="2676"/>
        <item m="1" x="898"/>
        <item m="1" x="1526"/>
        <item m="1" x="294"/>
        <item m="1" x="2610"/>
        <item m="1" x="1385"/>
        <item m="1" x="1430"/>
        <item m="1" x="398"/>
        <item m="1" x="1293"/>
        <item m="1" x="2759"/>
        <item m="1" x="664"/>
        <item m="1" x="891"/>
        <item m="1" x="1801"/>
        <item m="1" x="1802"/>
        <item m="1" x="943"/>
        <item m="1" x="1111"/>
        <item m="1" x="2330"/>
        <item m="1" x="555"/>
        <item m="1" x="1761"/>
        <item m="1" x="355"/>
        <item m="1" x="495"/>
        <item m="1" x="2860"/>
        <item m="1" x="1069"/>
        <item m="1" x="3215"/>
        <item m="1" x="447"/>
        <item m="1" x="315"/>
        <item m="1" x="3210"/>
        <item m="1" x="690"/>
        <item m="1" x="1616"/>
        <item m="1" x="597"/>
        <item m="1" x="1294"/>
        <item m="1" x="3106"/>
        <item m="1" x="2432"/>
        <item m="1" x="2334"/>
        <item m="1" x="1493"/>
        <item m="1" x="2027"/>
        <item m="1" x="1384"/>
        <item m="1" x="960"/>
        <item m="1" x="1818"/>
        <item m="1" x="852"/>
        <item m="1" x="1248"/>
        <item m="1" x="310"/>
        <item m="1" x="1662"/>
        <item m="1" x="1923"/>
        <item m="1" x="3039"/>
        <item m="1" x="1567"/>
        <item m="1" x="158"/>
        <item m="1" x="1987"/>
        <item m="1" x="2200"/>
        <item m="1" x="2576"/>
        <item m="1" x="280"/>
        <item m="1" x="1054"/>
        <item m="1" x="1421"/>
        <item m="1" x="2769"/>
        <item m="1" x="1896"/>
        <item m="1" x="1459"/>
        <item m="1" x="911"/>
        <item m="1" x="487"/>
        <item m="1" x="532"/>
        <item m="1" x="517"/>
        <item m="1" x="2966"/>
        <item m="1" x="2354"/>
        <item m="1" x="2184"/>
        <item m="1" x="1172"/>
        <item m="1" x="2916"/>
        <item m="1" x="2427"/>
        <item m="1" x="1060"/>
        <item m="1" x="2912"/>
        <item m="1" x="388"/>
        <item m="1" x="12"/>
        <item m="1" x="1941"/>
        <item m="1" x="1968"/>
        <item m="1" x="3163"/>
        <item m="1" x="733"/>
        <item m="1" x="944"/>
        <item m="1" x="150"/>
        <item m="1" x="520"/>
        <item m="1" x="1344"/>
        <item m="1" x="2868"/>
        <item m="1" x="159"/>
        <item m="1" x="2488"/>
        <item m="1" x="425"/>
        <item m="1" x="1677"/>
        <item m="1" x="3048"/>
        <item m="1" x="1046"/>
        <item m="1" x="642"/>
        <item m="1" x="1067"/>
        <item m="1" x="954"/>
        <item m="1" x="3150"/>
        <item m="1" x="2838"/>
        <item m="1" x="45"/>
        <item m="1" x="711"/>
        <item m="1" x="1670"/>
        <item m="1" x="826"/>
        <item m="1" x="2112"/>
        <item m="1" x="151"/>
        <item m="1" x="2932"/>
        <item m="1" x="2854"/>
        <item m="1" x="1034"/>
        <item m="1" x="1910"/>
        <item m="1" x="1912"/>
        <item m="1" x="1979"/>
        <item m="1" x="2060"/>
        <item m="1" x="956"/>
        <item m="1" x="1814"/>
        <item m="1" x="1908"/>
        <item m="1" x="227"/>
        <item m="1" x="1866"/>
        <item m="1" x="1869"/>
        <item m="1" x="63"/>
        <item m="1" x="3158"/>
        <item m="1" x="2024"/>
        <item m="1" x="1429"/>
        <item m="1" x="2803"/>
        <item m="1" x="712"/>
        <item m="1" x="379"/>
        <item m="1" x="980"/>
        <item m="1" x="2466"/>
        <item m="1" x="1837"/>
        <item m="1" x="1787"/>
        <item m="1" x="729"/>
        <item m="1" x="2998"/>
        <item m="1" x="2766"/>
        <item m="1" x="1495"/>
        <item m="1" x="1405"/>
        <item m="1" x="1234"/>
        <item m="1" x="233"/>
        <item m="1" x="611"/>
        <item m="1" x="3129"/>
        <item m="1" x="2745"/>
        <item m="1" x="234"/>
        <item m="1" x="2318"/>
        <item m="1" x="2663"/>
        <item t="default"/>
      </items>
    </pivotField>
    <pivotField axis="axisPage" showAll="0">
      <items count="3228">
        <item m="1" x="0"/>
        <item m="1" x="1430"/>
        <item m="1" x="1268"/>
        <item m="1" x="1838"/>
        <item m="1" x="2173"/>
        <item m="1" x="1679"/>
        <item m="1" x="1976"/>
        <item m="1" x="2068"/>
        <item m="1" x="1197"/>
        <item m="1" x="1239"/>
        <item m="1" x="3100"/>
        <item m="1" x="3131"/>
        <item m="1" x="2896"/>
        <item m="1" x="844"/>
        <item m="1" x="2453"/>
        <item m="1" x="2498"/>
        <item m="1" x="1211"/>
        <item m="1" x="719"/>
        <item m="1" x="2178"/>
        <item m="1" x="82"/>
        <item m="1" x="334"/>
        <item m="1" x="12"/>
        <item m="1" x="483"/>
        <item m="1" x="1481"/>
        <item m="1" x="904"/>
        <item m="1" x="2878"/>
        <item m="1" x="2558"/>
        <item m="1" x="512"/>
        <item m="1" x="2592"/>
        <item m="1" x="2175"/>
        <item m="1" x="2265"/>
        <item m="1" x="2001"/>
        <item m="1" x="2096"/>
        <item m="1" x="302"/>
        <item m="1" x="2604"/>
        <item m="1" x="1276"/>
        <item m="1" x="217"/>
        <item m="1" x="1479"/>
        <item m="1" x="764"/>
        <item m="1" x="2250"/>
        <item m="1" x="3139"/>
        <item m="1" x="964"/>
        <item m="1" x="270"/>
        <item m="1" x="2913"/>
        <item m="1" x="1103"/>
        <item m="1" x="867"/>
        <item m="1" x="956"/>
        <item m="1" x="2021"/>
        <item m="1" x="1531"/>
        <item m="1" x="130"/>
        <item m="1" x="2422"/>
        <item m="1" x="727"/>
        <item m="1" x="1825"/>
        <item m="1" x="211"/>
        <item m="1" x="1350"/>
        <item m="1" x="590"/>
        <item m="1" x="2733"/>
        <item m="1" x="2351"/>
        <item m="1" x="936"/>
        <item m="1" x="1875"/>
        <item m="1" x="3075"/>
        <item m="1" x="1745"/>
        <item m="1" x="2030"/>
        <item m="1" x="2872"/>
        <item m="1" x="1649"/>
        <item m="1" x="1685"/>
        <item m="1" x="1727"/>
        <item m="1" x="1763"/>
        <item m="1" x="1499"/>
        <item m="1" x="1658"/>
        <item m="1" x="1270"/>
        <item m="1" x="1574"/>
        <item m="1" x="1037"/>
        <item m="1" x="2593"/>
        <item m="1" x="2052"/>
        <item m="1" x="1224"/>
        <item m="1" x="1769"/>
        <item m="1" x="371"/>
        <item m="1" x="2285"/>
        <item m="1" x="2780"/>
        <item m="1" x="975"/>
        <item m="1" x="2251"/>
        <item m="1" x="2853"/>
        <item m="1" x="1548"/>
        <item m="1" x="2744"/>
        <item m="1" x="1164"/>
        <item m="1" x="151"/>
        <item m="1" x="1181"/>
        <item m="1" x="1591"/>
        <item m="1" x="312"/>
        <item m="1" x="897"/>
        <item m="1" x="2877"/>
        <item m="1" x="1407"/>
        <item m="1" x="1343"/>
        <item m="1" x="289"/>
        <item m="1" x="587"/>
        <item m="1" x="802"/>
        <item m="1" x="3149"/>
        <item m="1" x="2414"/>
        <item m="1" x="1156"/>
        <item m="1" x="1698"/>
        <item m="1" x="1076"/>
        <item m="1" x="2449"/>
        <item m="1" x="2588"/>
        <item m="1" x="515"/>
        <item m="1" x="1365"/>
        <item m="1" x="86"/>
        <item m="1" x="198"/>
        <item m="1" x="871"/>
        <item m="1" x="2456"/>
        <item m="1" x="2628"/>
        <item m="1" x="2339"/>
        <item m="1" x="2711"/>
        <item m="1" x="1910"/>
        <item m="1" x="1166"/>
        <item m="1" x="3073"/>
        <item m="1" x="2124"/>
        <item m="1" x="440"/>
        <item m="1" x="275"/>
        <item m="1" x="1252"/>
        <item m="1" x="966"/>
        <item m="1" x="2833"/>
        <item m="1" x="1323"/>
        <item m="1" x="2951"/>
        <item m="1" x="1436"/>
        <item m="1" x="743"/>
        <item m="1" x="157"/>
        <item m="1" x="2382"/>
        <item m="1" x="2363"/>
        <item m="1" x="2362"/>
        <item m="1" x="1777"/>
        <item m="1" x="3104"/>
        <item m="1" x="2162"/>
        <item m="1" x="2476"/>
        <item m="1" x="2297"/>
        <item m="1" x="1442"/>
        <item m="1" x="2696"/>
        <item m="1" x="2787"/>
        <item m="1" x="14"/>
        <item m="1" x="2749"/>
        <item m="1" x="872"/>
        <item m="1" x="460"/>
        <item m="1" x="329"/>
        <item m="1" x="292"/>
        <item m="1" x="948"/>
        <item m="1" x="668"/>
        <item m="1" x="3111"/>
        <item m="1" x="1476"/>
        <item m="1" x="2023"/>
        <item m="1" x="1090"/>
        <item m="1" x="2920"/>
        <item m="1" x="3150"/>
        <item m="1" x="301"/>
        <item m="1" x="1241"/>
        <item m="1" x="916"/>
        <item m="1" x="2148"/>
        <item m="1" x="2876"/>
        <item m="1" x="952"/>
        <item m="1" x="1578"/>
        <item m="1" x="2972"/>
        <item m="1" x="564"/>
        <item m="1" x="2992"/>
        <item m="1" x="582"/>
        <item m="1" x="689"/>
        <item m="1" x="520"/>
        <item m="1" x="355"/>
        <item m="1" x="2097"/>
        <item m="1" x="3222"/>
        <item m="1" x="2906"/>
        <item m="1" x="3026"/>
        <item m="1" x="3199"/>
        <item m="1" x="1161"/>
        <item m="1" x="1311"/>
        <item m="1" x="612"/>
        <item m="1" x="2292"/>
        <item m="1" x="23"/>
        <item m="1" x="2783"/>
        <item m="1" x="2956"/>
        <item m="1" x="709"/>
        <item m="1" x="776"/>
        <item m="1" x="1560"/>
        <item m="1" x="19"/>
        <item m="1" x="2891"/>
        <item m="1" x="2289"/>
        <item m="1" x="2658"/>
        <item m="1" x="2784"/>
        <item m="1" x="3005"/>
        <item m="1" x="1410"/>
        <item m="1" x="3144"/>
        <item m="1" x="1892"/>
        <item m="1" x="2797"/>
        <item m="1" x="998"/>
        <item m="1" x="3012"/>
        <item m="1" x="3215"/>
        <item m="1" x="1878"/>
        <item m="1" x="2564"/>
        <item m="1" x="1113"/>
        <item m="1" x="1921"/>
        <item m="1" x="3048"/>
        <item m="1" x="1593"/>
        <item m="1" x="1690"/>
        <item m="1" x="3052"/>
        <item m="1" x="2136"/>
        <item m="1" x="358"/>
        <item m="1" x="125"/>
        <item m="1" x="2275"/>
        <item m="1" x="2595"/>
        <item m="1" x="1404"/>
        <item m="1" x="1753"/>
        <item m="1" x="1580"/>
        <item m="1" x="3053"/>
        <item m="1" x="661"/>
        <item m="1" x="2759"/>
        <item m="1" x="3179"/>
        <item m="1" x="2147"/>
        <item m="1" x="2266"/>
        <item m="1" x="1389"/>
        <item m="1" x="83"/>
        <item m="1" x="3051"/>
        <item m="1" x="2857"/>
        <item m="1" x="369"/>
        <item m="1" x="2020"/>
        <item m="1" x="2377"/>
        <item m="1" x="767"/>
        <item m="1" x="2599"/>
        <item m="1" x="2176"/>
        <item m="1" x="1754"/>
        <item m="1" x="517"/>
        <item m="1" x="189"/>
        <item m="1" x="2122"/>
        <item m="1" x="3068"/>
        <item m="1" x="2036"/>
        <item m="1" x="316"/>
        <item m="1" x="685"/>
        <item m="1" x="2314"/>
        <item m="1" x="46"/>
        <item m="1" x="2942"/>
        <item m="1" x="557"/>
        <item m="1" x="3161"/>
        <item m="1" x="20"/>
        <item m="1" x="103"/>
        <item m="1" x="1075"/>
        <item m="1" x="2773"/>
        <item m="1" x="627"/>
        <item m="1" x="704"/>
        <item m="1" x="834"/>
        <item m="1" x="633"/>
        <item m="1" x="2399"/>
        <item m="1" x="2602"/>
        <item m="1" x="1300"/>
        <item m="1" x="657"/>
        <item m="1" x="974"/>
        <item m="1" x="701"/>
        <item m="1" x="2415"/>
        <item m="1" x="1786"/>
        <item m="1" x="1868"/>
        <item m="1" x="412"/>
        <item m="1" x="2724"/>
        <item m="1" x="2242"/>
        <item m="1" x="2687"/>
        <item m="1" x="2566"/>
        <item m="1" x="501"/>
        <item m="1" x="2637"/>
        <item m="1" x="734"/>
        <item m="1" x="2305"/>
        <item m="1" x="978"/>
        <item m="1" x="216"/>
        <item m="1" x="1"/>
        <item m="1" x="893"/>
        <item m="1" x="149"/>
        <item m="1" x="367"/>
        <item m="1" x="1814"/>
        <item m="1" x="498"/>
        <item m="1" x="1395"/>
        <item m="1" x="1740"/>
        <item m="1" x="2867"/>
        <item m="1" x="2506"/>
        <item m="1" x="2062"/>
        <item m="1" x="2227"/>
        <item m="1" x="884"/>
        <item m="1" x="1618"/>
        <item m="1" x="950"/>
        <item m="1" x="1601"/>
        <item m="1" x="1210"/>
        <item m="1" x="1568"/>
        <item m="1" x="875"/>
        <item m="1" x="3067"/>
        <item m="1" x="3120"/>
        <item m="1" x="2017"/>
        <item m="1" x="3058"/>
        <item m="1" x="2324"/>
        <item m="1" x="2915"/>
        <item m="1" x="285"/>
        <item m="1" x="2385"/>
        <item m="1" x="429"/>
        <item m="1" x="1327"/>
        <item m="1" x="269"/>
        <item m="1" x="1734"/>
        <item m="1" x="1971"/>
        <item m="1" x="348"/>
        <item m="1" x="870"/>
        <item m="1" x="438"/>
        <item m="1" x="2725"/>
        <item m="1" x="759"/>
        <item m="1" x="3032"/>
        <item m="1" x="3216"/>
        <item m="1" x="2216"/>
        <item m="1" x="357"/>
        <item m="1" x="880"/>
        <item m="1" x="811"/>
        <item m="1" x="469"/>
        <item m="1" x="2499"/>
        <item m="1" x="2709"/>
        <item m="1" x="2895"/>
        <item m="1" x="3016"/>
        <item m="1" x="2343"/>
        <item m="1" x="3200"/>
        <item m="1" x="1546"/>
        <item m="1" x="2354"/>
        <item m="1" x="481"/>
        <item m="1" x="1863"/>
        <item m="1" x="2050"/>
        <item m="1" x="2648"/>
        <item m="1" x="2208"/>
        <item m="1" x="380"/>
        <item m="1" x="1184"/>
        <item m="1" x="2905"/>
        <item m="1" x="1491"/>
        <item m="1" x="1812"/>
        <item m="1" x="1344"/>
        <item m="1" x="1583"/>
        <item m="1" x="1341"/>
        <item m="1" x="474"/>
        <item m="1" x="1258"/>
        <item m="1" x="213"/>
        <item m="1" x="1571"/>
        <item m="1" x="2717"/>
        <item m="1" x="67"/>
        <item m="1" x="2861"/>
        <item m="1" x="1060"/>
        <item m="1" x="180"/>
        <item m="1" x="1712"/>
        <item m="1" x="451"/>
        <item m="1" x="736"/>
        <item m="1" x="1446"/>
        <item m="1" x="2461"/>
        <item m="1" x="3080"/>
        <item m="1" x="1517"/>
        <item m="1" x="1114"/>
        <item m="1" x="1617"/>
        <item m="1" x="2536"/>
        <item m="1" x="2043"/>
        <item m="1" x="655"/>
        <item m="1" x="1990"/>
        <item m="1" x="170"/>
        <item m="1" x="2002"/>
        <item m="1" x="2522"/>
        <item m="1" x="2541"/>
        <item m="1" x="903"/>
        <item m="1" x="2610"/>
        <item m="1" x="165"/>
        <item m="1" x="1417"/>
        <item m="1" x="1807"/>
        <item m="1" x="1094"/>
        <item m="1" x="2911"/>
        <item m="1" x="177"/>
        <item m="1" x="2338"/>
        <item m="1" x="2087"/>
        <item m="1" x="1176"/>
        <item m="1" x="3140"/>
        <item m="1" x="2210"/>
        <item m="1" x="160"/>
        <item m="1" x="2659"/>
        <item m="1" x="2614"/>
        <item m="1" x="992"/>
        <item m="1" x="2009"/>
        <item m="1" x="41"/>
        <item m="1" x="1431"/>
        <item m="1" x="2394"/>
        <item m="1" x="339"/>
        <item m="1" x="2112"/>
        <item m="1" x="409"/>
        <item m="1" x="3219"/>
        <item m="1" x="3106"/>
        <item m="1" x="2215"/>
        <item m="1" x="1064"/>
        <item m="1" x="1613"/>
        <item m="1" x="1616"/>
        <item m="1" x="1749"/>
        <item m="1" x="2142"/>
        <item m="1" x="1775"/>
        <item m="1" x="2487"/>
        <item m="1" x="2072"/>
        <item m="1" x="656"/>
        <item m="1" x="2375"/>
        <item m="1" x="2999"/>
        <item m="1" x="1746"/>
        <item m="1" x="1687"/>
        <item m="1" x="1507"/>
        <item m="1" x="1337"/>
        <item m="1" x="854"/>
        <item m="1" x="1974"/>
        <item m="1" x="2630"/>
        <item m="1" x="535"/>
        <item m="1" x="1115"/>
        <item m="1" x="999"/>
        <item m="1" x="1266"/>
        <item m="1" x="2947"/>
        <item m="1" x="1802"/>
        <item m="1" x="1955"/>
        <item m="1" x="2123"/>
        <item m="1" x="2277"/>
        <item m="1" x="446"/>
        <item m="1" x="1009"/>
        <item m="1" x="3176"/>
        <item m="1" x="2684"/>
        <item m="1" x="454"/>
        <item m="1" x="313"/>
        <item m="1" x="819"/>
        <item m="1" x="1799"/>
        <item m="1" x="1960"/>
        <item m="1" x="2032"/>
        <item m="1" x="276"/>
        <item m="1" x="238"/>
        <item m="1" x="851"/>
        <item m="1" x="2495"/>
        <item m="1" x="2222"/>
        <item m="1" x="1359"/>
        <item m="1" x="3159"/>
        <item m="1" x="2031"/>
        <item m="1" x="1506"/>
        <item m="1" x="2837"/>
        <item m="1" x="178"/>
        <item m="1" x="1419"/>
        <item m="1" x="1936"/>
        <item m="1" x="2677"/>
        <item m="1" x="1259"/>
        <item m="1" x="739"/>
        <item m="1" x="2900"/>
        <item m="1" x="1869"/>
        <item m="1" x="2642"/>
        <item m="1" x="222"/>
        <item m="1" x="1604"/>
        <item m="1" x="2114"/>
        <item m="1" x="2160"/>
        <item m="1" x="733"/>
        <item m="1" x="2384"/>
        <item m="1" x="1326"/>
        <item m="1" x="1988"/>
        <item m="1" x="1355"/>
        <item m="1" x="1362"/>
        <item m="1" x="874"/>
        <item m="1" x="539"/>
        <item m="1" x="941"/>
        <item m="1" x="466"/>
        <item m="1" x="2229"/>
        <item m="1" x="3146"/>
        <item m="1" x="332"/>
        <item m="1" x="695"/>
        <item m="1" x="2248"/>
        <item m="1" x="2090"/>
        <item m="1" x="2470"/>
        <item m="1" x="2667"/>
        <item m="1" x="398"/>
        <item m="1" x="3163"/>
        <item m="1" x="1759"/>
        <item m="1" x="1130"/>
        <item m="1" x="984"/>
        <item m="1" x="2302"/>
        <item m="1" x="2355"/>
        <item m="1" x="667"/>
        <item m="1" x="2458"/>
        <item m="1" x="860"/>
        <item m="1" x="570"/>
        <item m="1" x="3118"/>
        <item m="1" x="3190"/>
        <item m="1" x="1606"/>
        <item m="1" x="2963"/>
        <item m="1" x="2111"/>
        <item m="1" x="1683"/>
        <item m="1" x="467"/>
        <item m="1" x="2475"/>
        <item m="1" x="121"/>
        <item m="1" x="142"/>
        <item m="1" x="146"/>
        <item m="1" x="624"/>
        <item m="1" x="1816"/>
        <item m="1" x="2455"/>
        <item m="1" x="2973"/>
        <item m="1" x="347"/>
        <item m="1" x="2235"/>
        <item m="1" x="185"/>
        <item m="1" x="337"/>
        <item m="1" x="311"/>
        <item m="1" x="1862"/>
        <item m="1" x="1384"/>
        <item m="1" x="3108"/>
        <item m="1" x="713"/>
        <item m="1" x="1883"/>
        <item m="1" x="2505"/>
        <item m="1" x="3031"/>
        <item m="1" x="411"/>
        <item m="1" x="672"/>
        <item m="1" x="2286"/>
        <item m="1" x="1509"/>
        <item m="1" x="3148"/>
        <item m="1" x="2104"/>
        <item m="1" x="531"/>
        <item m="1" x="255"/>
        <item m="1" x="110"/>
        <item m="1" x="3202"/>
        <item m="1" x="3129"/>
        <item m="1" x="2806"/>
        <item m="1" x="3172"/>
        <item m="1" x="327"/>
        <item m="1" x="1655"/>
        <item m="1" x="3157"/>
        <item m="1" x="1503"/>
        <item m="1" x="260"/>
        <item m="1" x="251"/>
        <item m="1" x="1645"/>
        <item m="1" x="2799"/>
        <item m="1" x="3143"/>
        <item m="1" x="1077"/>
        <item m="1" x="1490"/>
        <item m="1" x="1062"/>
        <item m="1" x="3165"/>
        <item m="1" x="1425"/>
        <item m="1" x="1298"/>
        <item m="1" x="1303"/>
        <item m="1" x="2501"/>
        <item m="1" x="1282"/>
        <item m="1" x="1441"/>
        <item m="1" x="2331"/>
        <item m="1" x="2816"/>
        <item m="1" x="2636"/>
        <item m="1" x="808"/>
        <item m="1" x="2258"/>
        <item m="1" x="2228"/>
        <item m="1" x="1996"/>
        <item m="1" x="1183"/>
        <item m="1" x="1844"/>
        <item m="1" x="955"/>
        <item m="1" x="1549"/>
        <item m="1" x="3064"/>
        <item m="1" x="2755"/>
        <item m="1" x="2567"/>
        <item m="1" x="2921"/>
        <item m="1" x="455"/>
        <item m="1" x="489"/>
        <item m="1" x="304"/>
        <item m="1" x="2094"/>
        <item m="1" x="2747"/>
        <item m="1" x="2244"/>
        <item m="1" x="2213"/>
        <item m="1" x="2066"/>
        <item m="1" x="1402"/>
        <item m="1" x="2736"/>
        <item m="1" x="1975"/>
        <item m="1" x="2740"/>
        <item m="1" x="2745"/>
        <item m="1" x="2500"/>
        <item m="1" x="2824"/>
        <item m="1" x="2525"/>
        <item m="1" x="2493"/>
        <item m="1" x="1238"/>
        <item m="1" x="3128"/>
        <item m="1" x="2761"/>
        <item m="1" x="2047"/>
        <item m="1" x="2855"/>
        <item m="1" x="1165"/>
        <item m="1" x="547"/>
        <item m="1" x="1091"/>
        <item m="1" x="150"/>
        <item m="1" x="1781"/>
        <item m="1" x="56"/>
        <item m="1" x="2916"/>
        <item m="1" x="3184"/>
        <item m="1" x="2113"/>
        <item m="1" x="2912"/>
        <item m="1" x="499"/>
        <item m="1" x="1449"/>
        <item m="1" x="2600"/>
        <item m="1" x="1813"/>
        <item m="1" x="2946"/>
        <item m="1" x="3079"/>
        <item m="1" x="961"/>
        <item m="1" x="2088"/>
        <item m="1" x="1719"/>
        <item m="1" x="2119"/>
        <item m="1" x="877"/>
        <item m="1" x="2508"/>
        <item m="1" x="85"/>
        <item m="1" x="2812"/>
        <item m="1" x="1403"/>
        <item m="1" x="3171"/>
        <item m="1" x="2157"/>
        <item m="1" x="2392"/>
        <item m="1" x="258"/>
        <item m="1" x="1104"/>
        <item m="1" x="1318"/>
        <item m="1" x="383"/>
        <item m="1" x="1120"/>
        <item m="1" x="2395"/>
        <item m="1" x="2730"/>
        <item m="1" x="2247"/>
        <item m="1" x="102"/>
        <item m="1" x="468"/>
        <item m="1" x="2128"/>
        <item m="1" x="3226"/>
        <item m="1" x="360"/>
        <item m="1" x="1985"/>
        <item m="1" x="1581"/>
        <item m="1" x="1891"/>
        <item m="1" x="3135"/>
        <item m="1" x="2866"/>
        <item m="1" x="2004"/>
        <item m="1" x="3134"/>
        <item m="1" x="1099"/>
        <item m="1" x="1505"/>
        <item m="1" x="2798"/>
        <item m="1" x="1135"/>
        <item m="1" x="284"/>
        <item m="1" x="2232"/>
        <item m="1" x="2766"/>
        <item m="1" x="2549"/>
        <item m="1" x="2788"/>
        <item m="1" x="2393"/>
        <item m="1" x="1502"/>
        <item m="1" x="824"/>
        <item m="1" x="1021"/>
        <item m="1" x="1286"/>
        <item m="1" x="3122"/>
        <item m="1" x="2987"/>
        <item m="1" x="181"/>
        <item m="1" x="129"/>
        <item m="1" x="179"/>
        <item m="1" x="2296"/>
        <item m="1" x="981"/>
        <item m="1" x="3133"/>
        <item m="1" x="800"/>
        <item m="1" x="2077"/>
        <item m="1" x="2432"/>
        <item m="1" x="666"/>
        <item m="1" x="3049"/>
        <item m="1" x="215"/>
        <item m="1" x="3061"/>
        <item m="1" x="1941"/>
        <item m="1" x="2952"/>
        <item m="1" x="75"/>
        <item m="1" x="230"/>
        <item m="1" x="1118"/>
        <item m="1" x="2185"/>
        <item m="1" x="87"/>
        <item m="1" x="1117"/>
        <item m="1" x="1541"/>
        <item m="1" x="1128"/>
        <item m="1" x="3195"/>
        <item m="1" x="1750"/>
        <item m="1" x="2165"/>
        <item m="1" x="1760"/>
        <item m="1" x="536"/>
        <item m="1" x="1205"/>
        <item m="1" x="1643"/>
        <item m="1" x="1214"/>
        <item m="1" x="62"/>
        <item m="1" x="2889"/>
        <item m="1" x="529"/>
        <item m="1" x="3077"/>
        <item m="1" x="742"/>
        <item m="1" x="1688"/>
        <item m="1" x="987"/>
        <item m="1" x="626"/>
        <item m="1" x="2446"/>
        <item m="1" x="1804"/>
        <item m="1" x="1780"/>
        <item m="1" x="1709"/>
        <item m="1" x="1152"/>
        <item m="1" x="105"/>
        <item m="1" x="693"/>
        <item m="1" x="1899"/>
        <item m="1" x="1592"/>
        <item m="1" x="236"/>
        <item m="1" x="1360"/>
        <item m="1" x="2925"/>
        <item m="1" x="2965"/>
        <item m="1" x="2945"/>
        <item m="1" x="1438"/>
        <item m="1" x="2886"/>
        <item m="1" x="295"/>
        <item m="1" x="1324"/>
        <item m="1" x="1192"/>
        <item m="1" x="2206"/>
        <item m="1" x="746"/>
        <item m="1" x="233"/>
        <item m="1" x="864"/>
        <item m="1" x="2723"/>
        <item m="1" x="2616"/>
        <item m="1" x="2617"/>
        <item m="1" x="1983"/>
        <item m="1" x="862"/>
        <item m="1" x="868"/>
        <item m="1" x="2626"/>
        <item m="1" x="2488"/>
        <item m="1" x="2496"/>
        <item m="1" x="1193"/>
        <item m="1" x="326"/>
        <item m="1" x="381"/>
        <item m="1" x="1394"/>
        <item m="1" x="2102"/>
        <item m="1" x="891"/>
        <item m="1" x="3037"/>
        <item m="1" x="333"/>
        <item m="1" x="1656"/>
        <item m="1" x="1281"/>
        <item m="1" x="377"/>
        <item m="1" x="1626"/>
        <item m="1" x="1588"/>
        <item m="1" x="1890"/>
        <item m="1" x="1082"/>
        <item m="1" x="2807"/>
        <item m="1" x="430"/>
        <item m="1" x="1400"/>
        <item m="1" x="1121"/>
        <item m="1" x="2914"/>
        <item m="1" x="1096"/>
        <item m="1" x="698"/>
        <item m="1" x="1025"/>
        <item m="1" x="290"/>
        <item m="1" x="2544"/>
        <item m="1" x="1909"/>
        <item m="1" x="886"/>
        <item m="1" x="2413"/>
        <item m="1" x="1477"/>
        <item m="1" x="2299"/>
        <item m="1" x="1232"/>
        <item m="1" x="2304"/>
        <item m="1" x="9"/>
        <item m="1" x="3214"/>
        <item m="1" x="447"/>
        <item m="1" x="1894"/>
        <item m="1" x="1396"/>
        <item m="1" x="1242"/>
        <item m="1" x="758"/>
        <item m="1" x="1855"/>
        <item m="1" x="2885"/>
        <item m="1" x="3034"/>
        <item m="1" x="2141"/>
        <item m="1" x="424"/>
        <item m="1" x="148"/>
        <item m="1" x="1667"/>
        <item m="1" x="3017"/>
        <item m="1" x="1942"/>
        <item m="1" x="2256"/>
        <item m="1" x="2290"/>
        <item m="1" x="500"/>
        <item m="1" x="2063"/>
        <item m="1" x="791"/>
        <item m="1" x="261"/>
        <item m="1" x="605"/>
        <item m="1" x="634"/>
        <item m="1" x="670"/>
        <item m="1" x="2874"/>
        <item m="1" x="3065"/>
        <item m="1" x="1556"/>
        <item m="1" x="4"/>
        <item m="1" x="1982"/>
        <item m="1" x="2019"/>
        <item m="1" x="3062"/>
        <item m="1" x="2311"/>
        <item m="1" x="1382"/>
        <item m="1" x="1858"/>
        <item m="1" x="1610"/>
        <item m="1" x="54"/>
        <item m="1" x="708"/>
        <item m="1" x="1471"/>
        <item m="1" x="750"/>
        <item m="1" x="1792"/>
        <item m="1" x="976"/>
        <item m="1" x="1967"/>
        <item m="1" x="2294"/>
        <item m="1" x="967"/>
        <item m="1" x="1179"/>
        <item m="1" x="560"/>
        <item m="1" x="78"/>
        <item m="1" x="2396"/>
        <item m="1" x="1352"/>
        <item m="1" x="558"/>
        <item m="1" x="1563"/>
        <item m="1" x="2629"/>
        <item m="1" x="1364"/>
        <item m="1" x="2026"/>
        <item m="1" x="1795"/>
        <item m="1" x="2012"/>
        <item m="1" x="2412"/>
        <item m="1" x="2252"/>
        <item m="1" x="2771"/>
        <item m="1" x="68"/>
        <item m="1" x="2121"/>
        <item m="1" x="2257"/>
        <item m="1" x="1178"/>
        <item m="1" x="1006"/>
        <item m="1" x="1879"/>
        <item m="1" x="1817"/>
        <item m="1" x="1260"/>
        <item m="1" x="735"/>
        <item m="1" x="194"/>
        <item m="1" x="58"/>
        <item m="1" x="154"/>
        <item m="1" x="452"/>
        <item m="1" x="710"/>
        <item m="1" x="1024"/>
        <item m="1" x="2477"/>
        <item m="1" x="3018"/>
        <item m="1" x="250"/>
        <item m="1" x="1056"/>
        <item m="1" x="768"/>
        <item m="1" x="553"/>
        <item m="1" x="3223"/>
        <item m="1" x="2918"/>
        <item m="1" x="212"/>
        <item m="1" x="803"/>
        <item m="1" x="1589"/>
        <item m="1" x="1522"/>
        <item m="1" x="167"/>
        <item m="1" x="394"/>
        <item m="1" x="2678"/>
        <item m="1" x="1448"/>
        <item m="1" x="225"/>
        <item m="1" x="2264"/>
        <item m="1" x="3047"/>
        <item m="1" x="873"/>
        <item m="1" x="2976"/>
        <item m="1" x="3008"/>
        <item m="1" x="511"/>
        <item m="1" x="1672"/>
        <item m="1" x="1434"/>
        <item m="1" x="2941"/>
        <item m="1" x="2282"/>
        <item m="1" x="1608"/>
        <item m="1" x="2269"/>
        <item m="1" x="1888"/>
        <item m="1" x="378"/>
        <item m="1" x="962"/>
        <item m="1" x="1758"/>
        <item m="1" x="1127"/>
        <item m="1" x="845"/>
        <item m="1" x="798"/>
        <item m="1" x="2233"/>
        <item m="1" x="1930"/>
        <item m="1" x="1157"/>
        <item m="1" x="1140"/>
        <item m="1" x="1693"/>
        <item m="1" x="2775"/>
        <item m="1" x="197"/>
        <item m="1" x="2448"/>
        <item m="1" x="1159"/>
        <item m="1" x="1711"/>
        <item m="1" x="1144"/>
        <item m="1" x="2517"/>
        <item m="1" x="699"/>
        <item m="1" x="2405"/>
        <item m="1" x="2347"/>
        <item m="1" x="2180"/>
        <item m="1" x="2821"/>
        <item m="1" x="2125"/>
        <item m="1" x="852"/>
        <item m="1" x="48"/>
        <item m="1" x="2790"/>
        <item m="1" x="2653"/>
        <item m="1" x="5"/>
        <item m="1" x="3186"/>
        <item m="1" x="2650"/>
        <item m="1" x="744"/>
        <item m="1" x="1051"/>
        <item m="1" x="2922"/>
        <item m="1" x="1187"/>
        <item m="1" x="1669"/>
        <item m="1" x="2436"/>
        <item m="1" x="1227"/>
        <item m="1" x="1045"/>
        <item m="1" x="1345"/>
        <item m="1" x="2933"/>
        <item m="1" x="1084"/>
        <item m="1" x="3070"/>
        <item m="1" x="315"/>
        <item m="1" x="2735"/>
        <item m="1" x="1199"/>
        <item m="1" x="562"/>
        <item m="1" x="563"/>
        <item m="1" x="2722"/>
        <item m="1" x="2613"/>
        <item m="1" x="1561"/>
        <item m="1" x="1287"/>
        <item m="1" x="792"/>
        <item m="1" x="664"/>
        <item m="1" x="2954"/>
        <item m="1" x="2983"/>
        <item m="1" x="2721"/>
        <item m="1" x="2387"/>
        <item m="1" x="1881"/>
        <item m="1" x="2492"/>
        <item m="1" x="534"/>
        <item m="1" x="2562"/>
        <item m="1" x="2576"/>
        <item m="1" x="2137"/>
        <item m="1" x="777"/>
        <item m="1" x="740"/>
        <item m="1" x="2873"/>
        <item m="1" x="2383"/>
        <item m="1" x="509"/>
        <item m="1" x="2172"/>
        <item m="1" x="2179"/>
        <item m="1" x="928"/>
        <item m="1" x="2328"/>
        <item m="1" x="2365"/>
        <item m="1" x="1427"/>
        <item m="1" x="1532"/>
        <item m="1" x="2065"/>
        <item m="1" x="365"/>
        <item m="1" x="2936"/>
        <item m="1" x="2083"/>
        <item m="1" x="2337"/>
        <item m="1" x="2940"/>
        <item m="1" x="1913"/>
        <item m="1" x="991"/>
        <item m="1" x="2418"/>
        <item m="1" x="1654"/>
        <item m="1" x="3029"/>
        <item m="1" x="2779"/>
        <item m="1" x="2975"/>
        <item m="1" x="2884"/>
        <item m="1" x="2888"/>
        <item m="1" x="3025"/>
        <item m="1" x="2438"/>
        <item m="1" x="1590"/>
        <item m="1" x="1524"/>
        <item m="1" x="2313"/>
        <item m="1" x="1931"/>
        <item m="1" x="3205"/>
        <item m="1" x="3081"/>
        <item m="1" x="1857"/>
        <item m="1" x="915"/>
        <item m="1" x="193"/>
        <item m="1" x="1782"/>
        <item m="1" x="65"/>
        <item m="1" x="2345"/>
        <item m="1" x="1406"/>
        <item m="1" x="1071"/>
        <item m="1" x="2968"/>
        <item m="1" x="2253"/>
        <item m="1" x="2075"/>
        <item m="1" x="1495"/>
        <item m="1" x="905"/>
        <item m="1" x="2504"/>
        <item m="1" x="2007"/>
        <item m="1" x="1177"/>
        <item m="1" x="2442"/>
        <item m="1" x="3090"/>
        <item m="1" x="1378"/>
        <item m="1" x="607"/>
        <item m="1" x="3"/>
        <item m="1" x="3124"/>
        <item m="1" x="2280"/>
        <item m="1" x="865"/>
        <item m="1" x="946"/>
        <item m="1" x="1174"/>
        <item m="1" x="826"/>
        <item m="1" x="697"/>
        <item m="1" x="1611"/>
        <item m="1" x="1686"/>
        <item m="1" x="1291"/>
        <item m="1" x="2521"/>
        <item m="1" x="1235"/>
        <item m="1" x="503"/>
        <item m="1" x="2879"/>
        <item m="1" x="2317"/>
        <item m="1" x="3084"/>
        <item m="1" x="1912"/>
        <item m="1" x="602"/>
        <item m="1" x="2205"/>
        <item m="1" x="2310"/>
        <item m="1" x="1528"/>
        <item m="1" x="1429"/>
        <item m="1" x="756"/>
        <item m="1" x="2378"/>
        <item m="1" x="843"/>
        <item m="1" x="1101"/>
        <item m="1" x="1383"/>
        <item m="1" x="416"/>
        <item m="1" x="1803"/>
        <item m="1" x="206"/>
        <item m="1" x="35"/>
        <item m="1" x="945"/>
        <item m="1" x="3151"/>
        <item m="1" x="2770"/>
        <item m="1" x="32"/>
        <item m="1" x="15"/>
        <item m="1" x="400"/>
        <item m="1" x="2990"/>
        <item m="1" x="2557"/>
        <item m="1" x="1887"/>
        <item m="1" x="1039"/>
        <item m="1" x="406"/>
        <item m="1" x="204"/>
        <item m="1" x="171"/>
        <item m="1" x="1346"/>
        <item m="1" x="1200"/>
        <item m="1" x="1657"/>
        <item m="1" x="1333"/>
        <item m="1" x="1809"/>
        <item m="1" x="1514"/>
        <item m="1" x="1373"/>
        <item m="1" x="2073"/>
        <item m="1" x="1747"/>
        <item m="1" x="2762"/>
        <item m="1" x="1558"/>
        <item m="1" x="1262"/>
        <item m="1" x="700"/>
        <item m="1" x="2967"/>
        <item m="1" x="2459"/>
        <item m="1" x="1216"/>
        <item m="1" x="128"/>
        <item m="1" x="2513"/>
        <item m="1" x="1295"/>
        <item m="1" x="1041"/>
        <item m="1" x="2022"/>
        <item m="1" x="1600"/>
        <item m="1" x="644"/>
        <item m="1" x="1619"/>
        <item m="1" x="1525"/>
        <item m="1" x="1147"/>
        <item m="1" x="986"/>
        <item m="1" x="2069"/>
        <item m="1" x="2930"/>
        <item m="1" x="39"/>
        <item m="1" x="1980"/>
        <item m="1" x="2924"/>
        <item m="1" x="2489"/>
        <item m="1" x="281"/>
        <item m="1" x="1372"/>
        <item m="1" x="2223"/>
        <item m="1" x="2524"/>
        <item m="1" x="1145"/>
        <item m="1" x="898"/>
        <item m="1" x="878"/>
        <item m="1" x="1032"/>
        <item m="1" x="1124"/>
        <item m="1" x="1717"/>
        <item m="1" x="2760"/>
        <item m="1" x="2705"/>
        <item m="1" x="2645"/>
        <item m="1" x="1919"/>
        <item m="1" x="3027"/>
        <item m="1" x="1451"/>
        <item m="1" x="1536"/>
        <item m="1" x="1579"/>
        <item m="1" x="1839"/>
        <item m="1" x="1994"/>
        <item m="1" x="2674"/>
        <item m="1" x="1191"/>
        <item m="1" x="1784"/>
        <item m="1" x="977"/>
        <item m="1" x="2845"/>
        <item m="1" x="2478"/>
        <item m="1" x="2243"/>
        <item m="1" x="1526"/>
        <item m="1" x="2218"/>
        <item m="1" x="1263"/>
        <item m="1" x="1872"/>
        <item m="1" x="1689"/>
        <item m="1" x="853"/>
        <item m="1" x="1108"/>
        <item m="1" x="453"/>
        <item m="1" x="2964"/>
        <item m="1" x="2078"/>
        <item m="1" x="1223"/>
        <item m="1" x="307"/>
        <item m="1" x="613"/>
        <item m="1" x="60"/>
        <item m="1" x="694"/>
        <item m="1" x="2772"/>
        <item m="1" x="2067"/>
        <item m="1" x="1283"/>
        <item m="1" x="931"/>
        <item m="1" x="2217"/>
        <item m="1" x="1390"/>
        <item m="1" x="2811"/>
        <item m="1" x="1543"/>
        <item m="1" x="2671"/>
        <item m="1" x="1789"/>
        <item m="1" x="1296"/>
        <item m="1" x="939"/>
        <item m="1" x="2548"/>
        <item m="1" x="2058"/>
        <item m="1" x="2015"/>
        <item m="1" x="778"/>
        <item m="1" x="1109"/>
        <item m="1" x="1635"/>
        <item m="1" x="3097"/>
        <item m="1" x="796"/>
        <item m="1" x="2064"/>
        <item m="1" x="2220"/>
        <item m="1" x="3102"/>
        <item m="1" x="572"/>
        <item m="1" x="2909"/>
        <item m="1" x="1158"/>
        <item m="1" x="1467"/>
        <item m="1" x="3173"/>
        <item m="1" x="2897"/>
        <item m="1" x="545"/>
        <item m="1" x="1987"/>
        <item m="1" x="1977"/>
        <item m="1" x="1331"/>
        <item m="1" x="1280"/>
        <item m="1" x="530"/>
        <item m="1" x="2183"/>
        <item m="1" x="1212"/>
        <item m="1" x="1831"/>
        <item m="1" x="920"/>
        <item m="1" x="2934"/>
        <item m="1" x="847"/>
        <item m="1" x="2473"/>
        <item m="1" x="789"/>
        <item m="1" x="2452"/>
        <item m="1" x="1724"/>
        <item m="1" x="1093"/>
        <item m="1" x="2450"/>
        <item m="1" x="2234"/>
        <item m="1" x="1454"/>
        <item m="1" x="1744"/>
        <item m="1" x="1146"/>
        <item m="1" x="1859"/>
        <item m="1" x="1256"/>
        <item m="1" x="1014"/>
        <item m="1" x="1325"/>
        <item m="1" x="1375"/>
        <item m="1" x="665"/>
        <item m="1" x="435"/>
        <item m="1" x="721"/>
        <item m="1" x="57"/>
        <item m="1" x="3127"/>
        <item m="1" x="594"/>
        <item m="1" x="850"/>
        <item m="1" x="1818"/>
        <item m="1" x="249"/>
        <item m="1" x="2926"/>
        <item m="1" x="2994"/>
        <item m="1" x="1644"/>
        <item m="1" x="1456"/>
        <item m="1" x="651"/>
        <item m="1" x="1959"/>
        <item m="1" x="1221"/>
        <item m="1" x="2416"/>
        <item m="1" x="1629"/>
        <item m="1" x="1095"/>
        <item m="1" x="996"/>
        <item m="1" x="226"/>
        <item m="1" x="988"/>
        <item m="1" x="2657"/>
        <item m="1" x="2743"/>
        <item m="1" x="1570"/>
        <item m="1" x="3201"/>
        <item m="1" x="2254"/>
        <item m="1" x="1170"/>
        <item m="1" x="2484"/>
        <item m="1" x="718"/>
        <item m="1" x="2606"/>
        <item m="1" x="2960"/>
        <item m="1" x="2196"/>
        <item m="1" x="1949"/>
        <item m="1" x="1218"/>
        <item m="1" x="2624"/>
        <item m="1" x="1908"/>
        <item m="1" x="408"/>
        <item m="1" x="681"/>
        <item m="1" x="1030"/>
        <item m="1" x="3083"/>
        <item m="1" x="343"/>
        <item m="1" x="3085"/>
        <item m="1" x="773"/>
        <item m="1" x="1031"/>
        <item m="1" x="771"/>
        <item m="1" x="1494"/>
        <item m="1" x="1110"/>
        <item m="1" x="268"/>
        <item m="1" x="2518"/>
        <item m="1" x="629"/>
        <item m="1" x="2726"/>
        <item m="1" x="696"/>
        <item m="1" x="3115"/>
        <item m="1" x="2982"/>
        <item m="1" x="2320"/>
        <item m="1" x="3004"/>
        <item m="1" x="3078"/>
        <item m="1" x="3121"/>
        <item m="1" x="1513"/>
        <item m="1" x="1204"/>
        <item m="1" x="51"/>
        <item m="1" x="1738"/>
        <item m="1" x="1065"/>
        <item m="1" x="2379"/>
        <item m="1" x="1993"/>
        <item m="1" x="2802"/>
        <item m="1" x="1231"/>
        <item m="1" x="478"/>
        <item m="1" x="1551"/>
        <item m="1" x="2014"/>
        <item m="1" x="1794"/>
        <item m="1" x="1631"/>
        <item m="1" x="1694"/>
        <item m="1" x="2085"/>
        <item m="1" x="314"/>
        <item m="1" x="417"/>
        <item m="1" x="968"/>
        <item m="1" x="933"/>
        <item m="1" x="1701"/>
        <item m="1" x="2531"/>
        <item m="1" x="1566"/>
        <item m="1" x="1189"/>
        <item m="1" x="2200"/>
        <item m="1" x="2195"/>
        <item m="1" x="2010"/>
        <item m="1" x="1905"/>
        <item m="1" x="3221"/>
        <item m="1" x="1641"/>
        <item m="1" x="1766"/>
        <item m="1" x="2481"/>
        <item m="1" x="588"/>
        <item m="1" x="2163"/>
        <item m="1" x="1577"/>
        <item m="1" x="1462"/>
        <item m="1" x="1668"/>
        <item m="1" x="2898"/>
        <item m="1" x="2883"/>
        <item m="1" x="457"/>
        <item m="1" x="1452"/>
        <item m="1" x="2193"/>
        <item m="1" x="393"/>
        <item m="1" x="2719"/>
        <item m="1" x="471"/>
        <item m="1" x="2231"/>
        <item m="1" x="1902"/>
        <item m="1" x="2321"/>
        <item m="1" x="1275"/>
        <item m="1" x="2272"/>
        <item m="1" x="1898"/>
        <item m="1" x="1279"/>
        <item m="1" x="963"/>
        <item m="1" x="2204"/>
        <item m="1" x="1020"/>
        <item m="1" x="684"/>
        <item m="1" x="638"/>
        <item m="1" x="1837"/>
        <item m="1" x="1420"/>
        <item m="1" x="1966"/>
        <item m="1" x="2226"/>
        <item m="1" x="1293"/>
        <item m="1" x="2353"/>
        <item m="1" x="1017"/>
        <item m="1" x="818"/>
        <item m="1" x="1923"/>
        <item m="1" x="1405"/>
        <item m="1" x="749"/>
        <item m="1" x="349"/>
        <item m="1" x="2027"/>
        <item m="1" x="3126"/>
        <item m="1" x="1785"/>
        <item m="1" x="1463"/>
        <item m="1" x="1105"/>
        <item m="1" x="1904"/>
        <item m="1" x="518"/>
        <item m="1" x="3013"/>
        <item m="1" x="1557"/>
        <item m="1" x="544"/>
        <item m="1" x="3142"/>
        <item m="1" x="551"/>
        <item m="1" x="111"/>
        <item m="1" x="2746"/>
        <item m="1" x="2932"/>
        <item m="1" x="2340"/>
        <item m="1" x="2547"/>
        <item m="1" x="2692"/>
        <item m="1" x="1933"/>
        <item m="1" x="593"/>
        <item m="1" x="2214"/>
        <item m="1" x="2437"/>
        <item m="1" x="2071"/>
        <item m="1" x="1737"/>
        <item m="1" x="2263"/>
        <item m="1" x="1995"/>
        <item m="1" x="1677"/>
        <item m="1" x="2100"/>
        <item m="1" x="1508"/>
        <item m="1" x="1842"/>
        <item m="1" x="2765"/>
        <item m="1" x="2825"/>
        <item m="1" x="3091"/>
        <item m="1" x="3156"/>
        <item m="1" x="1302"/>
        <item m="1" x="1500"/>
        <item m="1" x="395"/>
        <item m="1" x="2639"/>
        <item m="1" x="543"/>
        <item m="1" x="3046"/>
        <item m="1" x="3183"/>
        <item m="1" x="340"/>
        <item m="1" x="2675"/>
        <item m="1" x="3024"/>
        <item m="1" x="1483"/>
        <item m="1" x="549"/>
        <item m="1" x="1552"/>
        <item m="1" x="1562"/>
        <item m="1" x="989"/>
        <item m="1" x="993"/>
        <item m="1" x="2573"/>
        <item m="1" x="1171"/>
        <item m="1" x="519"/>
        <item m="1" x="942"/>
        <item m="1" x="2594"/>
        <item m="1" x="1267"/>
        <item m="1" x="2836"/>
        <item m="1" x="2410"/>
        <item m="1" x="2110"/>
        <item m="1" x="578"/>
        <item m="1" x="1787"/>
        <item m="1" x="2827"/>
        <item m="1" x="1963"/>
        <item m="1" x="1380"/>
        <item m="1" x="205"/>
        <item m="1" x="2135"/>
        <item m="1" x="386"/>
        <item m="1" x="2219"/>
        <item m="1" x="272"/>
        <item m="1" x="3155"/>
        <item m="1" x="2858"/>
        <item m="1" x="527"/>
        <item m="1" x="113"/>
        <item m="1" x="2591"/>
        <item m="1" x="2754"/>
        <item m="1" x="2815"/>
        <item m="1" x="2769"/>
        <item m="1" x="2428"/>
        <item m="1" x="2572"/>
        <item m="1" x="2641"/>
        <item m="1" x="1877"/>
        <item m="1" x="2904"/>
        <item m="1" x="807"/>
        <item m="1" x="1251"/>
        <item m="1" x="1428"/>
        <item m="1" x="10"/>
        <item m="1" x="761"/>
        <item m="1" x="823"/>
        <item m="1" x="705"/>
        <item m="1" x="3196"/>
        <item m="1" x="1586"/>
        <item m="1" x="433"/>
        <item m="1" x="1073"/>
        <item m="1" x="885"/>
        <item m="1" x="554"/>
        <item m="1" x="921"/>
        <item m="1" x="1015"/>
        <item m="1" x="2929"/>
        <item m="1" x="2268"/>
        <item m="1" x="2935"/>
        <item m="1" x="1864"/>
        <item m="1" x="2568"/>
        <item m="1" x="2651"/>
        <item m="1" x="2590"/>
        <item m="1" x="2308"/>
        <item m="1" x="938"/>
        <item m="1" x="1012"/>
        <item m="1" x="362"/>
        <item m="1" x="1397"/>
        <item m="1" x="3132"/>
        <item m="1" x="794"/>
        <item m="1" x="552"/>
        <item m="1" x="476"/>
        <item m="1" x="581"/>
        <item m="1" x="370"/>
        <item m="1" x="592"/>
        <item m="1" x="405"/>
        <item m="1" x="456"/>
        <item m="1" x="497"/>
        <item m="1" x="674"/>
        <item m="1" x="1196"/>
        <item m="1" x="1788"/>
        <item m="1" x="287"/>
        <item m="1" x="49"/>
        <item m="1" x="1674"/>
        <item m="1" x="1220"/>
        <item m="1" x="934"/>
        <item m="1" x="444"/>
        <item m="1" x="229"/>
        <item m="1" x="2326"/>
        <item m="1" x="3045"/>
        <item m="1" x="1308"/>
        <item m="1" x="1951"/>
        <item m="1" x="2908"/>
        <item m="1" x="1634"/>
        <item m="1" x="2728"/>
        <item m="1" x="3220"/>
        <item m="1" x="94"/>
        <item m="1" x="1854"/>
        <item m="1" x="1682"/>
        <item m="1" x="291"/>
        <item m="1" x="2535"/>
        <item m="1" x="2246"/>
        <item m="1" x="919"/>
        <item m="1" x="1153"/>
        <item m="1" x="2109"/>
        <item m="1" x="1330"/>
        <item m="1" x="812"/>
        <item m="1" x="2380"/>
        <item m="1" x="702"/>
        <item m="1" x="1954"/>
        <item m="1" x="598"/>
        <item m="1" x="1074"/>
        <item m="1" x="2474"/>
        <item m="1" x="2372"/>
        <item m="1" x="1659"/>
        <item m="1" x="2603"/>
        <item m="1" x="1151"/>
        <item m="1" x="1999"/>
        <item m="1" x="2714"/>
        <item m="1" x="309"/>
        <item m="1" x="935"/>
        <item m="1" x="2681"/>
        <item m="1" x="3098"/>
        <item m="1" x="71"/>
        <item m="1" x="1640"/>
        <item m="1" x="2985"/>
        <item m="1" x="565"/>
        <item m="1" x="2408"/>
        <item m="1" x="2927"/>
        <item m="1" x="2341"/>
        <item m="1" x="2465"/>
        <item m="1" x="2850"/>
        <item m="1" x="1767"/>
        <item m="1" x="2707"/>
        <item m="1" x="2273"/>
        <item m="1" x="2040"/>
        <item m="1" x="18"/>
        <item m="1" x="2230"/>
        <item m="1" x="3169"/>
        <item m="1" x="608"/>
        <item m="1" x="437"/>
        <item m="1" x="2689"/>
        <item m="1" x="1981"/>
        <item m="1" x="1233"/>
        <item m="1" x="1361"/>
        <item m="1" x="1459"/>
        <item m="1" x="550"/>
        <item m="1" x="2907"/>
        <item m="1" x="2587"/>
        <item m="1" x="1680"/>
        <item m="1" x="2388"/>
        <item m="1" x="2699"/>
        <item m="1" x="2046"/>
        <item m="1" x="1139"/>
        <item m="1" x="620"/>
        <item m="1" x="1741"/>
        <item m="1" x="2750"/>
        <item m="1" x="2585"/>
        <item m="1" x="2421"/>
        <item m="1" x="3112"/>
        <item m="1" x="2184"/>
        <item m="1" x="3197"/>
        <item m="1" x="2819"/>
        <item m="1" x="1615"/>
        <item m="1" x="676"/>
        <item m="1" x="2056"/>
        <item m="1" x="175"/>
        <item m="1" x="252"/>
        <item m="1" x="2847"/>
        <item m="1" x="2894"/>
        <item m="1" x="524"/>
        <item m="1" x="1925"/>
        <item m="1" x="3039"/>
        <item m="1" x="2661"/>
        <item m="1" x="2527"/>
        <item m="1" x="643"/>
        <item m="1" x="2823"/>
        <item m="1" x="983"/>
        <item m="1" x="1472"/>
        <item m="1" x="1255"/>
        <item m="1" x="1970"/>
        <item m="1" x="3096"/>
        <item m="1" x="107"/>
        <item m="1" x="1371"/>
        <item m="1" x="1903"/>
        <item m="1" x="2507"/>
        <item m="1" x="2805"/>
        <item m="1" x="3072"/>
        <item m="1" x="2826"/>
        <item m="1" x="1137"/>
        <item m="1" x="2782"/>
        <item m="1" x="1067"/>
        <item m="1" x="1340"/>
        <item m="1" x="1939"/>
        <item m="1" x="2057"/>
        <item m="1" x="2435"/>
        <item m="1" x="2144"/>
        <item m="1" x="1882"/>
        <item m="1" x="1704"/>
        <item m="1" x="647"/>
        <item m="1" x="1478"/>
        <item m="1" x="1762"/>
        <item m="1" x="1940"/>
        <item m="1" x="1915"/>
        <item m="1" x="2318"/>
        <item m="1" x="1636"/>
        <item m="1" x="1624"/>
        <item m="1" x="69"/>
        <item m="1" x="3189"/>
        <item m="1" x="2460"/>
        <item m="1" x="1265"/>
        <item m="1" x="422"/>
        <item m="1" x="2091"/>
        <item m="1" x="561"/>
        <item m="1" x="2155"/>
        <item m="1" x="1443"/>
        <item m="1" x="2491"/>
        <item m="1" x="1664"/>
        <item m="1" x="556"/>
        <item m="1" x="299"/>
        <item m="1" x="1492"/>
        <item m="1" x="1022"/>
        <item m="1" x="869"/>
        <item m="1" x="1363"/>
        <item m="1" x="1725"/>
        <item m="1" x="924"/>
        <item m="1" x="1257"/>
        <item m="1" x="1598"/>
        <item m="1" x="648"/>
        <item m="1" x="584"/>
        <item m="1" x="2024"/>
        <item m="1" x="1627"/>
        <item m="1" x="1100"/>
        <item m="1" x="1820"/>
        <item m="1" x="723"/>
        <item m="1" x="1393"/>
        <item m="1" x="2542"/>
        <item m="1" x="1708"/>
        <item m="1" x="1628"/>
        <item m="1" x="715"/>
        <item m="1" x="2373"/>
        <item m="1" x="3225"/>
        <item m="1" x="1665"/>
        <item m="1" x="2793"/>
        <item m="1" x="2532"/>
        <item m="1" x="573"/>
        <item m="1" x="76"/>
        <item m="1" x="2406"/>
        <item m="1" x="2957"/>
        <item m="1" x="2182"/>
        <item m="1" x="2686"/>
        <item m="1" x="2425"/>
        <item m="1" x="2025"/>
        <item m="1" x="857"/>
        <item m="1" x="688"/>
        <item m="1" x="2005"/>
        <item m="1" x="2038"/>
        <item m="1" x="716"/>
        <item m="1" x="2646"/>
        <item m="1" x="909"/>
        <item m="1" x="93"/>
        <item m="1" x="932"/>
        <item m="1" x="1247"/>
        <item m="1" x="2471"/>
        <item m="1" x="235"/>
        <item m="1" x="3152"/>
        <item m="1" x="2329"/>
        <item m="1" x="2132"/>
        <item m="1" x="1042"/>
        <item m="1" x="1961"/>
        <item m="1" x="2059"/>
        <item m="1" x="1292"/>
        <item m="1" x="3021"/>
        <item m="1" x="3094"/>
        <item m="1" x="2115"/>
        <item m="1" x="2503"/>
        <item m="1" x="2680"/>
        <item m="1" x="3092"/>
        <item m="1" x="2520"/>
        <item m="1" x="1142"/>
        <item m="1" x="2863"/>
        <item m="1" x="669"/>
        <item m="1" x="2194"/>
        <item m="1" x="38"/>
        <item m="1" x="2621"/>
        <item m="1" x="2552"/>
        <item m="1" x="2655"/>
        <item m="1" x="2486"/>
        <item m="1" x="1435"/>
        <item m="1" x="2479"/>
        <item m="1" x="2615"/>
        <item m="1" x="1285"/>
        <item m="1" x="815"/>
        <item m="1" x="2391"/>
        <item m="1" x="1083"/>
        <item m="1" x="108"/>
        <item m="1" x="136"/>
        <item m="1" x="1098"/>
        <item m="1" x="1215"/>
        <item m="1" x="2151"/>
        <item m="1" x="1815"/>
        <item m="1" x="1234"/>
        <item m="1" x="1489"/>
        <item m="1" x="2278"/>
        <item m="1" x="1779"/>
        <item m="1" x="1860"/>
        <item m="1" x="2511"/>
        <item m="1" x="2029"/>
        <item m="1" x="1845"/>
        <item m="1" x="242"/>
        <item m="1" x="1944"/>
        <item m="1" x="2049"/>
        <item m="1" x="1651"/>
        <item m="1" x="2989"/>
        <item m="1" x="911"/>
        <item m="1" x="1958"/>
        <item m="1" x="415"/>
        <item m="1" x="2468"/>
        <item m="1" x="1774"/>
        <item m="1" x="2852"/>
        <item m="1" x="283"/>
        <item m="1" x="218"/>
        <item m="1" x="3188"/>
        <item m="1" x="496"/>
        <item m="1" x="2757"/>
        <item m="1" x="434"/>
        <item m="1" x="356"/>
        <item m="1" x="147"/>
        <item m="1" x="1748"/>
        <item m="1" x="3056"/>
        <item m="1" x="1322"/>
        <item m="1" x="3167"/>
        <item m="1" x="1808"/>
        <item m="1" x="2865"/>
        <item m="1" x="1895"/>
        <item m="1" x="1414"/>
        <item m="1" x="569"/>
        <item m="1" x="428"/>
        <item m="1" x="707"/>
        <item m="1" x="571"/>
        <item m="1" x="1319"/>
        <item m="1" x="3071"/>
        <item m="1" x="403"/>
        <item m="1" x="465"/>
        <item m="1" x="1773"/>
        <item m="1" x="1729"/>
        <item m="1" x="726"/>
        <item m="1" x="774"/>
        <item m="1" x="902"/>
        <item m="1" x="837"/>
        <item m="1" x="828"/>
        <item m="1" x="1133"/>
        <item m="1" x="1828"/>
        <item m="1" x="1718"/>
        <item m="1" x="780"/>
        <item m="1" x="1278"/>
        <item m="1" x="1535"/>
        <item m="1" x="2996"/>
        <item m="1" x="787"/>
        <item m="1" x="1111"/>
        <item m="1" x="2480"/>
        <item m="1" x="2540"/>
        <item m="1" x="1661"/>
        <item m="1" x="879"/>
        <item m="1" x="2283"/>
        <item m="1" x="2731"/>
        <item m="1" x="1710"/>
        <item m="1" x="1796"/>
        <item m="1" x="2334"/>
        <item m="1" x="2953"/>
        <item m="1" x="350"/>
        <item m="1" x="2962"/>
        <item m="1" x="2611"/>
        <item m="1" x="2808"/>
        <item m="1" x="729"/>
        <item m="1" x="2598"/>
        <item m="1" x="1496"/>
        <item m="1" x="663"/>
        <item m="1" x="91"/>
        <item m="1" x="1026"/>
        <item m="1" x="2039"/>
        <item m="1" x="90"/>
        <item m="1" x="829"/>
        <item m="1" x="2034"/>
        <item m="1" x="960"/>
        <item m="1" x="741"/>
        <item m="1" x="134"/>
        <item m="1" x="123"/>
        <item m="1" x="1806"/>
        <item m="1" x="2143"/>
        <item m="1" x="2360"/>
        <item m="1" x="1206"/>
        <item m="1" x="1418"/>
        <item m="1" x="2732"/>
        <item m="1" x="2332"/>
        <item m="1" x="278"/>
        <item m="1" x="2533"/>
        <item m="1" x="2011"/>
        <item m="1" x="319"/>
        <item m="1" x="1671"/>
        <item m="1" x="2534"/>
        <item m="1" x="2582"/>
        <item m="1" x="79"/>
        <item m="1" x="2948"/>
        <item m="1" x="586"/>
        <item m="1" x="2131"/>
        <item m="1" x="2781"/>
        <item m="1" x="809"/>
        <item m="1" x="1850"/>
        <item m="1" x="973"/>
        <item m="1" x="3054"/>
        <item m="1" x="1040"/>
        <item m="1" x="3095"/>
        <item m="1" x="1339"/>
        <item m="1" x="140"/>
        <item m="1" x="2970"/>
        <item m="1" x="2605"/>
        <item m="1" x="1621"/>
        <item m="1" x="2804"/>
        <item m="1" x="1141"/>
        <item m="1" x="896"/>
        <item m="1" x="2336"/>
        <item m="1" x="2003"/>
        <item m="1" x="2445"/>
        <item m="1" x="44"/>
        <item m="1" x="1391"/>
        <item m="1" x="3185"/>
        <item m="1" x="1131"/>
        <item m="1" x="45"/>
        <item m="1" x="1856"/>
        <item m="1" x="37"/>
        <item m="1" x="1310"/>
        <item m="1" x="649"/>
        <item m="1" x="1776"/>
        <item m="1" x="1647"/>
        <item m="1" x="3113"/>
        <item m="1" x="2189"/>
        <item m="1" x="3011"/>
        <item m="1" x="2467"/>
        <item m="1" x="2451"/>
        <item m="1" x="3093"/>
        <item m="1" x="176"/>
        <item m="1" x="662"/>
        <item m="1" x="423"/>
        <item m="1" x="2649"/>
        <item m="1" x="2831"/>
        <item m="1" x="2322"/>
        <item m="1" x="1969"/>
        <item m="1" x="678"/>
        <item m="1" x="336"/>
        <item m="1" x="1005"/>
        <item m="1" x="2881"/>
        <item m="1" x="951"/>
        <item m="1" x="2098"/>
        <item m="1" x="3210"/>
        <item m="1" x="1421"/>
        <item m="1" x="930"/>
        <item m="1" x="2849"/>
        <item m="1" x="1587"/>
        <item m="1" x="2221"/>
        <item m="1" x="324"/>
        <item m="1" x="728"/>
        <item m="1" x="504"/>
        <item m="1" x="1648"/>
        <item m="1" x="266"/>
        <item m="1" x="3101"/>
        <item m="1" x="413"/>
        <item m="1" x="2694"/>
        <item m="1" x="1991"/>
        <item m="1" x="1342"/>
        <item m="1" x="1684"/>
        <item m="1" x="2099"/>
        <item m="1" x="2643"/>
        <item m="1" x="1035"/>
        <item m="1" x="1821"/>
        <item m="1" x="1450"/>
        <item m="1" x="484"/>
        <item m="1" x="66"/>
        <item m="1" x="2817"/>
        <item m="1" x="2267"/>
        <item m="1" x="2201"/>
        <item m="1" x="1623"/>
        <item m="1" x="2168"/>
        <item m="1" x="2901"/>
        <item m="1" x="855"/>
        <item m="1" x="2795"/>
        <item m="1" x="2574"/>
        <item m="1" x="2139"/>
        <item m="1" x="2055"/>
        <item m="1" x="1290"/>
        <item m="1" x="335"/>
        <item m="1" x="2301"/>
        <item m="1" x="2426"/>
        <item m="1" x="1423"/>
        <item m="1" x="1567"/>
        <item m="1" x="404"/>
        <item m="1" x="259"/>
        <item m="1" x="2716"/>
        <item m="1" x="1172"/>
        <item m="1" x="2016"/>
        <item m="1" x="1304"/>
        <item m="1" x="507"/>
        <item m="1" x="2350"/>
        <item m="1" x="1924"/>
        <item m="1" x="303"/>
        <item m="1" x="168"/>
        <item m="1" x="99"/>
        <item m="1" x="2444"/>
        <item m="1" x="2526"/>
        <item m="1" x="600"/>
        <item m="1" x="231"/>
        <item m="1" x="632"/>
        <item m="1" x="2116"/>
        <item m="1" x="1377"/>
        <item m="1" x="1328"/>
        <item m="1" x="677"/>
        <item m="1" x="2638"/>
        <item m="1" x="522"/>
        <item m="1" x="2198"/>
        <item m="1" x="954"/>
        <item m="1" x="1167"/>
        <item m="1" x="720"/>
        <item m="1" x="2464"/>
        <item m="1" x="785"/>
        <item m="1" x="1271"/>
        <item m="1" x="1504"/>
        <item m="1" x="2794"/>
        <item m="1" x="725"/>
        <item m="1" x="1447"/>
        <item m="1" x="2327"/>
        <item m="1" x="640"/>
        <item m="1" x="1468"/>
        <item m="1" x="3125"/>
        <item m="1" x="2497"/>
        <item m="1" x="1642"/>
        <item m="1" x="1002"/>
        <item m="1" x="2741"/>
        <item m="1" x="2776"/>
        <item m="1" x="2995"/>
        <item m="1" x="927"/>
        <item m="1" x="2984"/>
        <item m="1" x="1696"/>
        <item m="1" x="124"/>
        <item m="1" x="491"/>
        <item m="1" x="436"/>
        <item m="1" x="1081"/>
        <item m="1" x="1697"/>
        <item m="1" x="1225"/>
        <item m="1" x="1409"/>
        <item m="1" x="2625"/>
        <item m="1" x="2367"/>
        <item m="1" x="2080"/>
        <item m="1" x="1520"/>
        <item m="1" x="3000"/>
        <item m="1" x="166"/>
        <item m="1" x="2949"/>
        <item m="1" x="2483"/>
        <item m="1" x="514"/>
        <item m="1" x="579"/>
        <item m="1" x="224"/>
        <item m="1" x="293"/>
        <item m="1" x="1486"/>
        <item m="1" x="2529"/>
        <item m="1" x="2871"/>
        <item m="1" x="2152"/>
        <item m="1" x="1305"/>
        <item m="1" x="567"/>
        <item m="1" x="1354"/>
        <item m="1" x="3160"/>
        <item m="1" x="2864"/>
        <item m="1" x="2371"/>
        <item m="1" x="1498"/>
        <item m="1" x="2763"/>
        <item m="1" x="2652"/>
        <item m="1" x="1474"/>
        <item m="1" x="1453"/>
        <item m="1" x="1307"/>
        <item m="1" x="615"/>
        <item m="1" x="3014"/>
        <item m="1" x="2106"/>
        <item m="1" x="1989"/>
        <item m="1" x="1681"/>
        <item m="1" x="1673"/>
        <item m="1" x="1625"/>
        <item m="1" x="2164"/>
        <item m="1" x="382"/>
        <item m="1" x="1250"/>
        <item m="1" x="1973"/>
        <item m="1" x="908"/>
        <item m="1" x="2140"/>
        <item m="1" x="1261"/>
        <item m="1" x="1964"/>
        <item m="1" x="1510"/>
        <item m="1" x="1182"/>
        <item m="1" x="2644"/>
        <item m="1" x="2785"/>
        <item m="1" x="970"/>
        <item m="1" x="1368"/>
        <item m="1" x="2596"/>
        <item m="1" x="2061"/>
        <item m="1" x="2402"/>
        <item m="1" x="1824"/>
        <item m="1" x="3033"/>
        <item m="1" x="533"/>
        <item m="1" x="385"/>
        <item m="1" x="1457"/>
        <item m="1" x="1849"/>
        <item m="1" x="2713"/>
        <item m="1" x="2191"/>
        <item m="1" x="490"/>
        <item m="1" x="152"/>
        <item m="1" x="227"/>
        <item m="1" x="296"/>
        <item m="1" x="831"/>
        <item m="1" x="50"/>
        <item m="1" x="2261"/>
        <item m="1" x="2656"/>
        <item m="1" x="2145"/>
        <item m="1" x="1023"/>
        <item m="1" x="1938"/>
        <item m="1" x="3044"/>
        <item m="1" x="2974"/>
        <item m="1" x="1678"/>
        <item m="1" x="2197"/>
        <item m="1" x="1004"/>
        <item m="1" x="775"/>
        <item m="1" x="912"/>
        <item m="1" x="617"/>
        <item m="1" x="1013"/>
        <item m="1" x="228"/>
        <item m="1" x="2682"/>
        <item m="1" x="2502"/>
        <item m="1" x="959"/>
        <item m="1" x="1112"/>
        <item m="1" x="2679"/>
        <item m="1" x="1057"/>
        <item m="1" x="2834"/>
        <item m="1" x="1632"/>
        <item m="1" x="364"/>
        <item m="1" x="575"/>
        <item m="1" x="1728"/>
        <item m="1" x="2447"/>
        <item m="1" x="2555"/>
        <item m="1" x="2397"/>
        <item m="1" x="679"/>
        <item m="1" x="755"/>
        <item m="1" x="813"/>
        <item m="1" x="2619"/>
        <item m="1" x="1736"/>
        <item m="1" x="658"/>
        <item m="1" x="1059"/>
        <item m="1" x="856"/>
        <item m="1" x="81"/>
        <item m="1" x="330"/>
        <item m="1" x="376"/>
        <item m="1" x="3193"/>
        <item m="1" x="443"/>
        <item m="1" x="1001"/>
        <item m="1" x="2778"/>
        <item m="1" x="3123"/>
        <item m="1" x="1865"/>
        <item m="1" x="2634"/>
        <item m="1" x="232"/>
        <item m="1" x="1102"/>
        <item m="1" x="2281"/>
        <item m="1" x="1702"/>
        <item m="1" x="1605"/>
        <item m="1" x="354"/>
        <item m="1" x="282"/>
        <item m="1" x="345"/>
        <item m="1" x="277"/>
        <item m="1" x="3117"/>
        <item m="1" x="1916"/>
        <item m="1" x="2084"/>
        <item m="1" x="1639"/>
        <item m="1" x="1254"/>
        <item m="1" x="1087"/>
        <item m="1" x="29"/>
        <item m="1" x="1036"/>
        <item m="1" x="2417"/>
        <item m="1" x="889"/>
        <item m="1" x="3162"/>
        <item m="1" x="616"/>
        <item m="1" x="21"/>
        <item m="1" x="475"/>
        <item m="1" x="104"/>
        <item m="1" x="2018"/>
        <item m="1" x="1538"/>
        <item m="1" x="2430"/>
        <item m="1" x="182"/>
        <item m="1" x="606"/>
        <item m="1" x="72"/>
        <item m="1" x="2838"/>
        <item m="1" x="2703"/>
        <item m="1" x="2786"/>
        <item m="1" x="418"/>
        <item m="1" x="2832"/>
        <item m="1" x="3174"/>
        <item m="1" x="1716"/>
        <item m="1" x="2390"/>
        <item m="1" x="401"/>
        <item m="1" x="926"/>
        <item m="1" x="1195"/>
        <item m="1" x="1445"/>
        <item m="1" x="784"/>
        <item m="1" x="2966"/>
        <item m="1" x="487"/>
        <item m="1" x="3224"/>
        <item m="1" x="782"/>
        <item m="1" x="797"/>
        <item m="1" x="2315"/>
        <item m="1" x="2287"/>
        <item m="1" x="2890"/>
        <item m="1" x="2688"/>
        <item m="1" x="2758"/>
        <item m="1" x="2697"/>
        <item m="1" x="3187"/>
        <item m="1" x="1527"/>
        <item m="1" x="2840"/>
        <item m="1" x="1852"/>
        <item m="1" x="494"/>
        <item m="1" x="1638"/>
        <item m="1" x="2828"/>
        <item m="1" x="25"/>
        <item m="1" x="1770"/>
        <item m="1" x="2054"/>
        <item m="1" x="2710"/>
        <item m="1" x="1533"/>
        <item m="1" x="1347"/>
        <item m="1" x="1721"/>
        <item m="1" x="753"/>
        <item m="1" x="308"/>
        <item m="1" x="1422"/>
        <item m="1" x="2910"/>
        <item m="1" x="2203"/>
        <item m="1" x="2570"/>
        <item m="1" x="2346"/>
        <item m="1" x="100"/>
        <item m="1" x="30"/>
        <item m="1" x="174"/>
        <item m="1" x="757"/>
        <item m="1" x="1937"/>
        <item m="1" x="80"/>
        <item m="1" x="1666"/>
        <item m="1" x="1116"/>
        <item m="1" x="2635"/>
        <item m="1" x="751"/>
        <item m="1" x="2081"/>
        <item m="1" x="3191"/>
        <item m="1" x="239"/>
        <item m="1" x="1190"/>
        <item m="1" x="2986"/>
        <item m="1" x="159"/>
        <item m="1" x="1080"/>
        <item m="1" x="1246"/>
        <item m="1" x="995"/>
        <item m="1" x="1889"/>
        <item m="1" x="1321"/>
        <item m="1" x="1714"/>
        <item m="1" x="1652"/>
        <item m="1" x="2767"/>
        <item m="1" x="827"/>
        <item m="1" x="1411"/>
        <item m="1" x="1317"/>
        <item m="1" x="3002"/>
        <item m="1" x="2516"/>
        <item m="1" x="1089"/>
        <item m="1" x="2690"/>
        <item m="1" x="486"/>
        <item m="1" x="210"/>
        <item m="1" x="3069"/>
        <item m="1" x="979"/>
        <item m="1" x="1269"/>
        <item m="1" x="3003"/>
        <item m="1" x="2381"/>
        <item m="1" x="2868"/>
        <item m="1" x="3086"/>
        <item m="1" x="2695"/>
        <item m="1" x="2565"/>
        <item m="1" x="2146"/>
        <item m="1" x="1827"/>
        <item m="1" x="2440"/>
        <item m="1" x="611"/>
        <item m="1" x="2035"/>
        <item m="1" x="2000"/>
        <item m="1" x="1132"/>
        <item m="1" x="673"/>
        <item m="1" x="492"/>
        <item m="1" x="43"/>
        <item m="1" x="2074"/>
        <item m="1" x="195"/>
        <item m="1" x="1369"/>
        <item m="1" x="2842"/>
        <item m="1" x="1284"/>
        <item m="1" x="2841"/>
        <item m="1" x="1928"/>
        <item m="1" x="1516"/>
        <item m="1" x="1650"/>
        <item m="1" x="2"/>
        <item m="1" x="1790"/>
        <item m="1" x="609"/>
        <item m="1" x="346"/>
        <item m="1" x="2494"/>
        <item m="1" x="42"/>
        <item m="1" x="2101"/>
        <item m="1" x="2262"/>
        <item m="1" x="1274"/>
        <item m="1" x="822"/>
        <item m="1" x="521"/>
        <item m="1" x="675"/>
        <item m="1" x="2370"/>
        <item m="1" x="1599"/>
        <item m="1" x="2580"/>
        <item m="1" x="1068"/>
        <item m="1" x="2118"/>
        <item m="1" x="810"/>
        <item m="1" x="3110"/>
        <item m="1" x="2664"/>
        <item m="1" x="1054"/>
        <item m="1" x="3055"/>
        <item m="1" x="754"/>
        <item m="1" x="595"/>
        <item m="1" x="1201"/>
        <item m="1" x="526"/>
        <item m="1" x="730"/>
        <item m="1" x="202"/>
        <item m="1" x="1756"/>
        <item m="1" x="1168"/>
        <item m="1" x="1226"/>
        <item m="1" x="116"/>
        <item m="1" x="220"/>
        <item m="1" x="3103"/>
        <item m="1" x="379"/>
        <item m="1" x="1797"/>
        <item m="1" x="407"/>
        <item m="1" x="2333"/>
        <item m="1" x="972"/>
        <item m="1" x="2607"/>
        <item m="1" x="2575"/>
        <item m="1" x="532"/>
        <item m="1" x="2344"/>
        <item m="1" x="1830"/>
        <item m="1" x="2530"/>
        <item m="1" x="3057"/>
        <item m="1" x="3218"/>
        <item m="1" x="2441"/>
        <item m="1" x="1646"/>
        <item m="1" x="34"/>
        <item m="1" x="1230"/>
        <item m="1" x="410"/>
        <item m="1" x="363"/>
        <item m="1" x="426"/>
        <item m="1" x="2577"/>
        <item m="1" x="2718"/>
        <item m="1" x="2249"/>
        <item m="1" x="804"/>
        <item m="1" x="317"/>
        <item m="1" x="1253"/>
        <item m="1" x="1072"/>
        <item m="1" x="463"/>
        <item m="1" x="1069"/>
        <item m="1" x="2820"/>
        <item m="1" x="2156"/>
        <item m="1" x="1540"/>
        <item m="1" x="2859"/>
        <item m="1" x="263"/>
        <item m="1" x="74"/>
        <item m="1" x="2134"/>
        <item m="1" x="84"/>
        <item m="1" x="1173"/>
        <item m="1" x="1019"/>
        <item m="1" x="883"/>
        <item m="1" x="923"/>
        <item m="1" x="943"/>
        <item m="1" x="184"/>
        <item m="1" x="3076"/>
        <item m="1" x="583"/>
        <item m="1" x="2374"/>
        <item m="1" x="2777"/>
        <item m="1" x="2980"/>
        <item m="1" x="115"/>
        <item m="1" x="717"/>
        <item m="1" x="472"/>
        <item m="1" x="1733"/>
        <item m="1" x="2923"/>
        <item m="1" x="574"/>
        <item m="1" x="770"/>
        <item m="1" x="219"/>
        <item m="1" x="2854"/>
        <item m="1" x="2361"/>
        <item m="1" x="997"/>
        <item m="1" x="1793"/>
        <item m="1" x="1846"/>
        <item m="1" x="1897"/>
        <item m="1" x="1366"/>
        <item m="1" x="2991"/>
        <item m="1" x="2670"/>
        <item m="1" x="1660"/>
        <item m="1" x="1385"/>
        <item m="1" x="1043"/>
        <item m="1" x="969"/>
        <item m="1" x="2238"/>
        <item m="1" x="1907"/>
        <item m="1" x="2293"/>
        <item m="1" x="2309"/>
        <item m="1" x="1742"/>
        <item m="1" x="731"/>
        <item m="1" x="830"/>
        <item m="1" x="3001"/>
        <item m="1" x="300"/>
        <item m="1" x="1537"/>
        <item m="1" x="1565"/>
        <item m="1" x="506"/>
        <item m="1" x="1058"/>
        <item m="1" x="772"/>
        <item m="1" x="24"/>
        <item m="1" x="2240"/>
        <item m="1" x="841"/>
        <item m="1" x="3204"/>
        <item m="1" x="1047"/>
        <item m="1" x="2276"/>
        <item m="1" x="2830"/>
        <item m="1" x="691"/>
        <item m="1" x="621"/>
        <item m="1" x="387"/>
        <item m="1" x="1370"/>
        <item m="1" x="836"/>
        <item m="1" x="1482"/>
        <item m="1" x="2560"/>
        <item m="1" x="1169"/>
        <item m="1" x="1765"/>
        <item m="1" x="1315"/>
        <item m="1" x="1016"/>
        <item m="1" x="485"/>
        <item m="1" x="745"/>
        <item m="1" x="209"/>
        <item m="1" x="3137"/>
        <item m="1" x="2389"/>
        <item m="1" x="2846"/>
        <item m="1" x="2601"/>
        <item m="1" x="2342"/>
        <item m="1" x="1053"/>
        <item m="1" x="985"/>
        <item m="1" x="1703"/>
        <item m="1" x="2369"/>
        <item m="1" x="513"/>
        <item m="1" x="1236"/>
        <item m="1" x="502"/>
        <item m="1" x="1240"/>
        <item m="1" x="541"/>
        <item m="1" x="2545"/>
        <item m="1" x="1764"/>
        <item m="1" x="1670"/>
        <item m="1" x="2051"/>
        <item m="1" x="22"/>
        <item m="1" x="2323"/>
        <item m="1" x="2434"/>
        <item m="1" x="2979"/>
        <item m="1" x="1835"/>
        <item m="1" x="280"/>
        <item m="1" x="636"/>
        <item m="1" x="1055"/>
        <item m="1" x="2556"/>
        <item m="1" x="1783"/>
        <item m="1" x="980"/>
        <item m="1" x="2008"/>
        <item m="1" x="1772"/>
        <item m="1" x="3181"/>
        <item m="1" x="2791"/>
        <item m="1" x="1572"/>
        <item m="1" x="7"/>
        <item m="1" x="625"/>
        <item m="1" x="2490"/>
        <item m="1" x="26"/>
        <item m="1" x="2673"/>
        <item m="1" x="95"/>
        <item m="1" x="1066"/>
        <item m="1" x="1553"/>
        <item m="1" x="1926"/>
        <item m="1" x="2349"/>
        <item m="1" x="882"/>
        <item m="1" x="1569"/>
        <item m="1" x="1692"/>
        <item m="1" x="1154"/>
        <item m="1" x="1917"/>
        <item m="1" x="1576"/>
        <item m="1" x="2053"/>
        <item m="1" x="2167"/>
        <item m="1" x="1475"/>
        <item m="1" x="3109"/>
        <item m="1" x="1706"/>
        <item m="1" x="1357"/>
        <item m="1" x="783"/>
        <item m="1" x="341"/>
        <item m="1" x="712"/>
        <item m="1" x="965"/>
        <item m="1" x="2368"/>
        <item m="1" x="2454"/>
        <item m="1" x="135"/>
        <item m="1" x="1401"/>
        <item m="1" x="994"/>
        <item m="1" x="901"/>
        <item m="1" x="1063"/>
        <item m="1" x="1484"/>
        <item m="1" x="495"/>
        <item m="1" x="622"/>
        <item m="1" x="1943"/>
        <item m="1" x="1585"/>
        <item m="1" x="1534"/>
        <item m="1" x="1755"/>
        <item m="1" x="1306"/>
        <item m="1" x="461"/>
        <item m="1" x="286"/>
        <item m="1" x="2612"/>
        <item m="1" x="2632"/>
        <item m="1" x="2640"/>
        <item m="1" x="914"/>
        <item m="1" x="2357"/>
        <item m="1" x="1314"/>
        <item m="1" x="462"/>
        <item m="1" x="3119"/>
        <item m="1" x="2409"/>
        <item m="1" x="1972"/>
        <item m="1" x="690"/>
        <item m="1" x="2919"/>
        <item m="1" x="971"/>
        <item m="1" x="2519"/>
        <item m="1" x="2917"/>
        <item m="1" x="917"/>
        <item m="1" x="2086"/>
        <item m="1" x="546"/>
        <item m="1" x="2801"/>
        <item m="1" x="133"/>
        <item m="1" x="881"/>
        <item m="1" x="2366"/>
        <item m="1" x="106"/>
        <item m="1" x="604"/>
        <item m="1" x="1229"/>
        <item m="1" x="1630"/>
        <item m="1" x="132"/>
        <item m="1" x="1426"/>
        <item m="1" x="27"/>
        <item m="1" x="748"/>
        <item m="1" x="788"/>
        <item m="1" x="392"/>
        <item m="1" x="589"/>
        <item m="1" x="906"/>
        <item m="1" x="1222"/>
        <item m="1" x="1185"/>
        <item m="1" x="2041"/>
        <item m="1" x="1731"/>
        <item m="1" x="1018"/>
        <item m="1" x="156"/>
        <item m="1" x="786"/>
        <item m="1" x="2120"/>
        <item m="1" x="2411"/>
        <item m="1" x="580"/>
        <item m="1" x="516"/>
        <item m="1" x="652"/>
        <item m="1" x="1826"/>
        <item m="1" x="650"/>
        <item m="1" x="2166"/>
        <item m="1" x="122"/>
        <item m="1" x="861"/>
        <item m="1" x="2398"/>
        <item m="1" x="2720"/>
        <item m="1" x="3009"/>
        <item m="1" x="1245"/>
        <item m="1" x="1992"/>
        <item m="1" x="1186"/>
        <item m="1" x="338"/>
        <item m="1" x="1465"/>
        <item m="1" x="2944"/>
        <item m="1" x="2170"/>
        <item m="1" x="97"/>
        <item m="1" x="223"/>
        <item m="1" x="3114"/>
        <item m="1" x="3168"/>
        <item m="1" x="1945"/>
        <item m="1" x="120"/>
        <item m="1" x="2274"/>
        <item m="1" x="207"/>
        <item m="1" x="2307"/>
        <item m="1" x="2627"/>
        <item m="1" x="1029"/>
        <item m="1" x="1461"/>
        <item m="1" x="1208"/>
        <item m="1" x="907"/>
        <item m="1" x="6"/>
        <item m="1" x="214"/>
        <item m="1" x="1213"/>
        <item m="1" x="2928"/>
        <item m="1" x="2107"/>
        <item m="1" x="523"/>
        <item m="1" x="1761"/>
        <item m="1" x="1519"/>
        <item m="1" x="671"/>
        <item m="1" x="2571"/>
        <item m="1" x="464"/>
        <item m="1" x="840"/>
        <item m="1" x="639"/>
        <item m="1" x="477"/>
        <item m="1" x="2848"/>
        <item m="1" x="2734"/>
        <item m="1" x="442"/>
        <item m="1" x="2245"/>
        <item m="1" x="2288"/>
        <item m="1" x="2814"/>
        <item m="1" x="397"/>
        <item m="1" x="2584"/>
        <item m="1" x="765"/>
        <item m="1" x="510"/>
        <item m="1" x="234"/>
        <item m="1" x="3153"/>
        <item m="1" x="2902"/>
        <item m="1" x="2668"/>
        <item m="1" x="2404"/>
        <item m="1" x="2117"/>
        <item m="1" x="1800"/>
        <item m="1" x="1493"/>
        <item m="1" x="1757"/>
        <item m="1" x="2431"/>
        <item m="1" x="601"/>
        <item m="1" x="645"/>
        <item m="1" x="1798"/>
        <item m="1" x="368"/>
        <item m="1" x="619"/>
        <item m="1" x="3212"/>
        <item m="1" x="814"/>
        <item m="1" x="2700"/>
        <item m="1" x="2149"/>
        <item m="1" x="353"/>
        <item m="1" x="1440"/>
        <item m="1" x="2561"/>
        <item m="1" x="2691"/>
        <item m="1" x="2809"/>
        <item m="1" x="1834"/>
        <item m="1" x="596"/>
        <item m="1" x="1637"/>
        <item m="1" x="427"/>
        <item m="1" x="1978"/>
        <item m="1" x="505"/>
        <item m="1" x="2978"/>
        <item m="1" x="2835"/>
        <item m="1" x="566"/>
        <item m="1" x="555"/>
        <item m="1" x="3088"/>
        <item m="1" x="1713"/>
        <item m="1" x="849"/>
        <item m="1" x="1122"/>
        <item m="1" x="36"/>
        <item m="1" x="1078"/>
        <item m="1" x="3022"/>
        <item m="1" x="2044"/>
        <item m="1" x="1867"/>
        <item m="1" x="2860"/>
        <item m="1" x="1726"/>
        <item m="1" x="1550"/>
        <item m="1" x="1861"/>
        <item m="1" x="169"/>
        <item m="1" x="1997"/>
        <item m="1" x="2581"/>
        <item m="1" x="2271"/>
        <item m="1" x="680"/>
        <item m="1" x="40"/>
        <item m="1" x="1119"/>
        <item m="1" x="603"/>
        <item m="1" x="1180"/>
        <item m="1" x="2485"/>
        <item m="1" x="2663"/>
        <item m="1" x="2958"/>
        <item m="1" x="1607"/>
        <item m="1" x="2961"/>
        <item m="1" x="432"/>
        <item m="1" x="2199"/>
        <item m="1" x="431"/>
        <item m="1" x="351"/>
        <item m="1" x="1469"/>
        <item m="1" x="1301"/>
        <item m="1" x="1433"/>
        <item m="1" x="631"/>
        <item m="1" x="2993"/>
        <item m="1" x="366"/>
        <item m="1" x="2753"/>
        <item m="1" x="2739"/>
        <item m="1" x="1876"/>
        <item m="1" x="8"/>
        <item m="1" x="306"/>
        <item m="1" x="2224"/>
        <item m="1" x="1244"/>
        <item m="1" x="1313"/>
        <item m="1" x="949"/>
        <item m="1" x="821"/>
        <item m="1" x="153"/>
        <item m="1" x="2622"/>
        <item m="1" x="703"/>
        <item m="1" x="342"/>
        <item m="1" x="2796"/>
        <item m="1" x="2187"/>
        <item m="1" x="64"/>
        <item m="1" x="267"/>
        <item m="1" x="117"/>
        <item m="1" x="890"/>
        <item m="1" x="2774"/>
        <item m="1" x="1028"/>
        <item m="1" x="1413"/>
        <item m="1" x="630"/>
        <item m="1" x="2303"/>
        <item m="1" x="910"/>
        <item m="1" x="1248"/>
        <item m="1" x="817"/>
        <item m="1" x="138"/>
        <item m="1" x="137"/>
        <item m="1" x="610"/>
        <item m="1" x="762"/>
        <item m="1" x="2851"/>
        <item m="1" x="2589"/>
        <item m="1" x="1998"/>
        <item m="1" x="480"/>
        <item m="1" x="2654"/>
        <item m="1" x="2977"/>
        <item m="1" x="389"/>
        <item m="1" x="1614"/>
        <item m="1" x="2190"/>
        <item m="1" x="929"/>
        <item m="1" x="1273"/>
        <item m="1" x="1367"/>
        <item m="1" x="139"/>
        <item m="1" x="3006"/>
        <item m="1" x="320"/>
        <item m="1" x="508"/>
        <item m="1" x="1986"/>
        <item m="1" x="449"/>
        <item m="1" x="1415"/>
        <item m="1" x="1320"/>
        <item m="1" x="576"/>
        <item m="1" x="832"/>
        <item m="1" x="101"/>
        <item m="1" x="833"/>
        <item m="1" x="145"/>
        <item m="1" x="1743"/>
        <item m="1" x="1979"/>
        <item m="1" x="402"/>
        <item m="1" x="3023"/>
        <item m="1" x="3089"/>
        <item m="1" x="420"/>
        <item m="1" x="540"/>
        <item m="1" x="866"/>
        <item m="1" x="2892"/>
        <item m="1" x="1735"/>
        <item m="1" x="257"/>
        <item m="1" x="2943"/>
        <item m="1" x="1805"/>
        <item m="1" x="3050"/>
        <item m="1" x="1138"/>
        <item m="1" x="3208"/>
        <item m="1" x="1424"/>
        <item m="1" x="577"/>
        <item m="1" x="2466"/>
        <item m="1" x="2712"/>
        <item m="1" x="2153"/>
        <item m="1" x="922"/>
        <item m="1" x="2698"/>
        <item m="1" x="3043"/>
        <item m="1" x="1893"/>
        <item m="1" x="1653"/>
        <item m="1" x="328"/>
        <item m="1" x="52"/>
        <item m="1" x="1312"/>
        <item m="1" x="482"/>
        <item m="1" x="760"/>
        <item m="1" x="895"/>
        <item m="1" x="448"/>
        <item m="1" x="17"/>
        <item m="1" x="2255"/>
        <item m="1" x="2579"/>
        <item m="1" x="876"/>
        <item m="1" x="2212"/>
        <item m="1" x="628"/>
        <item m="1" x="599"/>
        <item m="1" x="373"/>
        <item m="1" x="2423"/>
        <item m="1" x="820"/>
        <item m="1" x="3038"/>
        <item m="1" x="98"/>
        <item m="1" x="33"/>
        <item m="1" x="143"/>
        <item m="1" x="2792"/>
        <item m="1" x="2093"/>
        <item m="1" x="944"/>
        <item m="1" x="163"/>
        <item m="1" x="1840"/>
        <item m="1" x="256"/>
        <item m="1" x="706"/>
        <item m="1" x="623"/>
        <item m="1" x="1920"/>
        <item m="1" x="374"/>
        <item m="1" x="172"/>
        <item m="1" x="2469"/>
        <item m="1" x="3087"/>
        <item m="1" x="1092"/>
        <item m="1" x="131"/>
        <item m="1" x="1700"/>
        <item m="1" x="441"/>
        <item m="1" x="2537"/>
        <item m="1" x="421"/>
        <item m="1" x="1136"/>
        <item m="1" x="1720"/>
        <item m="1" x="375"/>
        <item m="1" x="2138"/>
        <item m="1" x="1034"/>
        <item m="1" x="887"/>
        <item m="1" x="714"/>
        <item m="1" x="3207"/>
        <item m="1" x="1597"/>
        <item m="1" x="1663"/>
        <item m="1" x="825"/>
        <item m="1" x="2528"/>
        <item m="1" x="279"/>
        <item m="1" x="361"/>
        <item m="1" x="1823"/>
        <item m="1" x="641"/>
        <item m="1" x="2400"/>
        <item m="1" x="126"/>
        <item m="1" x="1676"/>
        <item m="1" x="1699"/>
        <item m="1" x="1870"/>
        <item m="1" x="399"/>
        <item m="1" x="2424"/>
        <item m="1" x="1007"/>
        <item m="1" x="2559"/>
        <item m="1" x="1010"/>
        <item m="1" x="2751"/>
        <item m="1" x="2578"/>
        <item m="1" x="3194"/>
        <item m="1" x="1822"/>
        <item m="1" x="1511"/>
        <item m="1" x="1512"/>
        <item m="1" x="3211"/>
        <item m="1" x="1723"/>
        <item m="1" x="2938"/>
        <item m="1" x="1044"/>
        <item m="1" x="2608"/>
        <item m="1" x="2295"/>
        <item m="1" x="2006"/>
        <item m="1" x="2727"/>
        <item m="1" x="61"/>
        <item m="1" x="3007"/>
        <item m="1" x="585"/>
        <item m="1" x="528"/>
        <item m="1" x="1602"/>
        <item m="1" x="1675"/>
        <item m="1" x="3154"/>
        <item m="1" x="1811"/>
        <item m="1" x="1338"/>
        <item m="1" x="1249"/>
        <item m="1" x="1965"/>
        <item m="1" x="1501"/>
        <item m="1" x="1049"/>
        <item m="1" x="3028"/>
        <item m="1" x="2969"/>
        <item m="1" x="2669"/>
        <item m="1" x="3145"/>
        <item m="1" x="1836"/>
        <item m="1" x="2126"/>
        <item m="1" x="1595"/>
        <item m="1" x="591"/>
        <item m="1" x="2685"/>
        <item m="1" x="2188"/>
        <item m="1" x="2708"/>
        <item m="1" x="2150"/>
        <item m="1" x="459"/>
        <item m="1" x="2159"/>
        <item m="1" x="2169"/>
        <item m="1" x="2407"/>
        <item m="1" x="2186"/>
        <item m="1" x="1515"/>
        <item m="1" x="3166"/>
        <item m="1" x="1521"/>
        <item m="1" x="1529"/>
        <item m="1" x="1545"/>
        <item m="1" x="1952"/>
        <item m="1" x="894"/>
        <item m="1" x="1573"/>
        <item m="1" x="900"/>
        <item m="1" x="294"/>
        <item m="1" x="940"/>
        <item m="1" x="958"/>
        <item m="1" x="2538"/>
        <item m="1" x="1188"/>
        <item m="1" x="1349"/>
        <item m="1" x="3019"/>
        <item m="1" x="254"/>
        <item m="1" x="59"/>
        <item m="1" x="2037"/>
        <item m="1" x="63"/>
        <item m="1" x="1237"/>
        <item m="1" x="1202"/>
        <item m="1" x="947"/>
        <item m="1" x="1097"/>
        <item m="1" x="2523"/>
        <item m="1" x="2553"/>
        <item m="1" x="1932"/>
        <item m="1" x="1935"/>
        <item m="1" x="1950"/>
        <item m="1" x="1956"/>
        <item m="1" x="1962"/>
        <item m="1" x="1329"/>
        <item m="1" x="1336"/>
        <item m="1" x="1207"/>
        <item m="1" x="89"/>
        <item m="1" x="240"/>
        <item m="1" x="2510"/>
        <item m="1" x="2950"/>
        <item m="1" x="3015"/>
        <item m="1" x="2300"/>
        <item m="1" x="1873"/>
        <item m="1" x="2870"/>
        <item m="1" x="2202"/>
        <item m="1" x="2702"/>
        <item m="1" x="2171"/>
        <item m="1" x="109"/>
        <item m="1" x="1810"/>
        <item m="1" x="1125"/>
        <item m="1" x="1914"/>
        <item m="1" x="722"/>
        <item m="1" x="445"/>
        <item m="1" x="2959"/>
        <item m="1" x="16"/>
        <item m="1" x="1900"/>
        <item m="1" x="1050"/>
        <item m="1" x="262"/>
        <item m="1" x="2997"/>
        <item m="1" x="2330"/>
        <item m="1" x="1399"/>
        <item m="1" x="1730"/>
        <item m="1" x="3147"/>
        <item m="1" x="1871"/>
        <item m="1" x="1497"/>
        <item m="1" x="1052"/>
        <item m="1" x="359"/>
        <item m="1" x="1228"/>
        <item m="1" x="2539"/>
        <item m="1" x="1927"/>
        <item m="1" x="1217"/>
        <item m="1" x="1880"/>
        <item m="1" x="244"/>
        <item m="1" x="2880"/>
        <item m="1" x="2048"/>
        <item m="1" x="1150"/>
        <item m="1" x="618"/>
        <item m="1" x="1046"/>
        <item m="1" x="2105"/>
        <item m="1" x="3082"/>
        <item m="1" x="1148"/>
        <item m="1" x="2789"/>
        <item m="1" x="1929"/>
        <item m="1" x="763"/>
        <item m="1" x="1086"/>
        <item m="1" x="2401"/>
        <item m="1" x="835"/>
        <item m="1" x="1841"/>
        <item m="1" x="781"/>
        <item m="1" x="3010"/>
        <item m="1" x="1884"/>
        <item m="1" x="848"/>
        <item m="1" x="1332"/>
        <item m="1" x="203"/>
        <item m="1" x="2192"/>
        <item m="1" x="1487"/>
        <item m="1" x="1801"/>
        <item m="1" x="3164"/>
        <item m="1" x="3116"/>
        <item m="1" x="2882"/>
        <item m="1" x="637"/>
        <item m="1" x="2569"/>
        <item m="1" x="2462"/>
        <item m="1" x="288"/>
        <item m="1" x="2742"/>
        <item m="1" x="2312"/>
        <item m="1" x="2583"/>
        <item m="1" x="221"/>
        <item m="1" x="1386"/>
        <item m="1" x="1277"/>
        <item m="1" x="2543"/>
        <item m="1" x="3042"/>
        <item m="1" x="1544"/>
        <item m="1" x="192"/>
        <item m="1" x="2443"/>
        <item m="1" x="2028"/>
        <item m="1" x="1412"/>
        <item m="1" x="1582"/>
        <item m="1" x="2756"/>
        <item m="1" x="2515"/>
        <item m="1" x="1464"/>
        <item m="1" x="1751"/>
        <item m="1" x="1061"/>
        <item m="1" x="957"/>
        <item m="1" x="1715"/>
        <item m="1" x="2239"/>
        <item m="1" x="1351"/>
        <item m="1" x="1584"/>
        <item m="1" x="47"/>
        <item m="1" x="158"/>
        <item m="1" x="183"/>
        <item m="1" x="310"/>
        <item m="1" x="2181"/>
        <item m="1" x="769"/>
        <item m="1" x="243"/>
        <item m="1" x="1620"/>
        <item m="1" x="1123"/>
        <item m="1" x="1203"/>
        <item m="1" x="1946"/>
        <item m="1" x="3192"/>
        <item m="1" x="2546"/>
        <item m="1" x="1707"/>
        <item m="1" x="114"/>
        <item m="1" x="191"/>
        <item m="1" x="1299"/>
        <item m="1" x="3158"/>
        <item m="1" x="1272"/>
        <item m="1" x="1194"/>
        <item m="1" x="200"/>
        <item m="1" x="2672"/>
        <item m="1" x="2463"/>
        <item m="1" x="1554"/>
        <item m="1" x="2822"/>
        <item m="1" x="1033"/>
        <item m="1" x="1243"/>
        <item m="1" x="2092"/>
        <item m="1" x="352"/>
        <item m="1" x="246"/>
        <item m="1" x="247"/>
        <item m="1" x="173"/>
        <item m="1" x="1466"/>
        <item m="1" x="391"/>
        <item m="1" x="1847"/>
        <item m="1" x="3180"/>
        <item m="1" x="479"/>
        <item m="1" x="2352"/>
        <item m="1" x="2971"/>
        <item m="1" x="838"/>
        <item m="1" x="790"/>
        <item m="1" x="1778"/>
        <item m="1" x="2647"/>
        <item m="1" x="2291"/>
        <item m="1" x="654"/>
        <item m="1" x="2364"/>
        <item m="1" x="3060"/>
        <item m="1" x="1388"/>
        <item m="1" x="683"/>
        <item m="1" x="2209"/>
        <item m="1" x="2988"/>
        <item m="1" x="2704"/>
        <item m="1" x="1358"/>
        <item m="1" x="2899"/>
        <item m="1" x="2665"/>
        <item m="1" x="273"/>
        <item m="1" x="274"/>
        <item m="1" x="414"/>
        <item m="1" x="187"/>
        <item m="1" x="118"/>
        <item m="1" x="144"/>
        <item m="1" x="806"/>
        <item m="1" x="1003"/>
        <item m="1" x="1444"/>
        <item m="1" x="1106"/>
        <item m="1" x="31"/>
        <item m="1" x="1705"/>
        <item m="1" x="11"/>
        <item m="1" x="1791"/>
        <item m="1" x="1833"/>
        <item m="1" x="241"/>
        <item m="1" x="1374"/>
        <item m="1" x="3136"/>
        <item m="1" x="70"/>
        <item m="1" x="199"/>
        <item m="1" x="450"/>
        <item m="1" x="2813"/>
        <item m="1" x="646"/>
        <item m="1" x="724"/>
        <item m="1" x="2316"/>
        <item m="1" x="2429"/>
        <item m="1" x="1473"/>
        <item m="1" x="1348"/>
        <item m="1" x="2862"/>
        <item m="1" x="2439"/>
        <item m="1" x="1953"/>
        <item m="1" x="2939"/>
        <item m="1" x="1896"/>
        <item m="1" x="2298"/>
        <item m="1" x="2887"/>
        <item m="1" x="248"/>
        <item m="1" x="982"/>
        <item m="1" x="321"/>
        <item m="1" x="899"/>
        <item m="1" x="1922"/>
        <item m="1" x="3130"/>
        <item m="1" x="2715"/>
        <item m="1" x="2803"/>
        <item m="1" x="597"/>
        <item m="1" x="737"/>
        <item m="1" x="801"/>
        <item m="1" x="2554"/>
        <item m="1" x="2856"/>
        <item m="1" x="863"/>
        <item m="1" x="2174"/>
        <item m="1" x="1289"/>
        <item m="1" x="3217"/>
        <item m="1" x="28"/>
        <item m="1" x="119"/>
        <item m="1" x="892"/>
        <item m="1" x="2981"/>
        <item m="1" x="186"/>
        <item m="1" x="1160"/>
        <item m="1" x="1079"/>
        <item m="1" x="1470"/>
        <item m="1" x="2843"/>
        <item m="1" x="2931"/>
        <item m="1" x="2955"/>
        <item m="1" x="162"/>
        <item m="1" x="237"/>
        <item m="1" x="305"/>
        <item m="1" x="2284"/>
        <item m="1" x="2358"/>
        <item m="1" x="2420"/>
        <item m="1" x="396"/>
        <item m="1" x="2563"/>
        <item m="1" x="2597"/>
        <item m="1" x="2403"/>
        <item m="1" x="711"/>
        <item m="1" x="1968"/>
        <item m="1" x="816"/>
        <item m="1" x="53"/>
        <item m="1" x="3041"/>
        <item m="1" x="1947"/>
        <item m="1" x="752"/>
        <item m="1" x="2359"/>
        <item m="1" x="1829"/>
        <item m="1" x="2550"/>
        <item m="1" x="1392"/>
        <item m="1" x="642"/>
        <item m="1" x="3198"/>
        <item m="1" x="3105"/>
        <item m="1" x="1768"/>
        <item m="1" x="568"/>
        <item m="1" x="2893"/>
        <item m="1" x="1851"/>
        <item m="1" x="1485"/>
        <item m="1" x="3141"/>
        <item m="1" x="2869"/>
        <item m="1" x="2348"/>
        <item m="1" x="2177"/>
        <item m="1" x="2512"/>
        <item m="1" x="2319"/>
        <item m="1" x="1874"/>
        <item m="1" x="1906"/>
        <item m="1" x="1662"/>
        <item m="1" x="3209"/>
        <item m="1" x="2660"/>
        <item m="1" x="2633"/>
        <item m="1" x="2666"/>
        <item m="1" x="2701"/>
        <item m="1" x="2419"/>
        <item m="1" x="1559"/>
        <item m="1" x="1819"/>
        <item m="1" x="2631"/>
        <item m="1" x="1530"/>
        <item m="1" x="1408"/>
        <item m="1" x="1334"/>
        <item m="1" x="525"/>
        <item m="1" x="2042"/>
        <item m="1" x="1038"/>
        <item m="1" x="323"/>
        <item m="1" x="388"/>
        <item m="1" x="1143"/>
        <item m="1" x="2706"/>
        <item m="1" x="141"/>
        <item m="1" x="3036"/>
        <item m="1" x="653"/>
        <item m="1" x="1555"/>
        <item m="1" x="1594"/>
        <item m="1" x="1264"/>
        <item m="1" x="2623"/>
        <item m="1" x="2033"/>
        <item m="1" x="1163"/>
        <item m="1" x="2161"/>
        <item m="1" x="1918"/>
        <item m="1" x="88"/>
        <item m="1" x="2260"/>
        <item m="1" x="3099"/>
        <item m="1" x="473"/>
        <item m="1" x="470"/>
        <item m="1" x="859"/>
        <item m="1" x="439"/>
        <item m="1" x="1107"/>
        <item m="1" x="732"/>
        <item m="1" x="1011"/>
        <item m="1" x="2127"/>
        <item m="1" x="1198"/>
        <item m="1" x="1316"/>
        <item m="1" x="1575"/>
        <item m="1" x="953"/>
        <item m="1" x="3182"/>
        <item m="1" x="2207"/>
        <item m="1" x="196"/>
        <item m="1" x="201"/>
        <item m="1" x="1027"/>
        <item m="1" x="2482"/>
        <item m="1" x="1622"/>
        <item m="1" x="1832"/>
        <item m="1" x="799"/>
        <item m="1" x="1866"/>
        <item m="1" x="659"/>
        <item m="1" x="3206"/>
        <item m="1" x="2279"/>
        <item m="1" x="2241"/>
        <item m="1" x="1853"/>
        <item m="1" x="245"/>
        <item m="1" x="1398"/>
        <item m="1" x="2103"/>
        <item m="1" x="2060"/>
        <item m="1" x="738"/>
        <item m="1" x="1381"/>
        <item m="1" x="2386"/>
        <item m="1" x="548"/>
        <item m="1" x="164"/>
        <item m="1" x="858"/>
        <item m="1" x="2070"/>
        <item m="1" x="2764"/>
        <item m="1" x="3066"/>
        <item m="1" x="1460"/>
        <item m="1" x="2325"/>
        <item m="1" x="1547"/>
        <item m="1" x="692"/>
        <item m="1" x="1523"/>
        <item m="1" x="208"/>
        <item m="1" x="73"/>
        <item m="1" x="2356"/>
        <item m="1" x="3059"/>
        <item m="1" x="2875"/>
        <item m="1" x="1085"/>
        <item m="1" x="1126"/>
        <item m="1" x="2427"/>
        <item m="1" x="925"/>
        <item m="1" x="3035"/>
        <item m="1" x="1901"/>
        <item m="1" x="390"/>
        <item m="1" x="1048"/>
        <item m="1" x="686"/>
        <item m="1" x="331"/>
        <item m="1" x="3074"/>
        <item m="1" x="2154"/>
        <item m="1" x="264"/>
        <item m="1" x="2844"/>
        <item m="1" x="2839"/>
        <item m="1" x="1175"/>
        <item m="1" x="325"/>
        <item m="1" x="2903"/>
        <item m="1" x="1219"/>
        <item m="1" x="2514"/>
        <item m="1" x="3175"/>
        <item m="1" x="614"/>
        <item m="1" x="3030"/>
        <item m="1" x="1379"/>
        <item m="1" x="1387"/>
        <item m="1" x="2586"/>
        <item m="1" x="2045"/>
        <item m="1" x="766"/>
        <item m="1" x="2236"/>
        <item m="1" x="2270"/>
        <item m="1" x="1000"/>
        <item m="1" x="2683"/>
        <item m="1" x="1948"/>
        <item m="1" x="2130"/>
        <item m="1" x="1934"/>
        <item m="1" x="1437"/>
        <item m="1" x="1134"/>
        <item m="1" x="2937"/>
        <item m="1" x="2089"/>
        <item m="1" x="55"/>
        <item m="1" x="1070"/>
        <item m="1" x="1886"/>
        <item m="1" x="2259"/>
        <item m="1" x="1149"/>
        <item m="1" x="795"/>
        <item m="1" x="2472"/>
        <item m="1" x="2768"/>
        <item m="1" x="2237"/>
        <item m="1" x="3213"/>
        <item m="1" x="2800"/>
        <item m="1" x="112"/>
        <item m="1" x="1843"/>
        <item m="1" x="1722"/>
        <item m="1" x="188"/>
        <item m="1" x="2158"/>
        <item m="1" x="1155"/>
        <item m="1" x="1739"/>
        <item m="1" x="297"/>
        <item m="1" x="2013"/>
        <item m="1" x="2108"/>
        <item m="1" x="635"/>
        <item m="1" x="990"/>
        <item m="1" x="1957"/>
        <item m="1" x="2748"/>
        <item m="1" x="384"/>
        <item m="1" x="839"/>
        <item m="1" x="458"/>
        <item m="1" x="913"/>
        <item m="1" x="1088"/>
        <item m="1" x="2211"/>
        <item m="1" x="13"/>
        <item m="1" x="92"/>
        <item m="1" x="3203"/>
        <item m="1" x="2457"/>
        <item m="1" x="1732"/>
        <item m="1" x="559"/>
        <item m="1" x="1542"/>
        <item m="1" x="1356"/>
        <item m="1" x="1458"/>
        <item m="1" x="2306"/>
        <item m="1" x="1911"/>
        <item m="1" x="3020"/>
        <item m="1" x="271"/>
        <item m="1" x="425"/>
        <item m="1" x="344"/>
        <item m="1" x="2376"/>
        <item m="1" x="2079"/>
        <item m="1" x="493"/>
        <item m="1" x="2433"/>
        <item m="1" x="793"/>
        <item m="1" x="3138"/>
        <item m="1" x="318"/>
        <item m="1" x="2738"/>
        <item m="1" x="1129"/>
        <item m="1" x="2133"/>
        <item m="1" x="542"/>
        <item m="1" x="687"/>
        <item m="1" x="2998"/>
        <item m="1" x="155"/>
        <item m="1" x="2609"/>
        <item m="1" x="2737"/>
        <item m="1" x="1209"/>
        <item m="1" x="1848"/>
        <item m="1" x="322"/>
        <item m="1" x="253"/>
        <item m="1" x="2335"/>
        <item m="1" x="96"/>
        <item m="1" x="2129"/>
        <item m="1" x="538"/>
        <item m="1" x="682"/>
        <item m="1" x="1294"/>
        <item m="1" x="747"/>
        <item m="1" x="2729"/>
        <item m="1" x="298"/>
        <item m="1" x="2829"/>
        <item m="1" x="2810"/>
        <item m="1" x="2662"/>
        <item m="1" x="3063"/>
        <item m="1" x="1008"/>
        <item m="1" x="1596"/>
        <item m="1" x="1432"/>
        <item m="1" x="1309"/>
        <item m="1" x="842"/>
        <item m="1" x="1488"/>
        <item m="1" x="2620"/>
        <item m="1" x="660"/>
        <item m="1" x="3177"/>
        <item m="1" x="127"/>
        <item m="1" x="3107"/>
        <item m="1" x="1771"/>
        <item m="1" x="1335"/>
        <item m="1" x="1297"/>
        <item m="1" x="888"/>
        <item m="1" x="2551"/>
        <item m="1" x="190"/>
        <item m="1" x="937"/>
        <item m="1" x="1752"/>
        <item m="1" x="1564"/>
        <item m="1" x="918"/>
        <item m="1" x="161"/>
        <item m="1" x="77"/>
        <item m="1" x="2676"/>
        <item m="1" x="3178"/>
        <item m="1" x="1288"/>
        <item m="1" x="1691"/>
        <item m="1" x="1353"/>
        <item m="1" x="1455"/>
        <item m="1" x="1539"/>
        <item m="1" x="1162"/>
        <item m="1" x="1633"/>
        <item m="1" x="779"/>
        <item m="1" x="805"/>
        <item m="1" x="1603"/>
        <item m="1" x="419"/>
        <item m="1" x="1612"/>
        <item m="1" x="1695"/>
        <item m="1" x="372"/>
        <item m="1" x="1439"/>
        <item m="1" x="1518"/>
        <item m="1" x="488"/>
        <item m="1" x="2082"/>
        <item m="1" x="1480"/>
        <item m="1" x="1416"/>
        <item m="1" x="2818"/>
        <item m="1" x="2076"/>
        <item m="1" x="1984"/>
        <item m="1" x="1376"/>
        <item m="1" x="2693"/>
        <item m="1" x="2509"/>
        <item m="1" x="265"/>
        <item m="1" x="2095"/>
        <item m="1" x="2618"/>
        <item m="1" x="537"/>
        <item m="1" x="846"/>
        <item m="1" x="3170"/>
        <item m="1" x="3040"/>
        <item m="1" x="1885"/>
        <item m="1" x="2752"/>
        <item m="1" x="2225"/>
        <item m="1" x="1609"/>
        <item t="default"/>
      </items>
    </pivotField>
    <pivotField axis="axisPage" showAll="0">
      <items count="4">
        <item m="1" x="2"/>
        <item m="1" x="0"/>
        <item m="1" x="1"/>
        <item t="default"/>
      </items>
    </pivotField>
    <pivotField axis="axisRow"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dataField="1" showAll="0"/>
    <pivotField dataField="1" showAll="0"/>
    <pivotField dataField="1" showAll="0"/>
    <pivotField dataField="1" showAll="0"/>
    <pivotField axis="axisRow" showAll="0">
      <items count="2">
        <item m="1" x="0"/>
        <item t="default"/>
      </items>
    </pivotField>
    <pivotField axis="axisRow" showAll="0" defaultSubtotal="0">
      <items count="14">
        <item x="0"/>
        <item x="1"/>
        <item x="2"/>
        <item x="3"/>
        <item x="4"/>
        <item x="5"/>
        <item x="6"/>
        <item x="7"/>
        <item x="8"/>
        <item x="9"/>
        <item x="10"/>
        <item x="11"/>
        <item x="12"/>
        <item x="13"/>
      </items>
    </pivotField>
    <pivotField axis="axisRow" showAll="0" defaultSubtotal="0">
      <items count="3">
        <item x="0"/>
        <item x="1"/>
        <item x="2"/>
      </items>
    </pivotField>
  </pivotFields>
  <rowFields count="4">
    <field x="15"/>
    <field x="14"/>
    <field x="7"/>
    <field x="13"/>
  </rowFields>
  <colFields count="1">
    <field x="-2"/>
  </colFields>
  <pageFields count="4">
    <pageField fld="3" hier="-1"/>
    <pageField fld="4" hier="-1"/>
    <pageField fld="5" hier="-1"/>
    <pageField fld="6" hier="-1"/>
  </pageFields>
  <dataFields count="5">
    <dataField name="Suma de INVENTARIO_PROYECTADO" fld="12" baseField="0" baseItem="0"/>
    <dataField name="Suma de INVENTARIO_FISICO" fld="11" baseField="0" baseItem="0"/>
    <dataField name="Suma de BUFFER" fld="8" baseField="0" baseItem="0"/>
    <dataField name="Suma de ZONA_AMARILLA" fld="9" baseField="0" baseItem="0"/>
    <dataField name="Suma de ZONA_ROJA" fld="10" baseField="0" baseItem="0"/>
  </dataFields>
  <chartFormats count="5">
    <chartFormat chart="3" format="6" series="1">
      <pivotArea type="data" outline="0" fieldPosition="0">
        <references count="1">
          <reference field="4294967294" count="1" selected="0">
            <x v="2"/>
          </reference>
        </references>
      </pivotArea>
    </chartFormat>
    <chartFormat chart="3" format="7" series="1">
      <pivotArea type="data" outline="0" fieldPosition="0">
        <references count="1">
          <reference field="4294967294" count="1" selected="0">
            <x v="3"/>
          </reference>
        </references>
      </pivotArea>
    </chartFormat>
    <chartFormat chart="3" format="8" series="1">
      <pivotArea type="data" outline="0" fieldPosition="0">
        <references count="1">
          <reference field="4294967294" count="1" selected="0">
            <x v="4"/>
          </reference>
        </references>
      </pivotArea>
    </chartFormat>
    <chartFormat chart="3" format="9" series="1">
      <pivotArea type="data" outline="0" fieldPosition="0">
        <references count="1">
          <reference field="4294967294" count="1" selected="0">
            <x v="1"/>
          </reference>
        </references>
      </pivotArea>
    </chartFormat>
    <chartFormat chart="3" format="1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TD_Grafico_Dinamico" cacheId="47" applyNumberFormats="0" applyBorderFormats="0" applyFontFormats="0" applyPatternFormats="0" applyAlignmentFormats="0" applyWidthHeightFormats="1" dataCaption="Valores" updatedVersion="5" minRefreshableVersion="3" showCalcMbrs="0" useAutoFormatting="1" itemPrintTitles="1" createdVersion="3" indent="0" outline="1" outlineData="1" multipleFieldFilters="0" chartFormat="7" fieldListSortAscending="1">
  <location ref="AF4:AM55" firstHeaderRow="1" firstDataRow="2" firstDataCol="1" rowPageCount="2" colPageCount="1"/>
  <pivotFields count="13">
    <pivotField axis="axisPage" showAll="0" defaultSubtotal="0">
      <items count="5">
        <item m="1" x="2"/>
        <item m="1" x="3"/>
        <item m="1" x="1"/>
        <item x="0"/>
        <item m="1" x="4"/>
      </items>
    </pivotField>
    <pivotField axis="axisPage" showAll="0">
      <items count="7797">
        <item m="1" x="7611"/>
        <item m="1" x="1675"/>
        <item m="1" x="3179"/>
        <item m="1" x="7366"/>
        <item m="1" x="7692"/>
        <item m="1" x="1375"/>
        <item m="1" x="1473"/>
        <item m="1" x="804"/>
        <item m="1" x="6656"/>
        <item m="1" x="6662"/>
        <item m="1" x="5851"/>
        <item m="1" x="3623"/>
        <item m="1" x="7779"/>
        <item m="1" x="34"/>
        <item m="1" x="1990"/>
        <item m="1" x="7308"/>
        <item m="1" x="6912"/>
        <item m="1" x="6968"/>
        <item m="1" x="6548"/>
        <item m="1" x="6281"/>
        <item m="1" x="5934"/>
        <item m="1" x="5672"/>
        <item m="1" x="5368"/>
        <item m="1" x="5124"/>
        <item m="1" x="4834"/>
        <item m="1" x="1819"/>
        <item m="1" x="1374"/>
        <item m="1" x="931"/>
        <item m="1" x="522"/>
        <item m="1" x="97"/>
        <item m="1" x="7439"/>
        <item m="1" x="6997"/>
        <item m="1" x="6639"/>
        <item m="1" x="2700"/>
        <item m="1" x="2358"/>
        <item m="1" x="1464"/>
        <item m="1" x="1050"/>
        <item m="1" x="209"/>
        <item m="1" x="7538"/>
        <item m="1" x="3960"/>
        <item m="1" x="2050"/>
        <item m="1" x="1574"/>
        <item m="1" x="5410"/>
        <item m="1" x="5155"/>
        <item m="1" x="4578"/>
        <item m="1" x="4022"/>
        <item m="1" x="3743"/>
        <item m="1" x="3455"/>
        <item m="1" x="3168"/>
        <item m="1" x="7063"/>
        <item m="1" x="6706"/>
        <item m="1" x="6375"/>
        <item m="1" x="6073"/>
        <item m="1" x="5773"/>
        <item m="1" x="5535"/>
        <item m="1" x="5225"/>
        <item m="1" x="4973"/>
        <item m="1" x="5588"/>
        <item m="1" x="2846"/>
        <item m="1" x="2510"/>
        <item m="1" x="2090"/>
        <item m="1" x="1209"/>
        <item m="1" x="7255"/>
        <item m="1" x="6867"/>
        <item m="1" x="3498"/>
        <item m="1" x="3211"/>
        <item m="1" x="2931"/>
        <item m="1" x="2581"/>
        <item m="1" x="2220"/>
        <item m="1" x="1752"/>
        <item m="1" x="1339"/>
        <item m="1" x="883"/>
        <item m="1" x="6249"/>
        <item m="1" x="6289"/>
        <item m="1" x="5898"/>
        <item m="1" x="5659"/>
        <item m="1" x="5343"/>
        <item m="1" x="5088"/>
        <item m="1" x="6305"/>
        <item m="1" x="5965"/>
        <item m="1" x="5406"/>
        <item m="1" x="5149"/>
        <item m="1" x="4858"/>
        <item m="1" x="1884"/>
        <item m="1" x="1418"/>
        <item m="1" x="1008"/>
        <item m="1" x="576"/>
        <item m="1" x="7495"/>
        <item m="1" x="7049"/>
        <item m="1" x="4542"/>
        <item m="1" x="3198"/>
        <item m="1" x="7118"/>
        <item m="1" x="766"/>
        <item m="1" x="347"/>
        <item m="1" x="7707"/>
        <item m="1" x="1412"/>
        <item m="1" x="5686"/>
        <item m="1" x="7588"/>
        <item m="1" x="7183"/>
        <item m="1" x="6459"/>
        <item m="1" x="5203"/>
        <item m="1" x="6482"/>
        <item m="1" x="1177"/>
        <item m="1" x="6175"/>
        <item m="1" x="6191"/>
        <item m="1" x="6193"/>
        <item m="1" x="6201"/>
        <item m="1" x="6205"/>
        <item m="1" x="5843"/>
        <item m="1" x="5857"/>
        <item m="1" x="5609"/>
        <item m="1" x="5295"/>
        <item m="1" x="5301"/>
        <item m="1" x="5306"/>
        <item m="1" x="4195"/>
        <item m="1" x="3917"/>
        <item m="1" x="6919"/>
        <item m="1" x="6928"/>
        <item m="1" x="7435"/>
        <item m="1" x="7008"/>
        <item m="1" x="3096"/>
        <item m="1" x="3099"/>
        <item m="1" x="773"/>
        <item m="1" x="780"/>
        <item m="1" x="4692"/>
        <item m="1" x="4705"/>
        <item m="1" x="7440"/>
        <item m="1" x="3077"/>
        <item m="1" x="341"/>
        <item m="1" x="4613"/>
        <item m="1" x="3038"/>
        <item m="1" x="2951"/>
        <item m="1" x="5615"/>
        <item m="1" x="4135"/>
        <item m="1" x="2170"/>
        <item m="1" x="7136"/>
        <item m="1" x="6405"/>
        <item m="1" x="6994"/>
        <item m="1" x="6732"/>
        <item m="1" x="6740"/>
        <item m="1" x="7127"/>
        <item m="1" x="5653"/>
        <item m="1" x="4028"/>
        <item m="1" x="3944"/>
        <item m="1" x="5345"/>
        <item m="1" x="4674"/>
        <item m="1" x="7719"/>
        <item m="1" x="7307"/>
        <item m="1" x="4527"/>
        <item m="1" x="2803"/>
        <item m="1" x="2505"/>
        <item m="1" x="4390"/>
        <item m="1" x="183"/>
        <item m="1" x="1545"/>
        <item m="1" x="5405"/>
        <item m="1" x="3716"/>
        <item m="1" x="2807"/>
        <item m="1" x="3721"/>
        <item m="1" x="3116"/>
        <item m="1" x="6964"/>
        <item m="1" x="5227"/>
        <item m="1" x="4947"/>
        <item m="1" x="5007"/>
        <item m="1" x="3953"/>
        <item m="1" x="5759"/>
        <item m="1" x="4812"/>
        <item m="1" x="3310"/>
        <item m="1" x="5661"/>
        <item m="1" x="7358"/>
        <item m="1" x="3690"/>
        <item m="1" x="1888"/>
        <item m="1" x="8"/>
        <item m="1" x="2749"/>
        <item m="1" x="7494"/>
        <item m="1" x="5282"/>
        <item m="1" x="2675"/>
        <item m="1" x="2849"/>
        <item m="1" x="4991"/>
        <item m="1" x="7754"/>
        <item m="1" x="3305"/>
        <item m="1" x="2578"/>
        <item m="1" x="2191"/>
        <item m="1" x="4070"/>
        <item m="1" x="4210"/>
        <item m="1" x="3537"/>
        <item m="1" x="5928"/>
        <item m="1" x="5782"/>
        <item m="1" x="3415"/>
        <item m="1" x="1488"/>
        <item m="1" x="6725"/>
        <item m="1" x="5347"/>
        <item m="1" x="6126"/>
        <item m="1" x="7340"/>
        <item m="1" x="7013"/>
        <item m="1" x="4612"/>
        <item m="1" x="1876"/>
        <item m="1" x="5164"/>
        <item m="1" x="5344"/>
        <item m="1" x="3949"/>
        <item m="1" x="3771"/>
        <item m="1" x="5530"/>
        <item m="1" x="2609"/>
        <item m="1" x="4285"/>
        <item m="1" x="2136"/>
        <item m="1" x="963"/>
        <item m="1" x="3699"/>
        <item m="1" x="6778"/>
        <item m="1" x="1009"/>
        <item m="1" x="1208"/>
        <item m="1" x="4444"/>
        <item m="1" x="587"/>
        <item m="1" x="120"/>
        <item m="1" x="2845"/>
        <item m="1" x="7570"/>
        <item m="1" x="4094"/>
        <item m="1" x="6383"/>
        <item m="1" x="1079"/>
        <item m="1" x="114"/>
        <item m="1" x="46"/>
        <item m="1" x="1167"/>
        <item m="1" x="6600"/>
        <item m="1" x="7030"/>
        <item m="1" x="5861"/>
        <item m="1" x="4573"/>
        <item m="1" x="3060"/>
        <item m="1" x="1186"/>
        <item m="1" x="2335"/>
        <item m="1" x="2252"/>
        <item m="1" x="3652"/>
        <item m="1" x="3347"/>
        <item m="1" x="4141"/>
        <item m="1" x="3612"/>
        <item m="1" x="4454"/>
        <item m="1" x="3933"/>
        <item m="1" x="7709"/>
        <item m="1" x="3684"/>
        <item m="1" x="4935"/>
        <item m="1" x="4316"/>
        <item m="1" x="5812"/>
        <item m="1" x="6370"/>
        <item m="1" x="3998"/>
        <item m="1" x="4644"/>
        <item m="1" x="3469"/>
        <item m="1" x="2194"/>
        <item m="1" x="6963"/>
        <item m="1" x="5676"/>
        <item m="1" x="3391"/>
        <item m="1" x="327"/>
        <item m="1" x="5775"/>
        <item m="1" x="4139"/>
        <item m="1" x="3550"/>
        <item m="1" x="3281"/>
        <item m="1" x="3064"/>
        <item m="1" x="3515"/>
        <item m="1" x="1959"/>
        <item m="1" x="4830"/>
        <item m="1" x="4050"/>
        <item m="1" x="2046"/>
        <item m="1" x="4076"/>
        <item m="1" x="3945"/>
        <item m="1" x="3248"/>
        <item m="1" x="2937"/>
        <item m="1" x="3566"/>
        <item m="1" x="4923"/>
        <item m="1" x="6848"/>
        <item m="1" x="124"/>
        <item m="1" x="5150"/>
        <item m="1" x="5043"/>
        <item m="1" x="1105"/>
        <item m="1" x="6307"/>
        <item m="1" x="6831"/>
        <item m="1" x="5715"/>
        <item m="1" x="822"/>
        <item m="1" x="5363"/>
        <item m="1" x="5604"/>
        <item m="1" x="2956"/>
        <item m="1" x="2941"/>
        <item m="1" x="2192"/>
        <item m="1" x="6123"/>
        <item m="1" x="6335"/>
        <item m="1" x="6378"/>
        <item m="1" x="5152"/>
        <item m="1" x="242"/>
        <item m="1" x="3882"/>
        <item m="1" x="3174"/>
        <item m="1" x="769"/>
        <item m="1" x="7078"/>
        <item m="1" x="298"/>
        <item m="1" x="1974"/>
        <item m="1" x="6153"/>
        <item m="1" x="6304"/>
        <item m="1" x="2182"/>
        <item m="1" x="7481"/>
        <item m="1" x="5031"/>
        <item m="1" x="7103"/>
        <item m="1" x="2399"/>
        <item m="1" x="6270"/>
        <item m="1" x="4036"/>
        <item m="1" x="6727"/>
        <item m="1" x="7758"/>
        <item m="1" x="1378"/>
        <item m="1" x="4217"/>
        <item m="1" x="3801"/>
        <item m="1" x="5145"/>
        <item m="1" x="1154"/>
        <item m="1" x="6286"/>
        <item m="1" x="5850"/>
        <item m="1" x="5214"/>
        <item m="1" x="4596"/>
        <item m="1" x="5523"/>
        <item m="1" x="5106"/>
        <item m="1" x="1346"/>
        <item m="1" x="1533"/>
        <item m="1" x="7104"/>
        <item m="1" x="7384"/>
        <item m="1" x="4318"/>
        <item m="1" x="5182"/>
        <item m="1" x="5650"/>
        <item m="1" x="5085"/>
        <item m="1" x="4928"/>
        <item m="1" x="5931"/>
        <item m="1" x="4164"/>
        <item m="1" x="5960"/>
        <item m="1" x="5245"/>
        <item m="1" x="4788"/>
        <item m="1" x="4793"/>
        <item m="1" x="4188"/>
        <item m="1" x="5002"/>
        <item m="1" x="3922"/>
        <item m="1" x="4508"/>
        <item m="1" x="2056"/>
        <item m="1" x="6376"/>
        <item m="1" x="6535"/>
        <item m="1" x="7364"/>
        <item m="1" x="7578"/>
        <item m="1" x="4017"/>
        <item m="1" x="3267"/>
        <item m="1" x="3560"/>
        <item m="1" x="3901"/>
        <item m="1" x="6648"/>
        <item m="1" x="1160"/>
        <item m="1" x="6062"/>
        <item m="1" x="1608"/>
        <item m="1" x="7195"/>
        <item m="1" x="7667"/>
        <item m="1" x="1023"/>
        <item m="1" x="7204"/>
        <item m="1" x="6151"/>
        <item m="1" x="7126"/>
        <item m="1" x="3869"/>
        <item m="1" x="1643"/>
        <item m="1" x="3988"/>
        <item m="1" x="4006"/>
        <item m="1" x="2945"/>
        <item m="1" x="2952"/>
        <item m="1" x="5897"/>
        <item m="1" x="3299"/>
        <item m="1" x="1534"/>
        <item m="1" x="2840"/>
        <item m="1" x="4525"/>
        <item m="1" x="5014"/>
        <item m="1" x="1751"/>
        <item m="1" x="2087"/>
        <item m="1" x="4395"/>
        <item m="1" x="4806"/>
        <item m="1" x="5846"/>
        <item m="1" x="5847"/>
        <item m="1" x="1982"/>
        <item m="1" x="1984"/>
        <item m="1" x="2390"/>
        <item m="1" x="223"/>
        <item m="1" x="226"/>
        <item m="1" x="6675"/>
        <item m="1" x="1954"/>
        <item m="1" x="2881"/>
        <item m="1" x="6365"/>
        <item m="1" x="6512"/>
        <item m="1" x="6379"/>
        <item m="1" x="5305"/>
        <item m="1" x="5636"/>
        <item m="1" x="5895"/>
        <item m="1" x="6068"/>
        <item m="1" x="4557"/>
        <item m="1" x="6769"/>
        <item m="1" x="4958"/>
        <item m="1" x="3290"/>
        <item m="1" x="3439"/>
        <item m="1" x="3770"/>
        <item m="1" x="4230"/>
        <item m="1" x="2403"/>
        <item m="1" x="2568"/>
        <item m="1" x="2213"/>
        <item m="1" x="7703"/>
        <item m="1" x="4023"/>
        <item m="1" x="1270"/>
        <item m="1" x="3117"/>
        <item m="1" x="512"/>
        <item m="1" x="1665"/>
        <item m="1" x="7394"/>
        <item m="1" x="5504"/>
        <item m="1" x="633"/>
        <item m="1" x="6471"/>
        <item m="1" x="6840"/>
        <item m="1" x="430"/>
        <item m="1" x="649"/>
        <item m="1" x="7053"/>
        <item m="1" x="6856"/>
        <item m="1" x="6235"/>
        <item m="1" x="5622"/>
        <item m="1" x="5889"/>
        <item m="1" x="6106"/>
        <item m="1" x="5944"/>
        <item m="1" x="6661"/>
        <item m="1" x="5341"/>
        <item m="1" x="5226"/>
        <item m="1" x="1524"/>
        <item m="1" x="2833"/>
        <item m="1" x="3002"/>
        <item m="1" x="855"/>
        <item m="1" x="1075"/>
        <item m="1" x="6665"/>
        <item m="1" x="7505"/>
        <item m="1" x="2462"/>
        <item m="1" x="427"/>
        <item m="1" x="6479"/>
        <item m="1" x="6849"/>
        <item m="1" x="1790"/>
        <item m="1" x="1087"/>
        <item m="1" x="1096"/>
        <item m="1" x="1828"/>
        <item m="1" x="1183"/>
        <item m="1" x="1639"/>
        <item m="1" x="3162"/>
        <item m="1" x="5411"/>
        <item m="1" x="3194"/>
        <item m="1" x="1478"/>
        <item m="1" x="3284"/>
        <item m="1" x="5719"/>
        <item m="1" x="566"/>
        <item m="1" x="5528"/>
        <item m="1" x="7687"/>
        <item m="1" x="3253"/>
        <item m="1" x="3343"/>
        <item m="1" x="2410"/>
        <item m="1" x="3481"/>
        <item m="1" x="2676"/>
        <item m="1" x="2860"/>
        <item m="1" x="7646"/>
        <item m="1" x="5279"/>
        <item m="1" x="5035"/>
        <item m="1" x="4721"/>
        <item m="1" x="3586"/>
        <item m="1" x="3319"/>
        <item m="1" x="3023"/>
        <item m="1" x="5044"/>
        <item m="1" x="5052"/>
        <item m="1" x="4456"/>
        <item m="1" x="3979"/>
        <item m="1" x="5076"/>
        <item m="1" x="4765"/>
        <item m="1" x="4478"/>
        <item m="1" x="4194"/>
        <item m="1" x="3937"/>
        <item m="1" x="3641"/>
        <item m="1" x="3346"/>
        <item m="1" x="3055"/>
        <item m="1" x="6935"/>
        <item m="1" x="6574"/>
        <item m="1" x="6292"/>
        <item m="1" x="5949"/>
        <item m="1" x="5679"/>
        <item m="1" x="5381"/>
        <item m="1" x="5137"/>
        <item m="1" x="4846"/>
        <item m="1" x="4541"/>
        <item m="1" x="4258"/>
        <item m="1" x="961"/>
        <item m="1" x="551"/>
        <item m="1" x="122"/>
        <item m="1" x="7467"/>
        <item m="1" x="7014"/>
        <item m="1" x="6663"/>
        <item m="1" x="6355"/>
        <item m="1" x="6032"/>
        <item m="1" x="5734"/>
        <item m="1" x="5481"/>
        <item m="1" x="2712"/>
        <item m="1" x="2383"/>
        <item m="1" x="1483"/>
        <item m="1" x="1063"/>
        <item m="1" x="641"/>
        <item m="1" x="7115"/>
        <item m="1" x="6751"/>
        <item m="1" x="3976"/>
        <item m="1" x="3691"/>
        <item m="1" x="1305"/>
        <item m="1" x="3466"/>
        <item m="1" x="7622"/>
        <item m="1" x="2117"/>
        <item m="1" x="1661"/>
        <item m="1" x="1231"/>
        <item m="1" x="792"/>
        <item m="1" x="374"/>
        <item m="1" x="7755"/>
        <item m="1" x="7283"/>
        <item m="1" x="6892"/>
        <item m="1" x="6710"/>
        <item m="1" x="2073"/>
        <item m="1" x="1595"/>
        <item m="1" x="5057"/>
        <item m="1" x="4749"/>
        <item m="1" x="4463"/>
        <item m="1" x="4174"/>
        <item m="1" x="3914"/>
        <item m="1" x="388"/>
        <item m="1" x="7767"/>
        <item m="1" x="7296"/>
        <item m="1" x="6903"/>
        <item m="1" x="6542"/>
        <item m="1" x="6274"/>
        <item m="1" x="5927"/>
        <item m="1" x="5669"/>
        <item m="1" x="5362"/>
        <item m="1" x="5113"/>
        <item m="1" x="2254"/>
        <item m="1" x="1803"/>
        <item m="1" x="1366"/>
        <item m="1" x="916"/>
        <item m="1" x="509"/>
        <item m="1" x="83"/>
        <item m="1" x="7426"/>
        <item m="1" x="6988"/>
        <item m="1" x="6632"/>
        <item m="1" x="6327"/>
        <item m="1" x="6172"/>
        <item m="1" x="6177"/>
        <item m="1" x="6189"/>
        <item m="1" x="4742"/>
        <item m="1" x="4748"/>
        <item m="1" x="5874"/>
        <item m="1" x="5933"/>
        <item m="1" x="5938"/>
        <item m="1" x="1741"/>
        <item m="1" x="582"/>
        <item m="1" x="5667"/>
        <item m="1" x="7144"/>
        <item m="1" x="6735"/>
        <item m="1" x="6432"/>
        <item m="1" x="2324"/>
        <item m="1" x="3875"/>
        <item m="1" x="765"/>
        <item m="1" x="4687"/>
        <item m="1" x="5924"/>
        <item m="1" x="7202"/>
        <item m="1" x="7401"/>
        <item m="1" x="2407"/>
        <item m="1" x="4447"/>
        <item m="1" x="929"/>
        <item m="1" x="3642"/>
        <item m="1" x="6694"/>
        <item m="1" x="6203"/>
        <item m="1" x="7788"/>
        <item m="1" x="2882"/>
        <item m="1" x="7116"/>
        <item m="1" x="221"/>
        <item m="1" x="6850"/>
        <item m="1" x="3620"/>
        <item m="1" x="5771"/>
        <item m="1" x="5688"/>
        <item m="1" x="5573"/>
        <item m="1" x="6414"/>
        <item m="1" x="5561"/>
        <item m="1" x="2049"/>
        <item m="1" x="2066"/>
        <item m="1" x="1100"/>
        <item m="1" x="3181"/>
        <item m="1" x="5740"/>
        <item m="1" x="2125"/>
        <item m="1" x="2137"/>
        <item m="1" x="1621"/>
        <item m="1" x="1957"/>
        <item m="1" x="5342"/>
        <item m="1" x="4448"/>
        <item m="1" x="4138"/>
        <item m="1" x="6373"/>
        <item m="1" x="3889"/>
        <item m="1" x="1059"/>
        <item m="1" x="3190"/>
        <item m="1" x="3547"/>
        <item m="1" x="4747"/>
        <item m="1" x="5414"/>
        <item m="1" x="4173"/>
        <item m="1" x="1485"/>
        <item m="1" x="1268"/>
        <item m="1" x="7327"/>
        <item m="1" x="5941"/>
        <item m="1" x="4841"/>
        <item m="1" x="923"/>
        <item m="1" x="924"/>
        <item m="1" x="3005"/>
        <item m="1" x="6761"/>
        <item m="1" x="2852"/>
        <item m="1" x="6022"/>
        <item m="1" x="4374"/>
        <item m="1" x="4671"/>
        <item m="1" x="5434"/>
        <item m="1" x="5855"/>
        <item m="1" x="2512"/>
        <item m="1" x="25"/>
        <item m="1" x="6427"/>
        <item m="1" x="915"/>
        <item m="1" x="6372"/>
        <item m="1" x="6306"/>
        <item m="1" x="696"/>
        <item m="1" x="5090"/>
        <item m="1" x="5526"/>
        <item m="1" x="1912"/>
        <item m="1" x="4361"/>
        <item m="1" x="6862"/>
        <item m="1" x="1830"/>
        <item m="1" x="927"/>
        <item m="1" x="928"/>
        <item m="1" x="4856"/>
        <item m="1" x="7330"/>
        <item m="1" x="2377"/>
        <item m="1" x="2549"/>
        <item m="1" x="6853"/>
        <item m="1" x="3524"/>
        <item m="1" x="5862"/>
        <item m="1" x="5346"/>
        <item m="1" x="4690"/>
        <item m="1" x="1489"/>
        <item m="1" x="6806"/>
        <item m="1" x="6254"/>
        <item m="1" x="2118"/>
        <item m="1" x="1106"/>
        <item m="1" x="7158"/>
        <item m="1" x="3861"/>
        <item m="1" x="5337"/>
        <item m="1" x="1708"/>
        <item m="1" x="2330"/>
        <item m="1" x="7559"/>
        <item m="1" x="5819"/>
        <item m="1" x="2683"/>
        <item m="1" x="7475"/>
        <item m="1" x="4169"/>
        <item m="1" x="4853"/>
        <item m="1" x="6130"/>
        <item m="1" x="603"/>
        <item m="1" x="3420"/>
        <item m="1" x="6733"/>
        <item m="1" x="4037"/>
        <item m="1" x="7513"/>
        <item m="1" x="563"/>
        <item m="1" x="1462"/>
        <item m="1" x="2498"/>
        <item m="1" x="6288"/>
        <item m="1" x="5016"/>
        <item m="1" x="4619"/>
        <item m="1" x="4777"/>
        <item m="1" x="6847"/>
        <item m="1" x="234"/>
        <item m="1" x="1520"/>
        <item m="1" x="729"/>
        <item m="1" x="1531"/>
        <item m="1" x="3105"/>
        <item m="1" x="37"/>
        <item m="1" x="4156"/>
        <item m="1" x="1155"/>
        <item m="1" x="753"/>
        <item m="1" x="7"/>
        <item m="1" x="5711"/>
        <item m="1" x="7109"/>
        <item m="1" x="1271"/>
        <item m="1" x="5055"/>
        <item m="1" x="4513"/>
        <item m="1" x="2839"/>
        <item m="1" x="4529"/>
        <item m="1" x="479"/>
        <item m="1" x="232"/>
        <item m="1" x="7349"/>
        <item m="1" x="5446"/>
        <item m="1" x="7383"/>
        <item m="1" x="3329"/>
        <item m="1" x="3862"/>
        <item m="1" x="1056"/>
        <item m="1" x="4962"/>
        <item m="1" x="7473"/>
        <item m="1" x="6835"/>
        <item m="1" x="5705"/>
        <item m="1" x="2689"/>
        <item m="1" x="2865"/>
        <item m="1" x="240"/>
        <item m="1" x="7210"/>
        <item m="1" x="4472"/>
        <item m="1" x="1258"/>
        <item m="1" x="6308"/>
        <item m="1" x="5220"/>
        <item m="1" x="5024"/>
        <item m="1" x="5961"/>
        <item m="1" x="5683"/>
        <item m="1" x="3946"/>
        <item m="1" x="6411"/>
        <item m="1" x="1398"/>
        <item m="1" x="7514"/>
        <item m="1" x="4838"/>
        <item m="1" x="3170"/>
        <item m="1" x="5017"/>
        <item m="1" x="3331"/>
        <item m="1" x="1118"/>
        <item m="1" x="7438"/>
        <item m="1" x="6541"/>
        <item m="1" x="6374"/>
        <item m="1" x="4545"/>
        <item m="1" x="1461"/>
        <item m="1" x="3351"/>
        <item m="1" x="2800"/>
        <item m="1" x="2699"/>
        <item m="1" x="510"/>
        <item m="1" x="1734"/>
        <item m="1" x="2944"/>
        <item m="1" x="4323"/>
        <item m="1" x="1606"/>
        <item m="1" x="3265"/>
        <item m="1" x="4696"/>
        <item m="1" x="6827"/>
        <item m="1" x="5743"/>
        <item m="1" x="7363"/>
        <item m="1" x="2579"/>
        <item m="1" x="2092"/>
        <item m="1" x="5562"/>
        <item m="1" x="2707"/>
        <item m="1" x="2962"/>
        <item m="1" x="598"/>
        <item m="1" x="6722"/>
        <item m="1" x="238"/>
        <item m="1" x="2514"/>
        <item m="1" x="5478"/>
        <item m="1" x="2963"/>
        <item m="1" x="539"/>
        <item m="1" x="731"/>
        <item m="1" x="4530"/>
        <item m="1" x="2483"/>
        <item m="1" x="6023"/>
        <item m="1" x="3254"/>
        <item m="1" x="5355"/>
        <item m="1" x="5935"/>
        <item m="1" x="3864"/>
        <item m="1" x="2660"/>
        <item m="1" x="4170"/>
        <item m="1" x="6262"/>
        <item m="1" x="7149"/>
        <item m="1" x="4222"/>
        <item m="1" x="4225"/>
        <item m="1" x="6024"/>
        <item m="1" x="4378"/>
        <item m="1" x="2682"/>
        <item m="1" x="6423"/>
        <item m="1" x="4760"/>
        <item m="1" x="3106"/>
        <item m="1" x="2513"/>
        <item m="1" x="5727"/>
        <item m="1" x="5871"/>
        <item m="1" x="6364"/>
        <item m="1" x="4681"/>
        <item m="1" x="6775"/>
        <item m="1" x="1245"/>
        <item m="1" x="3622"/>
        <item m="1" x="3787"/>
        <item m="1" x="6221"/>
        <item m="1" x="6505"/>
        <item m="1" x="3072"/>
        <item m="1" x="6247"/>
        <item m="1" x="5529"/>
        <item m="1" x="7691"/>
        <item m="1" x="7545"/>
        <item m="1" x="3947"/>
        <item m="1" x="473"/>
        <item m="1" x="5611"/>
        <item m="1" x="4537"/>
        <item m="1" x="23"/>
        <item m="1" x="4384"/>
        <item m="1" x="5270"/>
        <item m="1" x="791"/>
        <item m="1" x="5732"/>
        <item m="1" x="4772"/>
        <item m="1" x="4160"/>
        <item m="1" x="6424"/>
        <item m="1" x="7452"/>
        <item m="1" x="4842"/>
        <item m="1" x="5069"/>
        <item m="1" x="5143"/>
        <item m="1" x="2850"/>
        <item m="1" x="6025"/>
        <item m="1" x="5948"/>
        <item m="1" x="6947"/>
        <item m="1" x="4548"/>
        <item m="1" x="7074"/>
        <item m="1" x="24"/>
        <item m="1" x="3965"/>
        <item m="1" x="2796"/>
        <item m="1" x="6647"/>
        <item m="1" x="3428"/>
        <item m="1" x="4667"/>
        <item m="1" x="5072"/>
        <item m="1" x="2722"/>
        <item m="1" x="6301"/>
        <item m="1" x="3266"/>
        <item m="1" x="1482"/>
        <item m="1" x="2079"/>
        <item m="1" x="4957"/>
        <item m="1" x="6704"/>
        <item m="1" x="7572"/>
        <item m="1" x="4234"/>
        <item m="1" x="5904"/>
        <item m="1" x="3846"/>
        <item m="1" x="5824"/>
        <item m="1" x="3723"/>
        <item m="1" x="3282"/>
        <item m="1" x="3705"/>
        <item m="1" x="2392"/>
        <item m="1" x="5144"/>
        <item m="1" x="5594"/>
        <item m="1" x="3350"/>
        <item m="1" x="5348"/>
        <item m="1" x="3730"/>
        <item m="1" x="2601"/>
        <item m="1" x="3031"/>
        <item m="1" x="5356"/>
        <item m="1" x="3726"/>
        <item m="1" x="3191"/>
        <item m="1" x="1403"/>
        <item m="1" x="6742"/>
        <item m="1" x="5733"/>
        <item m="1" x="1312"/>
        <item m="1" x="4203"/>
        <item m="1" x="5100"/>
        <item m="1" x="5674"/>
        <item m="1" x="2224"/>
        <item m="1" x="5198"/>
        <item m="1" x="2726"/>
        <item m="1" x="4762"/>
        <item m="1" x="783"/>
        <item m="1" x="6302"/>
        <item m="1" x="4082"/>
        <item m="1" x="4778"/>
        <item m="1" x="575"/>
        <item m="1" x="6894"/>
        <item m="1" x="3497"/>
        <item m="1" x="4773"/>
        <item m="1" x="4243"/>
        <item m="1" x="4784"/>
        <item m="1" x="2424"/>
        <item m="1" x="2386"/>
        <item m="1" x="6072"/>
        <item m="1" x="3820"/>
        <item m="1" x="4872"/>
        <item m="1" x="3748"/>
        <item m="1" x="7621"/>
        <item m="1" x="6476"/>
        <item m="1" x="4185"/>
        <item m="1" x="3681"/>
        <item m="1" x="4283"/>
        <item m="1" x="2754"/>
        <item m="1" x="4769"/>
        <item m="1" x="4774"/>
        <item m="1" x="6434"/>
        <item m="1" x="4157"/>
        <item m="1" x="7492"/>
        <item m="1" x="7020"/>
        <item m="1" x="4346"/>
        <item m="1" x="5700"/>
        <item m="1" x="5275"/>
        <item m="1" x="3648"/>
        <item m="1" x="6904"/>
        <item m="1" x="5153"/>
        <item m="1" x="6737"/>
        <item m="1" x="5413"/>
        <item m="1" x="2094"/>
        <item m="1" x="2415"/>
        <item m="1" x="1604"/>
        <item m="1" x="3030"/>
        <item m="1" x="251"/>
        <item m="1" x="3662"/>
        <item m="1" x="6936"/>
        <item m="1" x="5457"/>
        <item m="1" x="3970"/>
        <item m="1" x="1931"/>
        <item m="1" x="3101"/>
        <item m="1" x="5083"/>
        <item m="1" x="154"/>
        <item m="1" x="3034"/>
        <item m="1" x="3438"/>
        <item m="1" x="7607"/>
        <item m="1" x="2031"/>
        <item m="1" x="3362"/>
        <item m="1" x="2801"/>
        <item m="1" x="7372"/>
        <item m="1" x="6959"/>
        <item m="1" x="5030"/>
        <item m="1" x="3502"/>
        <item m="1" x="1968"/>
        <item m="1" x="3144"/>
        <item m="1" x="1516"/>
        <item m="1" x="6844"/>
        <item m="1" x="3457"/>
        <item m="1" x="2037"/>
        <item m="1" x="7248"/>
        <item m="1" x="3856"/>
        <item m="1" x="4048"/>
        <item m="1" x="4176"/>
        <item m="1" x="4524"/>
        <item m="1" x="3258"/>
        <item m="1" x="1113"/>
        <item m="1" x="6013"/>
        <item m="1" x="4069"/>
        <item m="1" x="3948"/>
        <item m="1" x="6776"/>
        <item m="1" x="3397"/>
        <item m="1" x="6409"/>
        <item m="1" x="6103"/>
        <item m="1" x="5333"/>
        <item m="1" x="4396"/>
        <item m="1" x="2515"/>
        <item m="1" x="5942"/>
        <item m="1" x="3592"/>
        <item m="1" x="3584"/>
        <item m="1" x="6135"/>
        <item m="1" x="816"/>
        <item m="1" x="7790"/>
        <item m="1" x="5707"/>
        <item m="1" x="4073"/>
        <item m="1" x="5803"/>
        <item m="1" x="972"/>
        <item m="1" x="4970"/>
        <item m="1" x="3667"/>
        <item m="1" x="1623"/>
        <item m="1" x="7138"/>
        <item m="1" x="5247"/>
        <item m="1" x="7563"/>
        <item m="1" x="6799"/>
        <item m="1" x="5943"/>
        <item m="1" x="2805"/>
        <item m="1" x="3201"/>
        <item m="1" x="7601"/>
        <item m="1" x="5833"/>
        <item m="1" x="4664"/>
        <item m="1" x="4277"/>
        <item m="1" x="2161"/>
        <item m="1" x="2664"/>
        <item m="1" x="2694"/>
        <item m="1" x="908"/>
        <item m="1" x="2964"/>
        <item m="1" x="3563"/>
        <item m="1" x="7365"/>
        <item m="1" x="1306"/>
        <item m="1" x="1778"/>
        <item m="1" x="5493"/>
        <item m="1" x="3315"/>
        <item m="1" x="3530"/>
        <item m="1" x="1440"/>
        <item m="1" x="2832"/>
        <item m="1" x="5834"/>
        <item m="1" x="1448"/>
        <item m="1" x="7770"/>
        <item m="1" x="6315"/>
        <item m="1" x="3784"/>
        <item m="1" x="4293"/>
        <item m="1" x="1117"/>
        <item m="1" x="6121"/>
        <item m="1" x="5539"/>
        <item m="1" x="7682"/>
        <item m="1" x="1874"/>
        <item m="1" x="7097"/>
        <item m="1" x="2414"/>
        <item m="1" x="1603"/>
        <item m="1" x="5856"/>
        <item m="1" x="6241"/>
        <item m="1" x="5873"/>
        <item m="1" x="3731"/>
        <item m="1" x="3961"/>
        <item m="1" x="151"/>
        <item m="1" x="4929"/>
        <item m="1" x="4379"/>
        <item m="1" x="6228"/>
        <item m="1" x="4533"/>
        <item m="1" x="3640"/>
        <item m="1" x="6243"/>
        <item m="1" x="5294"/>
        <item m="1" x="3666"/>
        <item m="1" x="4922"/>
        <item m="1" x="2748"/>
        <item m="1" x="5207"/>
        <item m="1" x="2564"/>
        <item m="1" x="5211"/>
        <item m="1" x="3544"/>
        <item m="1" x="1467"/>
        <item m="1" x="7541"/>
        <item m="1" x="4757"/>
        <item m="1" x="4936"/>
        <item m="1" x="1031"/>
        <item m="1" x="4328"/>
        <item m="1" x="2614"/>
        <item m="1" x="4477"/>
        <item m="1" x="4179"/>
        <item m="1" x="7632"/>
        <item m="1" x="2560"/>
        <item m="1" x="2409"/>
        <item m="1" x="7679"/>
        <item m="1" x="137"/>
        <item m="1" x="5786"/>
        <item m="1" x="2946"/>
        <item m="1" x="5018"/>
        <item m="1" x="2215"/>
        <item m="1" x="7209"/>
        <item m="1" x="7566"/>
        <item m="1" x="5726"/>
        <item m="1" x="4096"/>
        <item m="1" x="5558"/>
        <item m="1" x="3895"/>
        <item m="1" x="30"/>
        <item m="1" x="5026"/>
        <item m="1" x="3975"/>
        <item m="1" x="2714"/>
        <item m="1" x="271"/>
        <item m="1" x="7237"/>
        <item m="1" x="7476"/>
        <item m="1" x="4309"/>
        <item m="1" x="1993"/>
        <item m="1" x="5800"/>
        <item m="1" x="4847"/>
        <item m="1" x="3177"/>
        <item m="1" x="1707"/>
        <item m="1" x="844"/>
        <item m="1" x="2926"/>
        <item m="1" x="5811"/>
        <item m="1" x="7057"/>
        <item m="1" x="4544"/>
        <item m="1" x="705"/>
        <item m="1" x="523"/>
        <item m="1" x="5032"/>
        <item m="1" x="2883"/>
        <item m="1" x="7088"/>
        <item m="1" x="7319"/>
        <item m="1" x="1322"/>
        <item m="1" x="7379"/>
        <item m="1" x="3959"/>
        <item m="1" x="4407"/>
        <item m="1" x="2225"/>
        <item m="1" x="6061"/>
        <item m="1" x="4405"/>
        <item m="1" x="4489"/>
        <item m="1" x="6683"/>
        <item m="1" x="1825"/>
        <item m="1" x="5357"/>
        <item m="1" x="5437"/>
        <item m="1" x="5555"/>
        <item m="1" x="6920"/>
        <item m="1" x="3349"/>
        <item m="1" x="1084"/>
        <item m="1" x="233"/>
        <item m="1" x="794"/>
        <item m="1" x="5217"/>
        <item m="1" x="33"/>
        <item m="1" x="2894"/>
        <item m="1" x="6065"/>
        <item m="1" x="6257"/>
        <item m="1" x="533"/>
        <item m="1" x="6998"/>
        <item m="1" x="4016"/>
        <item m="1" x="3486"/>
        <item m="1" x="3554"/>
        <item m="1" x="3200"/>
        <item m="1" x="1222"/>
        <item m="1" x="6397"/>
        <item m="1" x="345"/>
        <item m="1" x="5491"/>
        <item m="1" x="5033"/>
        <item m="1" x="954"/>
        <item m="1" x="7119"/>
        <item m="1" x="5436"/>
        <item m="1" x="1616"/>
        <item m="1" x="3920"/>
        <item m="1" x="6768"/>
        <item m="1" x="2242"/>
        <item m="1" x="6408"/>
        <item m="1" x="7131"/>
        <item m="1" x="5806"/>
        <item m="1" x="6593"/>
        <item m="1" x="2336"/>
        <item m="1" x="3607"/>
        <item m="1" x="647"/>
        <item m="1" x="6173"/>
        <item m="1" x="4514"/>
        <item m="1" x="869"/>
        <item m="1" x="7091"/>
        <item m="1" x="5075"/>
        <item m="1" x="5458"/>
        <item m="1" x="6633"/>
        <item m="1" x="5693"/>
        <item m="1" x="6418"/>
        <item m="1" x="4604"/>
        <item m="1" x="1310"/>
        <item m="1" x="749"/>
        <item m="1" x="6902"/>
        <item m="1" x="3471"/>
        <item m="1" x="3647"/>
        <item m="1" x="3629"/>
        <item m="1" x="3255"/>
        <item m="1" x="5767"/>
        <item m="1" x="285"/>
        <item m="1" x="6564"/>
        <item m="1" x="5606"/>
        <item m="1" x="3894"/>
        <item m="1" x="3643"/>
        <item m="1" x="1013"/>
        <item m="1" x="1840"/>
        <item m="1" x="7295"/>
        <item m="1" x="1469"/>
        <item m="1" x="7054"/>
        <item m="1" x="160"/>
        <item m="1" x="679"/>
        <item m="1" x="1793"/>
        <item m="1" x="332"/>
        <item m="1" x="4385"/>
        <item m="1" x="5224"/>
        <item m="1" x="4845"/>
        <item m="1" x="3719"/>
        <item m="1" x="6368"/>
        <item m="1" x="4686"/>
        <item m="1" x="414"/>
        <item m="1" x="5973"/>
        <item m="1" x="5246"/>
        <item m="1" x="5427"/>
        <item m="1" x="2607"/>
        <item m="1" x="726"/>
        <item m="1" x="2930"/>
        <item m="1" x="7509"/>
        <item m="1" x="4426"/>
        <item m="1" x="6469"/>
        <item m="1" x="997"/>
        <item m="1" x="1908"/>
        <item m="1" x="6399"/>
        <item m="1" x="5835"/>
        <item m="1" x="6349"/>
        <item m="1" x="3017"/>
        <item m="1" x="2314"/>
        <item m="1" x="5795"/>
        <item m="1" x="5616"/>
        <item m="1" x="3371"/>
        <item m="1" x="3335"/>
        <item m="1" x="4609"/>
        <item m="1" x="1725"/>
        <item m="1" x="5968"/>
        <item m="1" x="6736"/>
        <item m="1" x="7114"/>
        <item m="1" x="5879"/>
        <item m="1" x="982"/>
        <item m="1" x="6391"/>
        <item m="1" x="6310"/>
        <item m="1" x="3912"/>
        <item m="1" x="2715"/>
        <item m="1" x="2119"/>
        <item m="1" x="6841"/>
        <item m="1" x="4630"/>
        <item m="1" x="1350"/>
        <item m="1" x="3062"/>
        <item m="1" x="6480"/>
        <item m="1" x="7047"/>
        <item m="1" x="6278"/>
        <item m="1" x="1168"/>
        <item m="1" x="4730"/>
        <item m="1" x="1499"/>
        <item m="1" x="3678"/>
        <item m="1" x="6402"/>
        <item m="1" x="6111"/>
        <item m="1" x="7065"/>
        <item m="1" x="5142"/>
        <item m="1" x="4885"/>
        <item m="1" x="6354"/>
        <item m="1" x="5517"/>
        <item m="1" x="5956"/>
        <item m="1" x="5070"/>
        <item m="1" x="3313"/>
        <item m="1" x="4798"/>
        <item m="1" x="868"/>
        <item m="1" x="2820"/>
        <item m="1" x="7669"/>
        <item m="1" x="2580"/>
        <item m="1" x="2763"/>
        <item m="1" x="5698"/>
        <item m="1" x="5077"/>
        <item m="1" x="6053"/>
        <item m="1" x="6248"/>
        <item m="1" x="4310"/>
        <item m="1" x="6094"/>
        <item m="1" x="5777"/>
        <item m="1" x="5261"/>
        <item m="1" x="5522"/>
        <item m="1" x="5662"/>
        <item m="1" x="5706"/>
        <item m="1" x="5663"/>
        <item m="1" x="5550"/>
        <item m="1" x="5086"/>
        <item m="1" x="4954"/>
        <item m="1" x="5025"/>
        <item m="1" x="4417"/>
        <item m="1" x="4494"/>
        <item m="1" x="4584"/>
        <item m="1" x="4668"/>
        <item m="1" x="3950"/>
        <item m="1" x="4153"/>
        <item m="1" x="3809"/>
        <item m="1" x="5828"/>
        <item m="1" x="5329"/>
        <item m="1" x="1490"/>
        <item m="1" x="1598"/>
        <item m="1" x="2104"/>
        <item m="1" x="2522"/>
        <item m="1" x="2809"/>
        <item m="1" x="2974"/>
        <item m="1" x="3048"/>
        <item m="1" x="2257"/>
        <item m="1" x="6566"/>
        <item m="1" x="803"/>
        <item m="1" x="3018"/>
        <item m="1" x="3951"/>
        <item m="1" x="1612"/>
        <item m="1" x="1672"/>
        <item m="1" x="7530"/>
        <item m="1" x="4528"/>
        <item m="1" x="4675"/>
        <item m="1" x="3276"/>
        <item m="1" x="2226"/>
        <item m="1" x="3741"/>
        <item m="1" x="248"/>
        <item m="1" x="949"/>
        <item m="1" x="6747"/>
        <item m="1" x="7376"/>
        <item m="1" x="79"/>
        <item m="1" x="6419"/>
        <item m="1" x="6598"/>
        <item m="1" x="1443"/>
        <item m="1" x="2345"/>
        <item m="1" x="5006"/>
        <item m="1" x="5134"/>
        <item m="1" x="5397"/>
        <item m="1" x="3964"/>
        <item m="1" x="6543"/>
        <item m="1" x="4710"/>
        <item m="1" x="4983"/>
        <item m="1" x="5049"/>
        <item m="1" x="5114"/>
        <item m="1" x="5240"/>
        <item m="1" x="5317"/>
        <item m="1" x="4647"/>
        <item m="1" x="4713"/>
        <item m="1" x="4796"/>
        <item m="1" x="4877"/>
        <item m="1" x="4986"/>
        <item m="1" x="5116"/>
        <item m="1" x="5242"/>
        <item m="1" x="5320"/>
        <item m="1" x="4801"/>
        <item m="1" x="5058"/>
        <item m="1" x="5121"/>
        <item m="1" x="5244"/>
        <item m="1" x="5125"/>
        <item m="1" x="5187"/>
        <item m="1" x="5249"/>
        <item m="1" x="4899"/>
        <item m="1" x="4999"/>
        <item m="1" x="5065"/>
        <item m="1" x="5131"/>
        <item m="1" x="5193"/>
        <item m="1" x="5254"/>
        <item m="1" x="5255"/>
        <item m="1" x="4659"/>
        <item m="1" x="7175"/>
        <item m="1" x="3863"/>
        <item m="1" x="1164"/>
        <item m="1" x="6293"/>
        <item m="1" x="2319"/>
        <item m="1" x="5549"/>
        <item m="1" x="5228"/>
        <item m="1" x="2423"/>
        <item m="1" x="2020"/>
        <item m="1" x="1549"/>
        <item m="1" x="1116"/>
        <item m="1" x="687"/>
        <item m="1" x="268"/>
        <item m="1" x="5657"/>
        <item m="1" x="1733"/>
        <item m="1" x="1320"/>
        <item m="1" x="31"/>
        <item m="1" x="7377"/>
        <item m="1" x="6960"/>
        <item m="1" x="6599"/>
        <item m="1" x="6303"/>
        <item m="1" x="5963"/>
        <item m="1" x="3283"/>
        <item m="1" x="2989"/>
        <item m="1" x="4583"/>
        <item m="1" x="4297"/>
        <item m="1" x="5848"/>
        <item m="1" x="5932"/>
        <item m="1" x="1"/>
        <item m="1" x="4033"/>
        <item m="1" x="3419"/>
        <item m="1" x="6406"/>
        <item m="1" x="4490"/>
        <item m="1" x="5401"/>
        <item m="1" x="659"/>
        <item m="1" x="4627"/>
        <item m="1" x="2327"/>
        <item m="1" x="5336"/>
        <item m="1" x="5731"/>
        <item m="1" x="6814"/>
        <item m="1" x="2646"/>
        <item m="1" x="7371"/>
        <item m="1" x="6078"/>
        <item m="1" x="123"/>
        <item m="1" x="6888"/>
        <item m="1" x="5146"/>
        <item m="1" x="7574"/>
        <item m="1" x="2831"/>
        <item m="1" x="2101"/>
        <item m="1" x="7369"/>
        <item m="1" x="663"/>
        <item m="1" x="5703"/>
        <item m="1" x="3394"/>
        <item m="1" x="6502"/>
        <item m="1" x="7419"/>
        <item m="1" x="352"/>
        <item m="1" x="1047"/>
        <item m="1" x="3153"/>
        <item m="1" x="5540"/>
        <item m="1" x="5772"/>
        <item m="1" x="3780"/>
        <item m="1" x="4066"/>
        <item m="1" x="4825"/>
        <item m="1" x="3796"/>
        <item m="1" x="4083"/>
        <item m="1" x="4534"/>
        <item m="1" x="4850"/>
        <item m="1" x="4099"/>
        <item m="1" x="5080"/>
        <item m="1" x="5937"/>
        <item m="1" x="4599"/>
        <item m="1" x="4946"/>
        <item m="1" x="5350"/>
        <item m="1" x="4479"/>
        <item m="1" x="4461"/>
        <item m="1" x="5349"/>
        <item m="1" x="4770"/>
        <item m="1" x="4317"/>
        <item m="1" x="4787"/>
        <item m="1" x="4617"/>
        <item m="1" x="4641"/>
        <item m="1" x="3757"/>
        <item m="1" x="4338"/>
        <item m="1" x="4106"/>
        <item m="1" x="2710"/>
        <item m="1" x="4815"/>
        <item m="1" x="3763"/>
        <item m="1" x="4052"/>
        <item m="1" x="3768"/>
        <item m="1" x="4219"/>
        <item m="1" x="4523"/>
        <item m="1" x="3791"/>
        <item m="1" x="4081"/>
        <item m="1" x="4377"/>
        <item m="1" x="3929"/>
        <item m="1" x="87"/>
        <item m="1" x="304"/>
        <item m="1" x="7637"/>
        <item m="1" x="6943"/>
        <item m="1" x="7380"/>
        <item m="1" x="7591"/>
        <item m="1" x="58"/>
        <item m="1" x="280"/>
        <item m="1" x="6390"/>
        <item m="1" x="6756"/>
        <item m="1" x="7608"/>
        <item m="1" x="5689"/>
        <item m="1" x="5388"/>
        <item m="1" x="5575"/>
        <item m="1" x="5976"/>
        <item m="1" x="6162"/>
        <item m="1" x="6337"/>
        <item m="1" x="5839"/>
        <item m="1" x="6214"/>
        <item m="1" x="5266"/>
        <item m="1" x="4868"/>
        <item m="1" x="4133"/>
        <item m="1" x="4875"/>
        <item m="1" x="3847"/>
        <item m="1" x="5148"/>
        <item m="1" x="5603"/>
        <item m="1" x="4394"/>
        <item m="1" x="4539"/>
        <item m="1" x="294"/>
        <item m="1" x="1197"/>
        <item m="1" x="1950"/>
        <item m="1" x="2107"/>
        <item m="1" x="1487"/>
        <item m="1" x="7200"/>
        <item m="1" x="7706"/>
        <item m="1" x="1280"/>
        <item m="1" x="7208"/>
        <item m="1" x="610"/>
        <item m="1" x="815"/>
        <item m="1" x="1060"/>
        <item m="1" x="373"/>
        <item m="1" x="7678"/>
        <item m="1" x="7029"/>
        <item m="1" x="634"/>
        <item m="1" x="7753"/>
        <item m="1" x="349"/>
        <item m="1" x="377"/>
        <item m="1" x="2791"/>
        <item m="1" x="1083"/>
        <item m="1" x="1115"/>
        <item m="1" x="7317"/>
        <item m="1" x="7374"/>
        <item m="1" x="4146"/>
        <item m="1" x="4294"/>
        <item m="1" x="4013"/>
        <item m="1" x="3370"/>
        <item m="1" x="3677"/>
        <item m="1" x="4459"/>
        <item m="1" x="3553"/>
        <item m="1" x="4462"/>
        <item m="1" x="3414"/>
        <item m="1" x="3878"/>
        <item m="1" x="3235"/>
        <item m="1" x="3718"/>
        <item m="1" x="3874"/>
        <item m="1" x="4296"/>
        <item m="1" x="2955"/>
        <item m="1" x="3111"/>
        <item m="1" x="3269"/>
        <item m="1" x="5634"/>
        <item m="1" x="5170"/>
        <item m="1" x="5312"/>
        <item m="1" x="5050"/>
        <item m="1" x="5489"/>
        <item m="1" x="5185"/>
        <item m="1" x="5648"/>
        <item m="1" x="5761"/>
        <item m="1" x="6093"/>
        <item m="1" x="5071"/>
        <item m="1" x="4566"/>
        <item m="1" x="5652"/>
        <item m="1" x="4909"/>
        <item m="1" x="4582"/>
        <item m="1" x="5204"/>
        <item m="1" x="3773"/>
        <item m="1" x="4086"/>
        <item m="1" x="4391"/>
        <item m="1" x="4685"/>
        <item m="1" x="3477"/>
        <item m="1" x="3793"/>
        <item m="1" x="3022"/>
        <item m="1" x="2684"/>
        <item m="1" x="2890"/>
        <item m="1" x="4820"/>
        <item m="1" x="4588"/>
        <item m="1" x="5338"/>
        <item m="1" x="4484"/>
        <item m="1" x="3578"/>
        <item m="1" x="3868"/>
        <item m="1" x="5074"/>
        <item m="1" x="4898"/>
        <item m="1" x="4145"/>
        <item m="1" x="2219"/>
        <item m="1" x="5802"/>
        <item m="1" x="4822"/>
        <item m="1" x="5138"/>
        <item m="1" x="6202"/>
        <item m="1" x="4833"/>
        <item m="1" x="5694"/>
        <item m="1" x="4804"/>
        <item m="1" x="3974"/>
        <item m="1" x="5303"/>
        <item m="1" x="5172"/>
        <item m="1" x="3981"/>
        <item m="1" x="4110"/>
        <item m="1" x="4255"/>
        <item m="1" x="4412"/>
        <item m="1" x="4420"/>
        <item m="1" x="5323"/>
        <item m="1" x="4729"/>
        <item m="1" x="161"/>
        <item m="1" x="7152"/>
        <item m="1" x="7594"/>
        <item m="1" x="1727"/>
        <item m="1" x="4614"/>
        <item m="1" x="4832"/>
        <item m="1" x="4551"/>
        <item m="1" x="6369"/>
        <item m="1" x="5738"/>
        <item m="1" x="7121"/>
        <item m="1" x="7368"/>
        <item m="1" x="6259"/>
        <item m="1" x="5754"/>
        <item m="1" x="6080"/>
        <item m="1" x="6105"/>
        <item m="1" x="5560"/>
        <item m="1" x="5983"/>
        <item m="1" x="6250"/>
        <item m="1" x="5022"/>
        <item m="1" x="3541"/>
        <item m="1" x="2665"/>
        <item m="1" x="6468"/>
        <item m="1" x="7743"/>
        <item m="1" x="5975"/>
        <item m="1" x="7517"/>
        <item m="1" x="5629"/>
        <item m="1" x="6941"/>
        <item m="1" x="5492"/>
        <item m="1" x="6946"/>
        <item m="1" x="5908"/>
        <item m="1" x="6758"/>
        <item m="1" x="7141"/>
        <item m="1" x="6300"/>
        <item m="1" x="6429"/>
        <item m="1" x="5794"/>
        <item m="1" x="6129"/>
        <item m="1" x="4993"/>
        <item m="1" x="5826"/>
        <item m="1" x="4814"/>
        <item m="1" x="5013"/>
        <item m="1" x="3542"/>
        <item m="1" x="3715"/>
        <item m="1" x="4452"/>
        <item m="1" x="1439"/>
        <item m="1" x="2429"/>
        <item m="1" x="4783"/>
        <item m="1" x="6767"/>
        <item m="1" x="69"/>
        <item m="1" x="5677"/>
        <item m="1" x="7437"/>
        <item m="1" x="5278"/>
        <item m="1" x="5423"/>
        <item m="1" x="7686"/>
        <item m="1" x="771"/>
        <item m="1" x="1247"/>
        <item m="1" x="825"/>
        <item m="1" x="837"/>
        <item m="1" x="6822"/>
        <item m="1" x="7215"/>
        <item m="1" x="7489"/>
        <item m="1" x="613"/>
        <item m="1" x="6646"/>
        <item m="1" x="7236"/>
        <item m="1" x="6682"/>
        <item m="1" x="1471"/>
        <item m="1" x="3275"/>
        <item m="1" x="3118"/>
        <item m="1" x="1970"/>
        <item m="1" x="2207"/>
        <item m="1" x="1980"/>
        <item m="1" x="2448"/>
        <item m="1" x="7375"/>
        <item m="1" x="52"/>
        <item m="1" x="5964"/>
        <item m="1" x="6140"/>
        <item m="1" x="3559"/>
        <item m="1" x="3130"/>
        <item m="1" x="2323"/>
        <item m="1" x="2080"/>
        <item m="1" x="1889"/>
        <item m="1" x="1883"/>
        <item m="1" x="3972"/>
        <item m="1" x="2908"/>
        <item m="1" x="2201"/>
        <item m="1" x="3193"/>
        <item m="1" x="3819"/>
        <item m="1" x="1818"/>
        <item m="1" x="6777"/>
        <item m="1" x="1981"/>
        <item m="1" x="6779"/>
        <item m="1" x="6299"/>
        <item m="1" x="6787"/>
        <item m="1" x="5219"/>
        <item m="1" x="5425"/>
        <item m="1" x="4688"/>
        <item m="1" x="3236"/>
        <item m="1" x="3389"/>
        <item m="1" x="3865"/>
        <item m="1" x="4303"/>
        <item m="1" x="6213"/>
        <item m="1" x="5621"/>
        <item m="1" x="5884"/>
        <item m="1" x="6057"/>
        <item m="1" x="6748"/>
        <item m="1" x="5304"/>
        <item m="1" x="6367"/>
        <item m="1" x="6713"/>
        <item m="1" x="4339"/>
        <item m="1" x="4722"/>
        <item m="1" x="4889"/>
        <item m="1" x="5060"/>
        <item m="1" x="4269"/>
        <item m="1" x="3591"/>
        <item m="1" x="6508"/>
        <item m="1" x="6244"/>
        <item m="1" x="3487"/>
        <item m="1" x="3192"/>
        <item m="1" x="5581"/>
        <item m="1" x="4554"/>
        <item m="1" x="4595"/>
        <item m="1" x="4365"/>
        <item m="1" x="3242"/>
        <item m="1" x="5584"/>
        <item m="1" x="5029"/>
        <item m="1" x="5890"/>
        <item m="1" x="3570"/>
        <item m="1" x="3357"/>
        <item m="1" x="4734"/>
        <item m="1" x="1393"/>
        <item m="1" x="4949"/>
        <item m="1" x="7261"/>
        <item m="1" x="1233"/>
        <item m="1" x="2967"/>
        <item m="1" x="3551"/>
        <item m="1" x="2503"/>
        <item m="1" x="6984"/>
        <item m="1" x="3467"/>
        <item m="1" x="7558"/>
        <item m="1" x="7443"/>
        <item m="1" x="7668"/>
        <item m="1" x="5646"/>
        <item m="1" x="5718"/>
        <item m="1" x="596"/>
        <item m="1" x="3366"/>
        <item m="1" x="7663"/>
        <item m="1" x="3900"/>
        <item m="1" x="3465"/>
        <item m="1" x="2977"/>
        <item m="1" x="876"/>
        <item m="1" x="5586"/>
        <item m="1" x="7532"/>
        <item m="1" x="1313"/>
        <item m="1" x="1743"/>
        <item m="1" x="531"/>
        <item m="1" x="6026"/>
        <item m="1" x="5415"/>
        <item m="1" x="2508"/>
        <item m="1" x="3538"/>
        <item m="1" x="6584"/>
        <item m="1" x="5774"/>
        <item m="1" x="3755"/>
        <item m="1" x="1484"/>
        <item m="1" x="7720"/>
        <item m="1" x="2017"/>
        <item m="1" x="1546"/>
        <item m="1" x="6008"/>
        <item m="1" x="4755"/>
        <item m="1" x="7354"/>
        <item m="1" x="1235"/>
        <item m="1" x="6136"/>
        <item m="1" x="1283"/>
        <item m="1" x="2179"/>
        <item m="1" x="5840"/>
        <item m="1" x="1251"/>
        <item m="1" x="6181"/>
        <item m="1" x="458"/>
        <item m="1" x="6635"/>
        <item m="1" x="5508"/>
        <item m="1" x="6613"/>
        <item m="1" x="6048"/>
        <item m="1" x="7470"/>
        <item m="1" x="3488"/>
        <item m="1" x="3098"/>
        <item m="1" x="3121"/>
        <item m="1" x="5441"/>
        <item m="1" x="2566"/>
        <item m="1" x="2661"/>
        <item m="1" x="2657"/>
        <item m="1" x="1372"/>
        <item m="1" x="2075"/>
        <item m="1" x="5430"/>
        <item m="1" x="5463"/>
        <item m="1" x="4044"/>
        <item m="1" x="5995"/>
        <item m="1" x="1401"/>
        <item m="1" x="3799"/>
        <item m="1" x="6473"/>
        <item m="1" x="6492"/>
        <item m="1" x="3403"/>
        <item m="1" x="7280"/>
        <item m="1" x="5366"/>
        <item m="1" x="7432"/>
        <item m="1" x="6351"/>
        <item m="1" x="7406"/>
        <item m="1" x="1789"/>
        <item m="1" x="1815"/>
        <item m="1" x="1827"/>
        <item m="1" x="980"/>
        <item m="1" x="129"/>
        <item m="1" x="914"/>
        <item m="1" x="1802"/>
        <item m="1" x="1849"/>
        <item m="1" x="6246"/>
        <item m="1" x="4660"/>
        <item m="1" x="6499"/>
        <item m="1" x="6474"/>
        <item m="1" x="3902"/>
        <item m="1" x="5284"/>
        <item m="1" x="1594"/>
        <item m="1" x="1873"/>
        <item m="1" x="640"/>
        <item m="1" x="4628"/>
        <item m="1" x="6773"/>
        <item m="1" x="1328"/>
        <item m="1" x="1512"/>
        <item m="1" x="7143"/>
        <item m="1" x="4178"/>
        <item m="1" x="3621"/>
        <item m="1" x="5367"/>
        <item m="1" x="4831"/>
        <item m="1" x="7551"/>
        <item m="1" x="7589"/>
        <item m="1" x="169"/>
        <item m="1" x="7500"/>
        <item m="1" x="6069"/>
        <item m="1" x="5533"/>
        <item m="1" x="5221"/>
        <item m="1" x="1992"/>
        <item m="1" x="3427"/>
        <item m="1" x="2843"/>
        <item m="1" x="762"/>
        <item m="1" x="7214"/>
        <item m="1" x="6839"/>
        <item m="1" x="5081"/>
        <item m="1" x="246"/>
        <item m="1" x="4521"/>
        <item m="1" x="3065"/>
        <item m="1" x="4546"/>
        <item m="1" x="5739"/>
        <item m="1" x="3107"/>
        <item m="1" x="4589"/>
        <item m="1" x="5780"/>
        <item m="1" x="6921"/>
        <item m="1" x="7389"/>
        <item m="1" x="6927"/>
        <item m="1" x="6966"/>
        <item m="1" x="4345"/>
        <item m="1" x="3472"/>
        <item m="1" x="326"/>
        <item m="1" x="7490"/>
        <item m="1" x="7539"/>
        <item m="1" x="7094"/>
        <item m="1" x="7580"/>
        <item m="1" x="7656"/>
        <item m="1" x="1841"/>
        <item m="1" x="3327"/>
        <item m="1" x="43"/>
        <item m="1" x="7098"/>
        <item m="1" x="7583"/>
        <item m="1" x="7664"/>
        <item m="1" x="1848"/>
        <item m="1" x="7100"/>
        <item m="1" x="7585"/>
        <item m="1" x="7665"/>
        <item m="1" x="1850"/>
        <item m="1" x="47"/>
        <item m="1" x="7102"/>
        <item m="1" x="1624"/>
        <item m="1" x="7105"/>
        <item m="1" x="1625"/>
        <item m="1" x="7108"/>
        <item m="1" x="1760"/>
        <item m="1" x="7110"/>
        <item m="1" x="1761"/>
        <item m="1" x="7112"/>
        <item m="1" x="7554"/>
        <item m="1" x="7595"/>
        <item m="1" x="7683"/>
        <item m="1" x="1860"/>
        <item m="1" x="7451"/>
        <item m="1" x="1472"/>
        <item m="1" x="7681"/>
        <item m="1" x="7230"/>
        <item m="1" x="1317"/>
        <item m="1" x="2986"/>
        <item m="1" x="7240"/>
        <item m="1" x="482"/>
        <item m="1" x="2331"/>
        <item m="1" x="3939"/>
        <item m="1" x="5387"/>
        <item m="1" x="537"/>
        <item m="1" x="2368"/>
        <item m="1" x="3967"/>
        <item m="1" x="5416"/>
        <item m="1" x="7462"/>
        <item m="1" x="635"/>
        <item m="1" x="2461"/>
        <item m="1" x="4029"/>
        <item m="1" x="5545"/>
        <item m="1" x="7243"/>
        <item m="1" x="2996"/>
        <item m="1" x="3942"/>
        <item m="1" x="7328"/>
        <item m="1" x="1386"/>
        <item m="1" x="3029"/>
        <item m="1" x="3969"/>
        <item m="1" x="7390"/>
        <item m="1" x="1425"/>
        <item m="1" x="3069"/>
        <item m="1" x="4009"/>
        <item m="1" x="6744"/>
        <item m="1" x="2871"/>
        <item m="1" x="2518"/>
        <item m="1" x="6770"/>
        <item m="1" x="2922"/>
        <item m="1" x="2571"/>
        <item m="1" x="7331"/>
        <item m="1" x="7099"/>
        <item m="1" x="301"/>
        <item m="1" x="2155"/>
        <item m="1" x="2212"/>
        <item m="1" x="5328"/>
        <item m="1" x="7194"/>
        <item m="1" x="832"/>
        <item m="1" x="2289"/>
        <item m="1" x="6549"/>
        <item m="1" x="6556"/>
        <item m="1" x="578"/>
        <item m="1" x="6557"/>
        <item m="1" x="579"/>
        <item m="1" x="7061"/>
        <item m="1" x="7117"/>
        <item m="1" x="7151"/>
        <item m="1" x="6559"/>
        <item m="1" x="6922"/>
        <item m="1" x="6605"/>
        <item m="1" x="6929"/>
        <item m="1" x="6930"/>
        <item m="1" x="6696"/>
        <item m="1" x="1607"/>
        <item m="1" x="5624"/>
        <item m="1" x="3"/>
        <item m="1" x="1844"/>
        <item m="1" x="1685"/>
        <item m="1" x="5664"/>
        <item m="1" x="7397"/>
        <item m="1" x="1897"/>
        <item m="1" x="6137"/>
        <item m="1" x="6481"/>
        <item m="1" x="669"/>
        <item m="1" x="2511"/>
        <item m="1" x="896"/>
        <item m="1" x="498"/>
        <item m="1" x="2469"/>
        <item m="1" x="673"/>
        <item m="1" x="2645"/>
        <item m="1" x="903"/>
        <item m="1" x="1038"/>
        <item m="1" x="606"/>
        <item m="1" x="2782"/>
        <item m="1" x="1552"/>
        <item m="1" x="1901"/>
        <item m="1" x="7596"/>
        <item m="1" x="7735"/>
        <item m="1" x="16"/>
        <item m="1" x="62"/>
        <item m="1" x="141"/>
        <item m="1" x="602"/>
        <item m="1" x="698"/>
        <item m="1" x="284"/>
        <item m="1" x="220"/>
        <item m="1" x="7321"/>
        <item m="1" x="1609"/>
        <item m="1" x="4403"/>
        <item m="1" x="6934"/>
        <item m="1" x="2711"/>
        <item m="1" x="5163"/>
        <item m="1" x="261"/>
        <item m="1" x="3506"/>
        <item m="1" x="5892"/>
        <item m="1" x="1415"/>
        <item m="1" x="4256"/>
        <item m="1" x="1737"/>
        <item m="1" x="4481"/>
        <item m="1" x="7016"/>
        <item m="1" x="2808"/>
        <item m="1" x="5229"/>
        <item m="1" x="378"/>
        <item m="1" x="3574"/>
        <item m="1" x="5967"/>
        <item m="1" x="1505"/>
        <item m="1" x="4333"/>
        <item m="1" x="1892"/>
        <item m="1" x="4549"/>
        <item m="1" x="7120"/>
        <item m="1" x="2896"/>
        <item m="1" x="5296"/>
        <item m="1" x="513"/>
        <item m="1" x="3668"/>
        <item m="1" x="6066"/>
        <item m="1" x="1627"/>
        <item m="1" x="4413"/>
        <item m="1" x="1996"/>
        <item m="1" x="4623"/>
        <item m="1" x="7217"/>
        <item m="1" x="2972"/>
        <item m="1" x="5369"/>
        <item m="1" x="619"/>
        <item m="1" x="3744"/>
        <item m="1" x="6142"/>
        <item m="1" x="1755"/>
        <item m="1" x="4491"/>
        <item m="1" x="2096"/>
        <item m="1" x="4693"/>
        <item m="1" x="7367"/>
        <item m="1" x="3046"/>
        <item m="1" x="5467"/>
        <item m="1" x="711"/>
        <item m="1" x="3826"/>
        <item m="1" x="6258"/>
        <item m="1" x="1904"/>
        <item m="1" x="4556"/>
        <item m="1" x="2233"/>
        <item m="1" x="4781"/>
        <item m="1" x="7491"/>
        <item m="1" x="3135"/>
        <item m="1" x="5564"/>
        <item m="1" x="835"/>
        <item m="1" x="3906"/>
        <item m="1" x="6313"/>
        <item m="1" x="2010"/>
        <item m="1" x="4634"/>
        <item m="1" x="2344"/>
        <item m="1" x="4859"/>
        <item m="1" x="7579"/>
        <item m="1" x="3199"/>
        <item m="1" x="5630"/>
        <item m="1" x="962"/>
        <item m="1" x="3977"/>
        <item m="1" x="6381"/>
        <item m="1" x="2122"/>
        <item m="1" x="4703"/>
        <item m="1" x="2431"/>
        <item m="1" x="4966"/>
        <item m="1" x="7722"/>
        <item m="1" x="3286"/>
        <item m="1" x="5681"/>
        <item m="1" x="1065"/>
        <item m="1" x="4038"/>
        <item m="1" x="6451"/>
        <item m="1" x="2256"/>
        <item m="1" x="4789"/>
        <item m="1" x="2517"/>
        <item m="1" x="5034"/>
        <item m="1" x="42"/>
        <item m="1" x="3355"/>
        <item m="1" x="5744"/>
        <item m="1" x="1166"/>
        <item m="1" x="4107"/>
        <item m="1" x="6547"/>
        <item m="1" x="2356"/>
        <item m="1" x="4866"/>
        <item m="1" x="2616"/>
        <item m="1" x="5095"/>
        <item m="1" x="176"/>
        <item m="1" x="3432"/>
        <item m="1" x="5805"/>
        <item m="1" x="1307"/>
        <item m="1" x="4183"/>
        <item m="1" x="6645"/>
        <item m="1" x="2447"/>
        <item m="1" x="4977"/>
        <item m="1" x="1614"/>
        <item m="1" x="4406"/>
        <item m="1" x="6937"/>
        <item m="1" x="2713"/>
        <item m="1" x="5165"/>
        <item m="1" x="269"/>
        <item m="1" x="3509"/>
        <item m="1" x="5896"/>
        <item m="1" x="1416"/>
        <item m="1" x="4259"/>
        <item m="1" x="1742"/>
        <item m="1" x="4483"/>
        <item m="1" x="7021"/>
        <item m="1" x="2810"/>
        <item m="1" x="5231"/>
        <item m="1" x="389"/>
        <item m="1" x="3579"/>
        <item m="1" x="5969"/>
        <item m="1" x="1508"/>
        <item m="1" x="4334"/>
        <item m="1" x="1895"/>
        <item m="1" x="4550"/>
        <item m="1" x="7122"/>
        <item m="1" x="2901"/>
        <item m="1" x="5302"/>
        <item m="1" x="520"/>
        <item m="1" x="3671"/>
        <item m="1" x="6071"/>
        <item m="1" x="1631"/>
        <item m="1" x="4418"/>
        <item m="1" x="2000"/>
        <item m="1" x="4629"/>
        <item m="1" x="7222"/>
        <item m="1" x="2978"/>
        <item m="1" x="5373"/>
        <item m="1" x="624"/>
        <item m="1" x="3749"/>
        <item m="1" x="6145"/>
        <item m="1" x="1763"/>
        <item m="1" x="4495"/>
        <item m="1" x="2103"/>
        <item m="1" x="4697"/>
        <item m="1" x="7370"/>
        <item m="1" x="3050"/>
        <item m="1" x="5475"/>
        <item m="1" x="718"/>
        <item m="1" x="3833"/>
        <item m="1" x="6264"/>
        <item m="1" x="1910"/>
        <item m="1" x="4559"/>
        <item m="1" x="2241"/>
        <item m="1" x="4782"/>
        <item m="1" x="7493"/>
        <item m="1" x="3138"/>
        <item m="1" x="5566"/>
        <item m="1" x="843"/>
        <item m="1" x="3909"/>
        <item m="1" x="6320"/>
        <item m="1" x="2019"/>
        <item m="1" x="4639"/>
        <item m="1" x="2349"/>
        <item m="1" x="4862"/>
        <item m="1" x="7584"/>
        <item m="1" x="3205"/>
        <item m="1" x="5635"/>
        <item m="1" x="971"/>
        <item m="1" x="3982"/>
        <item m="1" x="6385"/>
        <item m="1" x="2131"/>
        <item m="1" x="4708"/>
        <item m="1" x="2438"/>
        <item m="1" x="4969"/>
        <item m="1" x="7725"/>
        <item m="1" x="3288"/>
        <item m="1" x="5684"/>
        <item m="1" x="1068"/>
        <item m="1" x="4042"/>
        <item m="1" x="6458"/>
        <item m="1" x="2266"/>
        <item m="1" x="4791"/>
        <item m="1" x="2520"/>
        <item m="1" x="5036"/>
        <item m="1" x="45"/>
        <item m="1" x="3358"/>
        <item m="1" x="5749"/>
        <item m="1" x="1173"/>
        <item m="1" x="4111"/>
        <item m="1" x="6555"/>
        <item m="1" x="2362"/>
        <item m="1" x="4869"/>
        <item m="1" x="2619"/>
        <item m="1" x="5097"/>
        <item m="1" x="180"/>
        <item m="1" x="3433"/>
        <item m="1" x="5807"/>
        <item m="1" x="1311"/>
        <item m="1" x="4186"/>
        <item m="1" x="6650"/>
        <item m="1" x="2452"/>
        <item m="1" x="4979"/>
        <item m="1" x="1617"/>
        <item m="1" x="4408"/>
        <item m="1" x="6940"/>
        <item m="1" x="2718"/>
        <item m="1" x="5169"/>
        <item m="1" x="276"/>
        <item m="1" x="3511"/>
        <item m="1" x="5900"/>
        <item m="1" x="1420"/>
        <item m="1" x="4263"/>
        <item m="1" x="1745"/>
        <item m="1" x="4486"/>
        <item m="1" x="7024"/>
        <item m="1" x="2812"/>
        <item m="1" x="5232"/>
        <item m="1" x="391"/>
        <item m="1" x="3580"/>
        <item m="1" x="5970"/>
        <item m="1" x="1509"/>
        <item m="1" x="4337"/>
        <item m="1" x="1898"/>
        <item m="1" x="4553"/>
        <item m="1" x="7123"/>
        <item m="1" x="2903"/>
        <item m="1" x="5307"/>
        <item m="1" x="524"/>
        <item m="1" x="3672"/>
        <item m="1" x="6074"/>
        <item m="1" x="1634"/>
        <item m="1" x="4421"/>
        <item m="1" x="2002"/>
        <item m="1" x="4631"/>
        <item m="1" x="7224"/>
        <item m="1" x="2980"/>
        <item m="1" x="5374"/>
        <item m="1" x="626"/>
        <item m="1" x="3750"/>
        <item m="1" x="6146"/>
        <item m="1" x="1766"/>
        <item m="1" x="4497"/>
        <item m="1" x="2108"/>
        <item m="1" x="4698"/>
        <item m="1" x="7373"/>
        <item m="1" x="3052"/>
        <item m="1" x="5476"/>
        <item m="1" x="720"/>
        <item m="1" x="3834"/>
        <item m="1" x="6265"/>
        <item m="1" x="1914"/>
        <item m="1" x="4561"/>
        <item m="1" x="2244"/>
        <item m="1" x="4785"/>
        <item m="1" x="7496"/>
        <item m="1" x="3139"/>
        <item m="1" x="5567"/>
        <item m="1" x="846"/>
        <item m="1" x="3910"/>
        <item m="1" x="6321"/>
        <item m="1" x="2023"/>
        <item m="1" x="4642"/>
        <item m="1" x="2351"/>
        <item m="1" x="4863"/>
        <item m="1" x="7586"/>
        <item m="1" x="3206"/>
        <item m="1" x="5637"/>
        <item m="1" x="974"/>
        <item m="1" x="3983"/>
        <item m="1" x="6386"/>
        <item m="1" x="2134"/>
        <item m="1" x="4711"/>
        <item m="1" x="2440"/>
        <item m="1" x="4972"/>
        <item m="1" x="7727"/>
        <item m="1" x="3289"/>
        <item m="1" x="5685"/>
        <item m="1" x="1069"/>
        <item m="1" x="4043"/>
        <item m="1" x="6460"/>
        <item m="1" x="2269"/>
        <item m="1" x="4794"/>
        <item m="1" x="2524"/>
        <item m="1" x="5038"/>
        <item m="1" x="49"/>
        <item m="1" x="3359"/>
        <item m="1" x="5750"/>
        <item m="1" x="1175"/>
        <item m="1" x="4113"/>
        <item m="1" x="6558"/>
        <item m="1" x="2365"/>
        <item m="1" x="4873"/>
        <item m="1" x="2624"/>
        <item m="1" x="5101"/>
        <item m="1" x="184"/>
        <item m="1" x="3437"/>
        <item m="1" x="5810"/>
        <item m="1" x="1314"/>
        <item m="1" x="4189"/>
        <item m="1" x="6655"/>
        <item m="1" x="2458"/>
        <item m="1" x="4984"/>
        <item m="1" x="1622"/>
        <item m="1" x="4411"/>
        <item m="1" x="6942"/>
        <item m="1" x="2719"/>
        <item m="1" x="5171"/>
        <item m="1" x="282"/>
        <item m="1" x="3514"/>
        <item m="1" x="5903"/>
        <item m="1" x="1421"/>
        <item m="1" x="4265"/>
        <item m="1" x="1750"/>
        <item m="1" x="4488"/>
        <item m="1" x="7028"/>
        <item m="1" x="2814"/>
        <item m="1" x="5235"/>
        <item m="1" x="401"/>
        <item m="1" x="3585"/>
        <item m="1" x="5971"/>
        <item m="1" x="1513"/>
        <item m="1" x="4340"/>
        <item m="1" x="1902"/>
        <item m="1" x="4555"/>
        <item m="1" x="7125"/>
        <item m="1" x="2907"/>
        <item m="1" x="5313"/>
        <item m="1" x="534"/>
        <item m="1" x="3679"/>
        <item m="1" x="6079"/>
        <item m="1" x="1638"/>
        <item m="1" x="4425"/>
        <item m="1" x="2008"/>
        <item m="1" x="4633"/>
        <item m="1" x="7227"/>
        <item m="1" x="2983"/>
        <item m="1" x="5377"/>
        <item m="1" x="631"/>
        <item m="1" x="3756"/>
        <item m="1" x="6152"/>
        <item m="1" x="1775"/>
        <item m="1" x="4501"/>
        <item m="1" x="2116"/>
        <item m="1" x="4702"/>
        <item m="1" x="7378"/>
        <item m="1" x="3056"/>
        <item m="1" x="5482"/>
        <item m="1" x="727"/>
        <item m="1" x="3839"/>
        <item m="1" x="6269"/>
        <item m="1" x="1920"/>
        <item m="1" x="4564"/>
        <item m="1" x="2253"/>
        <item m="1" x="4786"/>
        <item m="1" x="7497"/>
        <item m="1" x="3143"/>
        <item m="1" x="5569"/>
        <item m="1" x="852"/>
        <item m="1" x="3915"/>
        <item m="1" x="6328"/>
        <item m="1" x="2033"/>
        <item m="1" x="4649"/>
        <item m="1" x="2354"/>
        <item m="1" x="4865"/>
        <item m="1" x="7590"/>
        <item m="1" x="3209"/>
        <item m="1" x="5640"/>
        <item m="1" x="981"/>
        <item m="1" x="3986"/>
        <item m="1" x="6389"/>
        <item m="1" x="2141"/>
        <item m="1" x="4716"/>
        <item m="1" x="2445"/>
        <item m="1" x="4976"/>
        <item m="1" x="7730"/>
        <item m="1" x="3293"/>
        <item m="1" x="5690"/>
        <item m="1" x="1073"/>
        <item m="1" x="4047"/>
        <item m="1" x="6467"/>
        <item m="1" x="2278"/>
        <item m="1" x="4799"/>
        <item m="1" x="2528"/>
        <item m="1" x="5041"/>
        <item m="1" x="56"/>
        <item m="1" x="3364"/>
        <item m="1" x="5752"/>
        <item m="1" x="1179"/>
        <item m="1" x="4115"/>
        <item m="1" x="6563"/>
        <item m="1" x="2371"/>
        <item m="1" x="4882"/>
        <item m="1" x="2627"/>
        <item m="1" x="5103"/>
        <item m="1" x="188"/>
        <item m="1" x="3440"/>
        <item m="1" x="5813"/>
        <item m="1" x="1318"/>
        <item m="1" x="4191"/>
        <item m="1" x="6657"/>
        <item m="1" x="2464"/>
        <item m="1" x="4987"/>
        <item m="1" x="1628"/>
        <item m="1" x="4414"/>
        <item m="1" x="6948"/>
        <item m="1" x="2725"/>
        <item m="1" x="5176"/>
        <item m="1" x="289"/>
        <item m="1" x="3516"/>
        <item m="1" x="5905"/>
        <item m="1" x="1424"/>
        <item m="1" x="4271"/>
        <item m="1" x="1756"/>
        <item m="1" x="4493"/>
        <item m="1" x="7032"/>
        <item m="1" x="2816"/>
        <item m="1" x="5237"/>
        <item m="1" x="404"/>
        <item m="1" x="3587"/>
        <item m="1" x="5972"/>
        <item m="1" x="1517"/>
        <item m="1" x="4344"/>
        <item m="1" x="1905"/>
        <item m="1" x="4558"/>
        <item m="1" x="7129"/>
        <item m="1" x="2910"/>
        <item m="1" x="5314"/>
        <item m="1" x="538"/>
        <item m="1" x="3680"/>
        <item m="1" x="6082"/>
        <item m="1" x="1645"/>
        <item m="1" x="4429"/>
        <item m="1" x="2011"/>
        <item m="1" x="4635"/>
        <item m="1" x="7229"/>
        <item m="1" x="2985"/>
        <item m="1" x="5378"/>
        <item m="1" x="636"/>
        <item m="1" x="3758"/>
        <item m="1" x="6154"/>
        <item m="1" x="1781"/>
        <item m="1" x="4504"/>
        <item m="1" x="2123"/>
        <item m="1" x="4704"/>
        <item m="1" x="7382"/>
        <item m="1" x="3058"/>
        <item m="1" x="5483"/>
        <item m="1" x="730"/>
        <item m="1" x="3840"/>
        <item m="1" x="6271"/>
        <item m="1" x="1925"/>
        <item m="1" x="4568"/>
        <item m="1" x="2258"/>
        <item m="1" x="4790"/>
        <item m="1" x="7499"/>
        <item m="1" x="3145"/>
        <item m="1" x="5570"/>
        <item m="1" x="854"/>
        <item m="1" x="3916"/>
        <item m="1" x="6329"/>
        <item m="1" x="2039"/>
        <item m="1" x="4652"/>
        <item m="1" x="2357"/>
        <item m="1" x="4867"/>
        <item m="1" x="7593"/>
        <item m="1" x="3210"/>
        <item m="1" x="5641"/>
        <item m="1" x="985"/>
        <item m="1" x="3989"/>
        <item m="1" x="6392"/>
        <item m="1" x="2146"/>
        <item m="1" x="4719"/>
        <item m="1" x="2449"/>
        <item m="1" x="4978"/>
        <item m="1" x="7733"/>
        <item m="1" x="3294"/>
        <item m="1" x="5692"/>
        <item m="1" x="1074"/>
        <item m="1" x="4049"/>
        <item m="1" x="6470"/>
        <item m="1" x="2283"/>
        <item m="1" x="4803"/>
        <item m="1" x="2532"/>
        <item m="1" x="5045"/>
        <item m="1" x="60"/>
        <item m="1" x="3367"/>
        <item m="1" x="5753"/>
        <item m="1" x="1181"/>
        <item m="1" x="4117"/>
        <item m="1" x="6565"/>
        <item m="1" x="2374"/>
        <item m="1" x="4886"/>
        <item m="1" x="2631"/>
        <item m="1" x="5107"/>
        <item m="1" x="192"/>
        <item m="1" x="3444"/>
        <item m="1" x="5818"/>
        <item m="1" x="1321"/>
        <item m="1" x="4196"/>
        <item m="1" x="6664"/>
        <item m="1" x="2471"/>
        <item m="1" x="4992"/>
        <item m="1" x="1632"/>
        <item m="1" x="4419"/>
        <item m="1" x="6949"/>
        <item m="1" x="2727"/>
        <item m="1" x="5178"/>
        <item m="1" x="293"/>
        <item m="1" x="3519"/>
        <item m="1" x="5907"/>
        <item m="1" x="1428"/>
        <item m="1" x="4273"/>
        <item m="1" x="1764"/>
        <item m="1" x="4496"/>
        <item m="1" x="7036"/>
        <item m="1" x="2821"/>
        <item m="1" x="5241"/>
        <item m="1" x="416"/>
        <item m="1" x="3593"/>
        <item m="1" x="5974"/>
        <item m="1" x="1522"/>
        <item m="1" x="4347"/>
        <item m="1" x="1911"/>
        <item m="1" x="4560"/>
        <item m="1" x="7132"/>
        <item m="1" x="2913"/>
        <item m="1" x="5319"/>
        <item m="1" x="545"/>
        <item m="1" x="3685"/>
        <item m="1" x="6087"/>
        <item m="1" x="1651"/>
        <item m="1" x="4433"/>
        <item m="1" x="2021"/>
        <item m="1" x="4640"/>
        <item m="1" x="7235"/>
        <item m="1" x="2990"/>
        <item m="1" x="5382"/>
        <item m="1" x="642"/>
        <item m="1" x="3764"/>
        <item m="1" x="6161"/>
        <item m="1" x="1792"/>
        <item m="1" x="4509"/>
        <item m="1" x="2132"/>
        <item m="1" x="4709"/>
        <item m="1" x="7386"/>
        <item m="1" x="3063"/>
        <item m="1" x="5490"/>
        <item m="1" x="737"/>
        <item m="1" x="3845"/>
        <item m="1" x="6275"/>
        <item m="1" x="1933"/>
        <item m="1" x="4571"/>
        <item m="1" x="2267"/>
        <item m="1" x="4792"/>
        <item m="1" x="7502"/>
        <item m="1" x="3148"/>
        <item m="1" x="5572"/>
        <item m="1" x="861"/>
        <item m="1" x="3921"/>
        <item m="1" x="6336"/>
        <item m="1" x="2045"/>
        <item m="1" x="4655"/>
        <item m="1" x="2363"/>
        <item m="1" x="4871"/>
        <item m="1" x="7598"/>
        <item m="1" x="3217"/>
        <item m="1" x="5644"/>
        <item m="1" x="993"/>
        <item m="1" x="3993"/>
        <item m="1" x="6396"/>
        <item m="1" x="2157"/>
        <item m="1" x="4727"/>
        <item m="1" x="2456"/>
        <item m="1" x="4982"/>
        <item m="1" x="7741"/>
        <item m="1" x="3298"/>
        <item m="1" x="5695"/>
        <item m="1" x="1078"/>
        <item m="1" x="4055"/>
        <item m="1" x="6477"/>
        <item m="1" x="2291"/>
        <item m="1" x="4810"/>
        <item m="1" x="2536"/>
        <item m="1" x="5048"/>
        <item m="1" x="68"/>
        <item m="1" x="3372"/>
        <item m="1" x="5756"/>
        <item m="1" x="1187"/>
        <item m="1" x="4119"/>
        <item m="1" x="6572"/>
        <item m="1" x="2380"/>
        <item m="1" x="4894"/>
        <item m="1" x="2633"/>
        <item m="1" x="5110"/>
        <item m="1" x="197"/>
        <item m="1" x="3445"/>
        <item m="1" x="5820"/>
        <item m="1" x="1326"/>
        <item m="1" x="4199"/>
        <item m="1" x="6667"/>
        <item m="1" x="2475"/>
        <item m="1" x="4995"/>
        <item m="1" x="1635"/>
        <item m="1" x="4422"/>
        <item m="1" x="6953"/>
        <item m="1" x="2733"/>
        <item m="1" x="5183"/>
        <item m="1" x="299"/>
        <item m="1" x="3520"/>
        <item m="1" x="5909"/>
        <item m="1" x="1431"/>
        <item m="1" x="4276"/>
        <item m="1" x="1768"/>
        <item m="1" x="4498"/>
        <item m="1" x="7038"/>
        <item m="1" x="2823"/>
        <item m="1" x="5243"/>
        <item m="1" x="419"/>
        <item m="1" x="3596"/>
        <item m="1" x="5978"/>
        <item m="1" x="1525"/>
        <item m="1" x="4348"/>
        <item m="1" x="1915"/>
        <item m="1" x="4562"/>
        <item m="1" x="7134"/>
        <item m="1" x="2915"/>
        <item m="1" x="5321"/>
        <item m="1" x="547"/>
        <item m="1" x="3686"/>
        <item m="1" x="6089"/>
        <item m="1" x="1654"/>
        <item m="1" x="4435"/>
        <item m="1" x="2024"/>
        <item m="1" x="4643"/>
        <item m="1" x="7239"/>
        <item m="1" x="2992"/>
        <item m="1" x="5383"/>
        <item m="1" x="643"/>
        <item m="1" x="3765"/>
        <item m="1" x="6163"/>
        <item m="1" x="1796"/>
        <item m="1" x="4511"/>
        <item m="1" x="2135"/>
        <item m="1" x="4712"/>
        <item m="1" x="7388"/>
        <item m="1" x="3066"/>
        <item m="1" x="5494"/>
        <item m="1" x="738"/>
        <item m="1" x="3848"/>
        <item m="1" x="6276"/>
        <item m="1" x="1936"/>
        <item m="1" x="4574"/>
        <item m="1" x="2270"/>
        <item m="1" x="4795"/>
        <item m="1" x="7504"/>
        <item m="1" x="3149"/>
        <item m="1" x="5574"/>
        <item m="1" x="862"/>
        <item m="1" x="3924"/>
        <item m="1" x="6338"/>
        <item m="1" x="2051"/>
        <item m="1" x="4657"/>
        <item m="1" x="2366"/>
        <item m="1" x="4874"/>
        <item m="1" x="7600"/>
        <item m="1" x="3218"/>
        <item m="1" x="5645"/>
        <item m="1" x="995"/>
        <item m="1" x="3994"/>
        <item m="1" x="6398"/>
        <item m="1" x="2160"/>
        <item m="1" x="4731"/>
        <item m="1" x="2459"/>
        <item m="1" x="4985"/>
        <item m="1" x="7745"/>
        <item m="1" x="3300"/>
        <item m="1" x="5696"/>
        <item m="1" x="1080"/>
        <item m="1" x="4056"/>
        <item m="1" x="6478"/>
        <item m="1" x="2294"/>
        <item m="1" x="4813"/>
        <item m="1" x="2539"/>
        <item m="1" x="5051"/>
        <item m="1" x="74"/>
        <item m="1" x="3375"/>
        <item m="1" x="5760"/>
        <item m="1" x="1191"/>
        <item m="1" x="4123"/>
        <item m="1" x="6575"/>
        <item m="1" x="2384"/>
        <item m="1" x="4900"/>
        <item m="1" x="2638"/>
        <item m="1" x="5115"/>
        <item m="1" x="201"/>
        <item m="1" x="3450"/>
        <item m="1" x="5825"/>
        <item m="1" x="1330"/>
        <item m="1" x="4204"/>
        <item m="1" x="6672"/>
        <item m="1" x="2481"/>
        <item m="1" x="5000"/>
        <item m="1" x="1640"/>
        <item m="1" x="4427"/>
        <item m="1" x="6954"/>
        <item m="1" x="2735"/>
        <item m="1" x="5186"/>
        <item m="1" x="303"/>
        <item m="1" x="3525"/>
        <item m="1" x="5912"/>
        <item m="1" x="1433"/>
        <item m="1" x="4278"/>
        <item m="1" x="1776"/>
        <item m="1" x="4502"/>
        <item m="1" x="7041"/>
        <item m="1" x="2825"/>
        <item m="1" x="5248"/>
        <item m="1" x="429"/>
        <item m="1" x="3599"/>
        <item m="1" x="5982"/>
        <item m="1" x="1535"/>
        <item m="1" x="4352"/>
        <item m="1" x="1921"/>
        <item m="1" x="4565"/>
        <item m="1" x="7137"/>
        <item m="1" x="2919"/>
        <item m="1" x="5324"/>
        <item m="1" x="552"/>
        <item m="1" x="3692"/>
        <item m="1" x="6095"/>
        <item m="1" x="1662"/>
        <item m="1" x="4438"/>
        <item m="1" x="2034"/>
        <item m="1" x="4650"/>
        <item m="1" x="7245"/>
        <item m="1" x="2997"/>
        <item m="1" x="5389"/>
        <item m="1" x="648"/>
        <item m="1" x="3769"/>
        <item m="1" x="6174"/>
        <item m="1" x="1804"/>
        <item m="1" x="4515"/>
        <item m="1" x="2142"/>
        <item m="1" x="4717"/>
        <item m="1" x="7392"/>
        <item m="1" x="3070"/>
        <item m="1" x="5502"/>
        <item m="1" x="742"/>
        <item m="1" x="3853"/>
        <item m="1" x="6279"/>
        <item m="1" x="1940"/>
        <item m="1" x="4576"/>
        <item m="1" x="2279"/>
        <item m="1" x="4800"/>
        <item m="1" x="7507"/>
        <item m="1" x="3151"/>
        <item m="1" x="5576"/>
        <item m="1" x="870"/>
        <item m="1" x="3927"/>
        <item m="1" x="6341"/>
        <item m="1" x="2057"/>
        <item m="1" x="4661"/>
        <item m="1" x="2372"/>
        <item m="1" x="4884"/>
        <item m="1" x="7606"/>
        <item m="1" x="3225"/>
        <item m="1" x="5649"/>
        <item m="1" x="998"/>
        <item m="1" x="3997"/>
        <item m="1" x="6403"/>
        <item m="1" x="2167"/>
        <item m="1" x="4736"/>
        <item m="1" x="2468"/>
        <item m="1" x="4990"/>
        <item m="1" x="7751"/>
        <item m="1" x="3303"/>
        <item m="1" x="5697"/>
        <item m="1" x="1085"/>
        <item m="1" x="4059"/>
        <item m="1" x="6488"/>
        <item m="1" x="2298"/>
        <item m="1" x="4819"/>
        <item m="1" x="2543"/>
        <item m="1" x="5056"/>
        <item m="1" x="81"/>
        <item m="1" x="3379"/>
        <item m="1" x="5763"/>
        <item m="1" x="1194"/>
        <item m="1" x="4126"/>
        <item m="1" x="6582"/>
        <item m="1" x="2389"/>
        <item m="1" x="4907"/>
        <item m="1" x="2641"/>
        <item m="1" x="5118"/>
        <item m="1" x="205"/>
        <item m="1" x="3451"/>
        <item m="1" x="5827"/>
        <item m="1" x="1335"/>
        <item m="1" x="4208"/>
        <item m="1" x="6676"/>
        <item m="1" x="2485"/>
        <item m="1" x="5003"/>
        <item m="1" x="1646"/>
        <item m="1" x="4430"/>
        <item m="1" x="6957"/>
        <item m="1" x="2741"/>
        <item m="1" x="5191"/>
        <item m="1" x="309"/>
        <item m="1" x="3527"/>
        <item m="1" x="5917"/>
        <item m="1" x="1438"/>
        <item m="1" x="4281"/>
        <item m="1" x="1783"/>
        <item m="1" x="4506"/>
        <item m="1" x="7044"/>
        <item m="1" x="2828"/>
        <item m="1" x="5251"/>
        <item m="1" x="434"/>
        <item m="1" x="3604"/>
        <item m="1" x="5986"/>
        <item m="1" x="1538"/>
        <item m="1" x="4354"/>
        <item m="1" x="1926"/>
        <item m="1" x="4569"/>
        <item m="1" x="7142"/>
        <item m="1" x="2923"/>
        <item m="1" x="5326"/>
        <item m="1" x="555"/>
        <item m="1" x="3695"/>
        <item m="1" x="6098"/>
        <item m="1" x="1666"/>
        <item m="1" x="4440"/>
        <item m="1" x="2040"/>
        <item m="1" x="4653"/>
        <item m="1" x="7250"/>
        <item m="1" x="2999"/>
        <item m="1" x="5391"/>
        <item m="1" x="651"/>
        <item m="1" x="3774"/>
        <item m="1" x="6178"/>
        <item m="1" x="1807"/>
        <item m="1" x="4517"/>
        <item m="1" x="2147"/>
        <item m="1" x="4720"/>
        <item m="1" x="7396"/>
        <item m="1" x="3073"/>
        <item m="1" x="5505"/>
        <item m="1" x="744"/>
        <item m="1" x="3855"/>
        <item m="1" x="6282"/>
        <item m="1" x="1943"/>
        <item m="1" x="4579"/>
        <item m="1" x="2284"/>
        <item m="1" x="4805"/>
        <item m="1" x="7511"/>
        <item m="1" x="3154"/>
        <item m="1" x="5578"/>
        <item m="1" x="872"/>
        <item m="1" x="3930"/>
        <item m="1" x="6343"/>
        <item m="1" x="2060"/>
        <item m="1" x="4663"/>
        <item m="1" x="2375"/>
        <item m="1" x="4887"/>
        <item m="1" x="7610"/>
        <item m="1" x="3226"/>
        <item m="1" x="5651"/>
        <item m="1" x="1000"/>
        <item m="1" x="3999"/>
        <item m="1" x="6404"/>
        <item m="1" x="2169"/>
        <item m="1" x="4737"/>
        <item m="1" x="2472"/>
        <item m="1" x="4994"/>
        <item m="1" x="7757"/>
        <item m="1" x="3306"/>
        <item m="1" x="5699"/>
        <item m="1" x="1086"/>
        <item m="1" x="4060"/>
        <item m="1" x="6489"/>
        <item m="1" x="2300"/>
        <item m="1" x="4821"/>
        <item m="1" x="2547"/>
        <item m="1" x="5059"/>
        <item m="1" x="85"/>
        <item m="1" x="3382"/>
        <item m="1" x="5766"/>
        <item m="1" x="1199"/>
        <item m="1" x="4128"/>
        <item m="1" x="6583"/>
        <item m="1" x="2391"/>
        <item m="1" x="4910"/>
        <item m="1" x="2648"/>
        <item m="1" x="5122"/>
        <item m="1" x="208"/>
        <item m="1" x="3454"/>
        <item m="1" x="5830"/>
        <item m="1" x="1338"/>
        <item m="1" x="4211"/>
        <item m="1" x="6684"/>
        <item m="1" x="2490"/>
        <item m="1" x="5008"/>
        <item m="1" x="1652"/>
        <item m="1" x="4434"/>
        <item m="1" x="6958"/>
        <item m="1" x="2743"/>
        <item m="1" x="5194"/>
        <item m="1" x="314"/>
        <item m="1" x="3531"/>
        <item m="1" x="5919"/>
        <item m="1" x="1442"/>
        <item m="1" x="4284"/>
        <item m="1" x="1794"/>
        <item m="1" x="4510"/>
        <item m="1" x="7048"/>
        <item m="1" x="2834"/>
        <item m="1" x="5256"/>
        <item m="1" x="442"/>
        <item m="1" x="3608"/>
        <item m="1" x="5993"/>
        <item m="1" x="1550"/>
        <item m="1" x="4360"/>
        <item m="1" x="1934"/>
        <item m="1" x="4572"/>
        <item m="1" x="7145"/>
        <item m="1" x="2927"/>
        <item m="1" x="5330"/>
        <item m="1" x="560"/>
        <item m="1" x="3698"/>
        <item m="1" x="6104"/>
        <item m="1" x="1673"/>
        <item m="1" x="4443"/>
        <item m="1" x="2047"/>
        <item m="1" x="4656"/>
        <item m="1" x="7254"/>
        <item m="1" x="3003"/>
        <item m="1" x="5395"/>
        <item m="1" x="655"/>
        <item m="1" x="3778"/>
        <item m="1" x="6190"/>
        <item m="1" x="1816"/>
        <item m="1" x="4519"/>
        <item m="1" x="2158"/>
        <item m="1" x="4728"/>
        <item m="1" x="7400"/>
        <item m="1" x="3076"/>
        <item m="1" x="5513"/>
        <item m="1" x="748"/>
        <item m="1" x="3860"/>
        <item m="1" x="6285"/>
        <item m="1" x="1948"/>
        <item m="1" x="4581"/>
        <item m="1" x="2292"/>
        <item m="1" x="4811"/>
        <item m="1" x="7516"/>
        <item m="1" x="3157"/>
        <item m="1" x="5579"/>
        <item m="1" x="873"/>
        <item m="1" x="3934"/>
        <item m="1" x="6348"/>
        <item m="1" x="2064"/>
        <item m="1" x="4666"/>
        <item m="1" x="2382"/>
        <item m="1" x="4897"/>
        <item m="1" x="7620"/>
        <item m="1" x="3233"/>
        <item m="1" x="5656"/>
        <item m="1" x="1005"/>
        <item m="1" x="4002"/>
        <item m="1" x="6407"/>
        <item m="1" x="2175"/>
        <item m="1" x="4741"/>
        <item m="1" x="2480"/>
        <item m="1" x="4998"/>
        <item m="1" x="7765"/>
        <item m="1" x="3311"/>
        <item m="1" x="5702"/>
        <item m="1" x="1092"/>
        <item m="1" x="4064"/>
        <item m="1" x="6494"/>
        <item m="1" x="2305"/>
        <item m="1" x="4826"/>
        <item m="1" x="2552"/>
        <item m="1" x="5064"/>
        <item m="1" x="92"/>
        <item m="1" x="3386"/>
        <item m="1" x="5769"/>
        <item m="1" x="1203"/>
        <item m="1" x="4131"/>
        <item m="1" x="6588"/>
        <item m="1" x="2395"/>
        <item m="1" x="4914"/>
        <item m="1" x="2654"/>
        <item m="1" x="5128"/>
        <item m="1" x="213"/>
        <item m="1" x="3458"/>
        <item m="1" x="5832"/>
        <item m="1" x="1344"/>
        <item m="1" x="4215"/>
        <item m="1" x="6686"/>
        <item m="1" x="2492"/>
        <item m="1" x="5009"/>
        <item m="1" x="1188"/>
        <item m="1" x="4120"/>
        <item m="1" x="6573"/>
        <item m="1" x="2381"/>
        <item m="1" x="4895"/>
        <item m="1" x="7613"/>
        <item m="1" x="3227"/>
        <item m="1" x="5654"/>
        <item m="1" x="1004"/>
        <item m="1" x="4001"/>
        <item m="1" x="1736"/>
        <item m="1" x="1327"/>
        <item m="1" x="4200"/>
        <item m="1" x="6668"/>
        <item m="1" x="2476"/>
        <item m="1" x="4996"/>
        <item m="1" x="7759"/>
        <item m="1" x="3307"/>
        <item m="1" x="5701"/>
        <item m="1" x="1090"/>
        <item m="1" x="4062"/>
        <item m="1" x="1891"/>
        <item m="1" x="1423"/>
        <item m="1" x="4270"/>
        <item m="1" x="6755"/>
        <item m="1" x="2551"/>
        <item m="1" x="5062"/>
        <item m="1" x="88"/>
        <item m="1" x="3383"/>
        <item m="1" x="5768"/>
        <item m="1" x="1202"/>
        <item m="1" x="4129"/>
        <item m="1" x="1995"/>
        <item m="1" x="1515"/>
        <item m="1" x="4341"/>
        <item m="1" x="6842"/>
        <item m="1" x="2652"/>
        <item m="1" x="5126"/>
        <item m="1" x="210"/>
        <item m="1" x="3456"/>
        <item m="1" x="5831"/>
        <item m="1" x="1342"/>
        <item m="1" x="4212"/>
        <item m="1" x="2095"/>
        <item m="1" x="1642"/>
        <item m="1" x="4428"/>
        <item m="1" x="6955"/>
        <item m="1" x="2739"/>
        <item m="1" x="5188"/>
        <item m="1" x="305"/>
        <item m="1" x="3526"/>
        <item m="1" x="5913"/>
        <item m="1" x="1435"/>
        <item m="1" x="4279"/>
        <item m="1" x="2232"/>
        <item m="1" x="1779"/>
        <item m="1" x="4503"/>
        <item m="1" x="7042"/>
        <item m="1" x="2826"/>
        <item m="1" x="5250"/>
        <item m="1" x="431"/>
        <item m="1" x="3600"/>
        <item m="1" x="5984"/>
        <item m="1" x="1537"/>
        <item m="1" x="4353"/>
        <item m="1" x="2343"/>
        <item m="1" x="1923"/>
        <item m="1" x="4567"/>
        <item m="1" x="7139"/>
        <item m="1" x="2920"/>
        <item m="1" x="5325"/>
        <item m="1" x="553"/>
        <item m="1" x="3693"/>
        <item m="1" x="6096"/>
        <item m="1" x="1664"/>
        <item m="1" x="4439"/>
        <item m="1" x="2430"/>
        <item m="1" x="2036"/>
        <item m="1" x="4651"/>
        <item m="1" x="7247"/>
        <item m="1" x="2998"/>
        <item m="1" x="5390"/>
        <item m="1" x="650"/>
        <item m="1" x="3772"/>
        <item m="1" x="6176"/>
        <item m="1" x="1806"/>
        <item m="1" x="4516"/>
        <item m="1" x="2516"/>
        <item m="1" x="2144"/>
        <item m="1" x="4718"/>
        <item m="1" x="7393"/>
        <item m="1" x="3071"/>
        <item m="1" x="5503"/>
        <item m="1" x="743"/>
        <item m="1" x="3854"/>
        <item m="1" x="6280"/>
        <item m="1" x="1942"/>
        <item m="1" x="4577"/>
        <item m="1" x="2615"/>
        <item m="1" x="2281"/>
        <item m="1" x="4802"/>
        <item m="1" x="7508"/>
        <item m="1" x="3152"/>
        <item m="1" x="5577"/>
        <item m="1" x="871"/>
        <item m="1" x="3928"/>
        <item m="1" x="6342"/>
        <item m="1" x="2059"/>
        <item m="1" x="4662"/>
        <item m="1" x="1613"/>
        <item m="1" x="1192"/>
        <item m="1" x="4124"/>
        <item m="1" x="6576"/>
        <item m="1" x="2385"/>
        <item m="1" x="4901"/>
        <item m="1" x="7623"/>
        <item m="1" x="3234"/>
        <item m="1" x="5658"/>
        <item m="1" x="1006"/>
        <item m="1" x="4003"/>
        <item m="1" x="1740"/>
        <item m="1" x="1331"/>
        <item m="1" x="4205"/>
        <item m="1" x="6673"/>
        <item m="1" x="2482"/>
        <item m="1" x="5001"/>
        <item m="1" x="7768"/>
        <item m="1" x="3314"/>
        <item m="1" x="5704"/>
        <item m="1" x="1093"/>
        <item m="1" x="4065"/>
        <item m="1" x="1894"/>
        <item m="1" x="1427"/>
        <item m="1" x="4272"/>
        <item m="1" x="6759"/>
        <item m="1" x="2555"/>
        <item m="1" x="5066"/>
        <item m="1" x="95"/>
        <item m="1" x="3388"/>
        <item m="1" x="1999"/>
        <item m="1" x="2102"/>
        <item m="1" x="2240"/>
        <item m="1" x="2347"/>
        <item m="1" x="2432"/>
        <item m="1" x="2519"/>
        <item m="1" x="2617"/>
        <item m="1" x="1615"/>
        <item m="1" x="1744"/>
        <item m="1" x="1896"/>
        <item m="1" x="2001"/>
        <item m="1" x="2106"/>
        <item m="1" x="2243"/>
        <item m="1" x="2350"/>
        <item m="1" x="2439"/>
        <item m="1" x="2523"/>
        <item m="1" x="2623"/>
        <item m="1" x="1620"/>
        <item m="1" x="1749"/>
        <item m="1" x="1900"/>
        <item m="1" x="2007"/>
        <item m="1" x="2115"/>
        <item m="1" x="2251"/>
        <item m="1" x="2353"/>
        <item m="1" x="2441"/>
        <item m="1" x="2526"/>
        <item m="1" x="2625"/>
        <item m="1" x="1626"/>
        <item m="1" x="1754"/>
        <item m="1" x="1903"/>
        <item m="1" x="2009"/>
        <item m="1" x="2121"/>
        <item m="1" x="2255"/>
        <item m="1" x="2355"/>
        <item m="1" x="2446"/>
        <item m="1" x="2531"/>
        <item m="1" x="2630"/>
        <item m="1" x="1630"/>
        <item m="1" x="1762"/>
        <item m="1" x="1909"/>
        <item m="1" x="2018"/>
        <item m="1" x="2130"/>
        <item m="1" x="2265"/>
        <item m="1" x="2361"/>
        <item m="1" x="2451"/>
        <item m="1" x="2535"/>
        <item m="1" x="2632"/>
        <item m="1" x="1633"/>
        <item m="1" x="1765"/>
        <item m="1" x="1913"/>
        <item m="1" x="2022"/>
        <item m="1" x="2133"/>
        <item m="1" x="2268"/>
        <item m="1" x="2364"/>
        <item m="1" x="2457"/>
        <item m="1" x="2538"/>
        <item m="1" x="2637"/>
        <item m="1" x="1637"/>
        <item m="1" x="1774"/>
        <item m="1" x="1919"/>
        <item m="1" x="2032"/>
        <item m="1" x="2140"/>
        <item m="1" x="2277"/>
        <item m="1" x="2370"/>
        <item m="1" x="2463"/>
        <item m="1" x="2542"/>
        <item m="1" x="2639"/>
        <item m="1" x="1644"/>
        <item m="1" x="1780"/>
        <item m="1" x="1924"/>
        <item m="1" x="2038"/>
        <item m="1" x="2145"/>
        <item m="1" x="2282"/>
        <item m="1" x="2373"/>
        <item m="1" x="2470"/>
        <item m="1" x="2546"/>
        <item m="1" x="2647"/>
        <item m="1" x="1650"/>
        <item m="1" x="1791"/>
        <item m="1" x="1932"/>
        <item m="1" x="2044"/>
        <item m="1" x="2156"/>
        <item m="1" x="2290"/>
        <item m="1" x="2379"/>
        <item m="1" x="2474"/>
        <item m="1" x="2550"/>
        <item m="1" x="2651"/>
        <item m="1" x="1184"/>
        <item m="1" x="1324"/>
        <item m="1" x="1422"/>
        <item m="1" x="1514"/>
        <item m="1" x="1641"/>
        <item m="1" x="1777"/>
        <item m="1" x="1922"/>
        <item m="1" x="2035"/>
        <item m="1" x="2143"/>
        <item m="1" x="2280"/>
        <item m="1" x="1190"/>
        <item m="1" x="1329"/>
        <item m="1" x="1426"/>
        <item m="1" x="1521"/>
        <item m="1" x="1649"/>
        <item m="1" x="1788"/>
        <item m="1" x="1929"/>
        <item m="1" x="2041"/>
        <item m="1" x="2148"/>
        <item m="1" x="2285"/>
        <item m="1" x="1193"/>
        <item m="1" x="1333"/>
        <item m="1" x="1429"/>
        <item m="1" x="1523"/>
        <item m="1" x="1653"/>
        <item m="1" x="1795"/>
        <item m="1" x="1935"/>
        <item m="1" x="2048"/>
        <item m="1" x="2159"/>
        <item m="1" x="2293"/>
        <item m="1" x="1198"/>
        <item m="1" x="1337"/>
        <item m="1" x="1432"/>
        <item m="1" x="1532"/>
        <item m="1" x="1660"/>
        <item m="1" x="1801"/>
        <item m="1" x="1939"/>
        <item m="1" x="2053"/>
        <item m="1" x="2163"/>
        <item m="1" x="2295"/>
        <item m="1" x="1201"/>
        <item m="1" x="1341"/>
        <item m="1" x="1434"/>
        <item m="1" x="1536"/>
        <item m="1" x="1663"/>
        <item m="1" x="1805"/>
        <item m="1" x="1941"/>
        <item m="1" x="2058"/>
        <item m="1" x="2168"/>
        <item m="1" x="2299"/>
        <item m="1" x="1206"/>
        <item m="1" x="1347"/>
        <item m="1" x="1441"/>
        <item m="1" x="1548"/>
        <item m="1" x="1671"/>
        <item m="1" x="1814"/>
        <item m="1" x="1947"/>
        <item m="1" x="2061"/>
        <item m="1" x="2171"/>
        <item m="1" x="2301"/>
        <item m="1" x="1210"/>
        <item m="1" x="1348"/>
        <item m="1" x="1444"/>
        <item m="1" x="1551"/>
        <item m="1" x="1674"/>
        <item m="1" x="1817"/>
        <item m="1" x="1949"/>
        <item m="1" x="2065"/>
        <item m="1" x="2176"/>
        <item m="1" x="2306"/>
        <item m="1" x="1213"/>
        <item m="1" x="1353"/>
        <item m="1" x="1449"/>
        <item m="1" x="1561"/>
        <item m="1" x="1681"/>
        <item m="1" x="1826"/>
        <item m="1" x="1952"/>
        <item m="1" x="2067"/>
        <item m="1" x="2178"/>
        <item m="1" x="2307"/>
        <item m="1" x="1215"/>
        <item m="1" x="1355"/>
        <item m="1" x="1451"/>
        <item m="1" x="1563"/>
        <item m="1" x="1683"/>
        <item m="1" x="1831"/>
        <item m="1" x="1953"/>
        <item m="1" x="2070"/>
        <item m="1" x="2183"/>
        <item m="1" x="2311"/>
        <item m="1" x="1221"/>
        <item m="1" x="1360"/>
        <item m="1" x="1456"/>
        <item m="1" x="1572"/>
        <item m="1" x="1692"/>
        <item m="1" x="1837"/>
        <item m="1" x="1956"/>
        <item m="1" x="2071"/>
        <item m="1" x="2185"/>
        <item m="1" x="2315"/>
        <item m="1" x="752"/>
        <item m="1" x="877"/>
        <item m="1" x="1014"/>
        <item m="1" x="1097"/>
        <item m="1" x="1214"/>
        <item m="1" x="1354"/>
        <item m="1" x="1450"/>
        <item m="1" x="1562"/>
        <item m="1" x="1682"/>
        <item m="1" x="1829"/>
        <item m="1" x="756"/>
        <item m="1" x="879"/>
        <item m="1" x="1017"/>
        <item m="1" x="1099"/>
        <item m="1" x="1220"/>
        <item m="1" x="1359"/>
        <item m="1" x="1453"/>
        <item m="1" x="1564"/>
        <item m="1" x="1684"/>
        <item m="1" x="1832"/>
        <item m="1" x="757"/>
        <item m="1" x="880"/>
        <item m="1" x="1018"/>
        <item m="1" x="1101"/>
        <item m="1" x="1223"/>
        <item m="1" x="1361"/>
        <item m="1" x="1457"/>
        <item m="1" x="1573"/>
        <item m="1" x="1693"/>
        <item m="1" x="1839"/>
        <item m="1" x="760"/>
        <item m="1" x="882"/>
        <item m="1" x="1021"/>
        <item m="1" x="1104"/>
        <item m="1" x="1230"/>
        <item m="1" x="1365"/>
        <item m="1" x="1460"/>
        <item m="1" x="1575"/>
        <item m="1" x="1694"/>
        <item m="1" x="1842"/>
        <item m="1" x="761"/>
        <item m="1" x="884"/>
        <item m="1" x="1022"/>
        <item m="1" x="1107"/>
        <item m="1" x="1232"/>
        <item m="1" x="1367"/>
        <item m="1" x="1463"/>
        <item m="1" x="1578"/>
        <item m="1" x="1699"/>
        <item m="1" x="1851"/>
        <item m="1" x="764"/>
        <item m="1" x="886"/>
        <item m="1" x="1026"/>
        <item m="1" x="1114"/>
        <item m="1" x="1238"/>
        <item m="1" x="1371"/>
        <item m="1" x="1468"/>
        <item m="1" x="1579"/>
        <item m="1" x="1702"/>
        <item m="1" x="1852"/>
        <item m="1" x="767"/>
        <item m="1" x="887"/>
        <item m="1" x="1027"/>
        <item m="1" x="1119"/>
        <item m="1" x="1239"/>
        <item m="1" x="1373"/>
        <item m="1" x="1470"/>
        <item m="1" x="1583"/>
        <item m="1" x="1706"/>
        <item m="1" x="1859"/>
        <item m="1" x="770"/>
        <item m="1" x="893"/>
        <item m="1" x="1032"/>
        <item m="1" x="1126"/>
        <item m="1" x="1246"/>
        <item m="1" x="1379"/>
        <item m="1" x="1475"/>
        <item m="1" x="1584"/>
        <item m="1" x="1710"/>
        <item m="1" x="1861"/>
        <item m="1" x="774"/>
        <item m="1" x="895"/>
        <item m="1" x="1034"/>
        <item m="1" x="1128"/>
        <item m="1" x="1249"/>
        <item m="1" x="1381"/>
        <item m="1" x="1477"/>
        <item m="1" x="1589"/>
        <item m="1" x="1714"/>
        <item m="1" x="1867"/>
        <item m="1" x="781"/>
        <item m="1" x="906"/>
        <item m="1" x="1041"/>
        <item m="1" x="1135"/>
        <item m="1" x="1257"/>
        <item m="1" x="1385"/>
        <item m="1" x="1480"/>
        <item m="1" x="1590"/>
        <item m="1" x="1716"/>
        <item m="1" x="1869"/>
        <item m="1" x="335"/>
        <item m="1" x="481"/>
        <item m="1" x="580"/>
        <item m="1" x="668"/>
        <item m="1" x="772"/>
        <item m="1" x="894"/>
        <item m="1" x="1033"/>
        <item m="1" x="1127"/>
        <item m="1" x="1248"/>
        <item m="1" x="1380"/>
        <item m="1" x="338"/>
        <item m="1" x="484"/>
        <item m="1" x="583"/>
        <item m="1" x="672"/>
        <item m="1" x="779"/>
        <item m="1" x="902"/>
        <item m="1" x="1037"/>
        <item m="1" x="1130"/>
        <item m="1" x="1250"/>
        <item m="1" x="1382"/>
        <item m="1" x="339"/>
        <item m="1" x="486"/>
        <item m="1" x="584"/>
        <item m="1" x="674"/>
        <item m="1" x="782"/>
        <item m="1" x="907"/>
        <item m="1" x="1042"/>
        <item m="1" x="1136"/>
        <item m="1" x="1259"/>
        <item m="1" x="1387"/>
        <item m="1" x="340"/>
        <item m="1" x="488"/>
        <item m="1" x="586"/>
        <item m="1" x="678"/>
        <item m="1" x="790"/>
        <item m="1" x="913"/>
        <item m="1" x="1045"/>
        <item m="1" x="1137"/>
        <item m="1" x="1261"/>
        <item m="1" x="1388"/>
        <item m="1" x="342"/>
        <item m="1" x="490"/>
        <item m="1" x="588"/>
        <item m="1" x="680"/>
        <item m="1" x="793"/>
        <item m="1" x="917"/>
        <item m="1" x="1048"/>
        <item m="1" x="1141"/>
        <item m="1" x="1269"/>
        <item m="1" x="1392"/>
        <item m="1" x="346"/>
        <item m="1" x="491"/>
        <item m="1" x="592"/>
        <item m="1" x="686"/>
        <item m="1" x="801"/>
        <item m="1" x="925"/>
        <item m="1" x="1053"/>
        <item m="1" x="1142"/>
        <item m="1" x="1273"/>
        <item m="1" x="1394"/>
        <item m="1" x="348"/>
        <item m="1" x="492"/>
        <item m="1" x="593"/>
        <item m="1" x="688"/>
        <item m="1" x="802"/>
        <item m="1" x="930"/>
        <item m="1" x="1054"/>
        <item m="1" x="1147"/>
        <item m="1" x="1279"/>
        <item m="1" x="1397"/>
        <item m="1" x="351"/>
        <item m="1" x="495"/>
        <item m="1" x="599"/>
        <item m="1" x="694"/>
        <item m="1" x="811"/>
        <item m="1" x="938"/>
        <item m="1" x="1057"/>
        <item m="1" x="1148"/>
        <item m="1" x="1282"/>
        <item m="1" x="1399"/>
        <item m="1" x="354"/>
        <item m="1" x="497"/>
        <item m="1" x="601"/>
        <item m="1" x="697"/>
        <item m="1" x="813"/>
        <item m="1" x="941"/>
        <item m="1" x="1058"/>
        <item m="1" x="1153"/>
        <item m="1" x="1288"/>
        <item m="1" x="1402"/>
        <item m="1" x="362"/>
        <item m="1" x="504"/>
        <item m="1" x="611"/>
        <item m="1" x="703"/>
        <item m="1" x="821"/>
        <item m="1" x="950"/>
        <item m="1" x="1062"/>
        <item m="1" x="1156"/>
        <item m="1" x="1290"/>
        <item m="1" x="1405"/>
        <item m="1" x="7708"/>
        <item m="1" x="32"/>
        <item m="1" x="166"/>
        <item m="1" x="243"/>
        <item m="1" x="353"/>
        <item m="1" x="496"/>
        <item m="1" x="600"/>
        <item m="1" x="695"/>
        <item m="1" x="812"/>
        <item m="1" x="940"/>
        <item m="1" x="7714"/>
        <item m="1" x="38"/>
        <item m="1" x="170"/>
        <item m="1" x="247"/>
        <item m="1" x="361"/>
        <item m="1" x="502"/>
        <item m="1" x="605"/>
        <item m="1" x="699"/>
        <item m="1" x="814"/>
        <item m="1" x="942"/>
        <item m="1" x="7715"/>
        <item m="1" x="39"/>
        <item m="1" x="172"/>
        <item m="1" x="249"/>
        <item m="1" x="363"/>
        <item m="1" x="505"/>
        <item m="1" x="612"/>
        <item m="1" x="704"/>
        <item m="1" x="823"/>
        <item m="1" x="951"/>
        <item m="1" x="7721"/>
        <item m="1" x="41"/>
        <item m="1" x="175"/>
        <item m="1" x="256"/>
        <item m="1" x="372"/>
        <item m="1" x="507"/>
        <item m="1" x="615"/>
        <item m="1" x="706"/>
        <item m="1" x="824"/>
        <item m="1" x="952"/>
        <item m="1" x="7723"/>
        <item m="1" x="44"/>
        <item m="1" x="178"/>
        <item m="1" x="257"/>
        <item m="1" x="376"/>
        <item m="1" x="511"/>
        <item m="1" x="618"/>
        <item m="1" x="710"/>
        <item m="1" x="833"/>
        <item m="1" x="960"/>
        <item m="1" x="7726"/>
        <item m="1" x="48"/>
        <item m="1" x="182"/>
        <item m="1" x="267"/>
        <item m="1" x="387"/>
        <item m="1" x="516"/>
        <item m="1" x="621"/>
        <item m="1" x="712"/>
        <item m="1" x="836"/>
        <item m="1" x="964"/>
        <item m="1" x="7728"/>
        <item m="1" x="50"/>
        <item m="1" x="186"/>
        <item m="1" x="270"/>
        <item m="1" x="390"/>
        <item m="1" x="521"/>
        <item m="1" x="625"/>
        <item m="1" x="719"/>
        <item m="1" x="845"/>
        <item m="1" x="973"/>
        <item m="1" x="7731"/>
        <item m="1" x="57"/>
        <item m="1" x="190"/>
        <item m="1" x="279"/>
        <item m="1" x="398"/>
        <item m="1" x="528"/>
        <item m="1" x="628"/>
        <item m="1" x="721"/>
        <item m="1" x="847"/>
        <item m="1" x="975"/>
        <item m="1" x="7734"/>
        <item m="1" x="61"/>
        <item m="1" x="194"/>
        <item m="1" x="283"/>
        <item m="1" x="402"/>
        <item m="1" x="535"/>
        <item m="1" x="632"/>
        <item m="1" x="728"/>
        <item m="1" x="853"/>
        <item m="1" x="983"/>
        <item m="1" x="7742"/>
        <item m="1" x="72"/>
        <item m="1" x="199"/>
        <item m="1" x="291"/>
        <item m="1" x="413"/>
        <item m="1" x="540"/>
        <item m="1" x="638"/>
        <item m="1" x="732"/>
        <item m="1" x="856"/>
        <item m="1" x="986"/>
        <item m="1" x="7228"/>
        <item m="1" x="7381"/>
        <item m="1" x="7498"/>
        <item m="1" x="7592"/>
        <item m="1" x="7732"/>
        <item m="1" x="59"/>
        <item m="1" x="191"/>
        <item m="1" x="281"/>
        <item m="1" x="400"/>
        <item m="1" x="532"/>
        <item m="1" x="7234"/>
        <item m="1" x="7385"/>
        <item m="1" x="7501"/>
        <item m="1" x="7597"/>
        <item m="1" x="7740"/>
        <item m="1" x="67"/>
        <item m="1" x="196"/>
        <item m="1" x="287"/>
        <item m="1" x="403"/>
        <item m="1" x="536"/>
        <item m="1" x="7238"/>
        <item m="1" x="7387"/>
        <item m="1" x="7503"/>
        <item m="1" x="7599"/>
        <item m="1" x="7744"/>
        <item m="1" x="73"/>
        <item m="1" x="200"/>
        <item m="1" x="292"/>
        <item m="1" x="415"/>
        <item m="1" x="544"/>
        <item m="1" x="7244"/>
        <item m="1" x="7391"/>
        <item m="1" x="7506"/>
        <item m="1" x="7605"/>
        <item m="1" x="7750"/>
        <item m="1" x="80"/>
        <item m="1" x="204"/>
        <item m="1" x="296"/>
        <item m="1" x="418"/>
        <item m="1" x="546"/>
        <item m="1" x="7249"/>
        <item m="1" x="7395"/>
        <item m="1" x="7510"/>
        <item m="1" x="7609"/>
        <item m="1" x="7756"/>
        <item m="1" x="84"/>
        <item m="1" x="207"/>
        <item m="1" x="302"/>
        <item m="1" x="428"/>
        <item m="1" x="550"/>
        <item m="1" x="7253"/>
        <item m="1" x="7399"/>
        <item m="1" x="7515"/>
        <item m="1" x="7619"/>
        <item m="1" x="7764"/>
        <item m="1" x="91"/>
        <item m="1" x="212"/>
        <item m="1" x="306"/>
        <item m="1" x="433"/>
        <item m="1" x="554"/>
        <item m="1" x="7256"/>
        <item m="1" x="7402"/>
        <item m="1" x="7518"/>
        <item m="1" x="7624"/>
        <item m="1" x="7769"/>
        <item m="1" x="96"/>
        <item m="1" x="214"/>
        <item m="1" x="313"/>
        <item m="1" x="441"/>
        <item m="1" x="559"/>
        <item m="1" x="7259"/>
        <item m="1" x="7408"/>
        <item m="1" x="7521"/>
        <item m="1" x="7631"/>
        <item m="1" x="7775"/>
        <item m="1" x="101"/>
        <item m="1" x="216"/>
        <item m="1" x="315"/>
        <item m="1" x="444"/>
        <item m="1" x="561"/>
        <item m="1" x="7262"/>
        <item m="1" x="7410"/>
        <item m="1" x="7524"/>
        <item m="1" x="7634"/>
        <item m="1" x="7778"/>
        <item m="1" x="105"/>
        <item m="1" x="217"/>
        <item m="1" x="319"/>
        <item m="1" x="453"/>
        <item m="1" x="564"/>
        <item m="1" x="7271"/>
        <item m="1" x="7417"/>
        <item m="1" x="7529"/>
        <item m="1" x="7644"/>
        <item m="1" x="7785"/>
        <item m="1" x="110"/>
        <item m="1" x="219"/>
        <item m="1" x="320"/>
        <item m="1" x="455"/>
        <item m="1" x="567"/>
        <item m="1" x="6852"/>
        <item m="1" x="6961"/>
        <item m="1" x="7055"/>
        <item m="1" x="7147"/>
        <item m="1" x="7260"/>
        <item m="1" x="7409"/>
        <item m="1" x="7522"/>
        <item m="1" x="7633"/>
        <item m="1" x="7777"/>
        <item m="1" x="104"/>
        <item m="1" x="6855"/>
        <item m="1" x="6962"/>
        <item m="1" x="7060"/>
        <item m="1" x="7150"/>
        <item m="1" x="7270"/>
        <item m="1" x="7413"/>
        <item m="1" x="7526"/>
        <item m="1" x="7635"/>
        <item m="1" x="7780"/>
        <item m="1" x="106"/>
        <item m="1" x="6857"/>
        <item m="1" x="6965"/>
        <item m="1" x="7062"/>
        <item m="1" x="7153"/>
        <item m="1" x="7272"/>
        <item m="1" x="7418"/>
        <item m="1" x="7531"/>
        <item m="1" x="7645"/>
        <item m="1" x="7787"/>
        <item m="1" x="113"/>
        <item m="1" x="6861"/>
        <item m="1" x="6967"/>
        <item m="1" x="7068"/>
        <item m="1" x="7157"/>
        <item m="1" x="7282"/>
        <item m="1" x="7421"/>
        <item m="1" x="7534"/>
        <item m="1" x="7647"/>
        <item m="1" x="7789"/>
        <item m="1" x="115"/>
        <item m="1" x="6863"/>
        <item m="1" x="6969"/>
        <item m="1" x="7069"/>
        <item m="1" x="7159"/>
        <item m="1" x="7285"/>
        <item m="1" x="7427"/>
        <item m="1" x="7537"/>
        <item m="1" x="7655"/>
        <item m="1" x="7795"/>
        <item m="1" x="121"/>
        <item m="1" x="6866"/>
        <item m="1" x="6970"/>
        <item m="1" x="7072"/>
        <item m="1" x="7166"/>
        <item m="1" x="7294"/>
        <item m="1" x="7429"/>
        <item m="1" x="7542"/>
        <item m="1" x="7657"/>
        <item m="1" x="2"/>
        <item m="1" x="125"/>
        <item m="1" x="6868"/>
        <item m="1" x="6971"/>
        <item m="1" x="7073"/>
        <item m="1" x="7167"/>
        <item m="1" x="7297"/>
        <item m="1" x="7436"/>
        <item m="1" x="7546"/>
        <item m="1" x="7666"/>
        <item m="1" x="9"/>
        <item m="1" x="131"/>
        <item m="1" x="6872"/>
        <item m="1" x="6974"/>
        <item m="1" x="7079"/>
        <item m="1" x="7174"/>
        <item m="1" x="7304"/>
        <item m="1" x="7444"/>
        <item m="1" x="7548"/>
        <item m="1" x="7670"/>
        <item m="1" x="10"/>
        <item m="1" x="132"/>
        <item m="1" x="6874"/>
        <item m="1" x="6976"/>
        <item m="1" x="7081"/>
        <item m="1" x="7177"/>
        <item m="1" x="7306"/>
        <item m="1" x="7450"/>
        <item m="1" x="7552"/>
        <item m="1" x="7680"/>
        <item m="1" x="14"/>
        <item m="1" x="138"/>
        <item m="1" x="6882"/>
        <item m="1" x="6981"/>
        <item m="1" x="7085"/>
        <item m="1" x="7182"/>
        <item m="1" x="7316"/>
        <item m="1" x="7454"/>
        <item m="1" x="7555"/>
        <item m="1" x="7684"/>
        <item m="1" x="15"/>
        <item m="1" x="140"/>
        <item m="1" x="6509"/>
        <item m="1" x="6601"/>
        <item m="1" x="6701"/>
        <item m="1" x="6780"/>
        <item m="1" x="6873"/>
        <item m="1" x="6975"/>
        <item m="1" x="7080"/>
        <item m="1" x="7176"/>
        <item m="1" x="7305"/>
        <item m="1" x="7449"/>
        <item m="1" x="6513"/>
        <item m="1" x="6603"/>
        <item m="1" x="6703"/>
        <item m="1" x="6782"/>
        <item m="1" x="6879"/>
        <item m="1" x="6978"/>
        <item m="1" x="7082"/>
        <item m="1" x="7178"/>
        <item m="1" x="7309"/>
        <item m="1" x="7453"/>
        <item m="1" x="6515"/>
        <item m="1" x="6604"/>
        <item m="1" x="6705"/>
        <item m="1" x="6783"/>
        <item m="1" x="6883"/>
        <item m="1" x="6982"/>
        <item m="1" x="7086"/>
        <item m="1" x="7184"/>
        <item m="1" x="7318"/>
        <item m="1" x="7460"/>
        <item m="1" x="6517"/>
        <item m="1" x="6606"/>
        <item m="1" x="6709"/>
        <item m="1" x="6788"/>
        <item m="1" x="6889"/>
        <item m="1" x="6985"/>
        <item m="1" x="7089"/>
        <item m="1" x="7186"/>
        <item m="1" x="7320"/>
        <item m="1" x="7461"/>
        <item m="1" x="6519"/>
        <item m="1" x="6607"/>
        <item m="1" x="6711"/>
        <item m="1" x="6789"/>
        <item m="1" x="6893"/>
        <item m="1" x="6989"/>
        <item m="1" x="7092"/>
        <item m="1" x="7190"/>
        <item m="1" x="7329"/>
        <item m="1" x="7466"/>
        <item m="1" x="6521"/>
        <item m="1" x="6608"/>
        <item m="1" x="6717"/>
        <item m="1" x="6796"/>
        <item m="1" x="6899"/>
        <item m="1" x="6991"/>
        <item m="1" x="7095"/>
        <item m="1" x="7191"/>
        <item m="1" x="7332"/>
        <item m="1" x="7468"/>
        <item m="1" x="6522"/>
        <item m="1" x="6609"/>
        <item m="1" x="6718"/>
        <item m="1" x="6797"/>
        <item m="1" x="6905"/>
        <item m="1" x="6995"/>
        <item m="1" x="7101"/>
        <item m="1" x="7196"/>
        <item m="1" x="7341"/>
        <item m="1" x="7474"/>
        <item m="1" x="6524"/>
        <item m="1" x="6615"/>
        <item m="1" x="6724"/>
        <item m="1" x="6804"/>
        <item m="1" x="6909"/>
        <item m="1" x="7000"/>
        <item m="1" x="7106"/>
        <item m="1" x="7197"/>
        <item m="1" x="7342"/>
        <item m="1" x="7477"/>
        <item m="1" x="6525"/>
        <item m="1" x="6616"/>
        <item m="1" x="6726"/>
        <item m="1" x="6805"/>
        <item m="1" x="6911"/>
        <item m="1" x="7002"/>
        <item m="1" x="7111"/>
        <item m="1" x="7201"/>
        <item m="1" x="7351"/>
        <item m="1" x="7482"/>
        <item m="1" x="6531"/>
        <item m="1" x="6624"/>
        <item m="1" x="6734"/>
        <item m="1" x="6813"/>
        <item m="1" x="6917"/>
        <item m="1" x="7005"/>
        <item m="1" x="7113"/>
        <item m="1" x="7203"/>
        <item m="1" x="7352"/>
        <item m="1" x="7484"/>
        <item m="1" x="2030"/>
        <item m="1" x="1559"/>
        <item m="1" x="1570"/>
        <item m="1" x="1111"/>
        <item m="1" x="1125"/>
        <item m="1" x="1134"/>
        <item m="1" x="1140"/>
        <item m="1" x="1145"/>
        <item m="1" x="1151"/>
        <item m="1" x="1159"/>
        <item m="1" x="1165"/>
        <item m="1" x="254"/>
        <item m="1" x="330"/>
        <item m="1" x="7699"/>
        <item m="1" x="6165"/>
        <item m="1" x="6180"/>
        <item m="1" x="262"/>
        <item m="1" x="277"/>
        <item m="1" x="290"/>
        <item m="1" x="300"/>
        <item m="1" x="310"/>
        <item m="1" x="318"/>
        <item m="1" x="7614"/>
        <item m="1" x="7626"/>
        <item m="1" x="7638"/>
        <item m="1" x="7649"/>
        <item m="1" x="7659"/>
        <item m="1" x="7672"/>
        <item m="1" x="7693"/>
        <item m="1" x="6800"/>
        <item m="1" x="6808"/>
        <item m="1" x="6816"/>
        <item m="1" x="6845"/>
        <item m="1" x="6166"/>
        <item m="1" x="6194"/>
        <item m="1" x="6206"/>
        <item m="1" x="6223"/>
        <item m="1" x="6237"/>
        <item m="1" x="7163"/>
        <item m="1" x="7179"/>
        <item m="1" x="7187"/>
        <item m="1" x="7192"/>
        <item m="1" x="7198"/>
        <item m="1" x="7205"/>
        <item m="1" x="7211"/>
        <item m="1" x="7218"/>
        <item m="1" x="6436"/>
        <item m="1" x="6440"/>
        <item m="1" x="6446"/>
        <item m="1" x="6453"/>
        <item m="1" x="6462"/>
        <item m="1" x="6472"/>
        <item m="1" x="6483"/>
        <item m="1" x="6490"/>
        <item m="1" x="6496"/>
        <item m="1" x="6503"/>
        <item m="1" x="5836"/>
        <item m="1" x="5844"/>
        <item m="1" x="5852"/>
        <item m="1" x="5858"/>
        <item m="1" x="5863"/>
        <item m="1" x="5867"/>
        <item m="1" x="5875"/>
        <item m="1" x="5881"/>
        <item m="1" x="5283"/>
        <item m="1" x="6441"/>
        <item m="1" x="6447"/>
        <item m="1" x="6454"/>
        <item m="1" x="6463"/>
        <item m="1" x="6484"/>
        <item m="1" x="6491"/>
        <item m="1" x="6497"/>
        <item m="1" x="5837"/>
        <item m="1" x="5841"/>
        <item m="1" x="3732"/>
        <item m="1" x="3736"/>
        <item m="1" x="3742"/>
        <item m="1" x="3747"/>
        <item m="1" x="3762"/>
        <item m="1" x="3767"/>
        <item m="1" x="3777"/>
        <item m="1" x="3783"/>
        <item m="1" x="3156"/>
        <item m="1" x="3443"/>
        <item m="1" x="3449"/>
        <item m="1" x="3464"/>
        <item m="1" x="3470"/>
        <item m="1" x="3476"/>
        <item m="1" x="3482"/>
        <item m="1" x="2853"/>
        <item m="1" x="2857"/>
        <item m="1" x="2891"/>
        <item m="1" x="2899"/>
        <item m="1" x="2906"/>
        <item m="1" x="2099"/>
        <item m="1" x="2111"/>
        <item m="1" x="2126"/>
        <item m="1" x="2138"/>
        <item m="1" x="2149"/>
        <item m="1" x="2164"/>
        <item m="1" x="2172"/>
        <item m="1" x="2187"/>
        <item m="1" x="2196"/>
        <item m="1" x="1216"/>
        <item m="1" x="1224"/>
        <item m="1" x="1234"/>
        <item m="1" x="1240"/>
        <item m="1" x="1262"/>
        <item m="1" x="1274"/>
        <item m="1" x="1292"/>
        <item m="1" x="1299"/>
        <item m="1" x="355"/>
        <item m="1" x="364"/>
        <item m="1" x="379"/>
        <item m="1" x="392"/>
        <item m="1" x="405"/>
        <item m="1" x="420"/>
        <item m="1" x="435"/>
        <item m="1" x="445"/>
        <item m="1" x="457"/>
        <item m="1" x="466"/>
        <item m="1" x="7263"/>
        <item m="1" x="7273"/>
        <item m="1" x="7286"/>
        <item m="1" x="3161"/>
        <item m="1" x="3165"/>
        <item m="1" x="3167"/>
        <item m="1" x="2858"/>
        <item m="1" x="2863"/>
        <item m="1" x="2868"/>
        <item m="1" x="2874"/>
        <item m="1" x="2879"/>
        <item m="1" x="2886"/>
        <item m="1" x="2892"/>
        <item m="1" x="2900"/>
        <item m="1" x="2127"/>
        <item m="1" x="2139"/>
        <item m="1" x="2150"/>
        <item m="1" x="2165"/>
        <item m="1" x="2173"/>
        <item m="1" x="2180"/>
        <item m="1" x="2188"/>
        <item m="1" x="2197"/>
        <item m="1" x="1217"/>
        <item m="1" x="1293"/>
        <item m="1" x="1300"/>
        <item m="1" x="421"/>
        <item m="1" x="436"/>
        <item m="1" x="446"/>
        <item m="1" x="467"/>
        <item m="1" x="7298"/>
        <item m="1" x="7310"/>
        <item m="1" x="7322"/>
        <item m="1" x="7333"/>
        <item m="1" x="7343"/>
        <item m="1" x="7353"/>
        <item m="1" x="7359"/>
        <item m="1" x="6526"/>
        <item m="1" x="6532"/>
        <item m="1" x="6537"/>
        <item m="1" x="6544"/>
        <item m="1" x="6550"/>
        <item m="1" x="6560"/>
        <item m="1" x="6567"/>
        <item m="1" x="6577"/>
        <item m="1" x="6589"/>
        <item m="1" x="5914"/>
        <item m="1" x="5920"/>
        <item m="1" x="5939"/>
        <item m="1" x="5946"/>
        <item m="1" x="5950"/>
        <item m="1" x="5953"/>
        <item m="1" x="5957"/>
        <item m="1" x="5352"/>
        <item m="1" x="5370"/>
        <item m="1" x="5379"/>
        <item m="1" x="5384"/>
        <item m="1" x="5392"/>
        <item m="1" x="5398"/>
        <item m="1" x="4807"/>
        <item m="1" x="4816"/>
        <item m="1" x="4823"/>
        <item m="1" x="4827"/>
        <item m="1" x="4835"/>
        <item m="1" x="4839"/>
        <item m="1" x="4843"/>
        <item m="1" x="4848"/>
        <item m="1" x="4851"/>
        <item m="1" x="4854"/>
        <item m="1" x="4227"/>
        <item m="1" x="4231"/>
        <item m="1" x="4235"/>
        <item m="1" x="4239"/>
        <item m="1" x="4244"/>
        <item m="1" x="4249"/>
        <item m="1" x="4253"/>
        <item m="1" x="4261"/>
        <item m="1" x="4266"/>
        <item m="1" x="4274"/>
        <item m="1" x="5265"/>
        <item m="1" x="5268"/>
        <item m="1" x="5273"/>
        <item m="1" x="5276"/>
        <item m="1" x="5280"/>
        <item m="1" x="5286"/>
        <item m="1" x="5289"/>
        <item m="1" x="5292"/>
        <item m="1" x="5299"/>
        <item m="1" x="5310"/>
        <item m="1" x="2128"/>
        <item m="1" x="1655"/>
        <item m="1" x="1667"/>
        <item m="1" x="1676"/>
        <item m="1" x="1686"/>
        <item m="1" x="1695"/>
        <item m="1" x="1703"/>
        <item m="1" x="1711"/>
        <item m="1" x="1717"/>
        <item m="1" x="1722"/>
        <item m="1" x="775"/>
        <item m="1" x="784"/>
        <item m="1" x="795"/>
        <item m="1" x="805"/>
        <item m="1" x="848"/>
        <item m="1" x="857"/>
        <item m="1" x="863"/>
        <item m="1" x="7746"/>
        <item m="1" x="7760"/>
        <item m="1" x="7771"/>
        <item m="1" x="7781"/>
        <item m="1" x="7791"/>
        <item m="1" x="6875"/>
        <item m="1" x="6884"/>
        <item m="1" x="6895"/>
        <item m="1" x="6906"/>
        <item m="1" x="6913"/>
        <item m="1" x="6923"/>
        <item m="1" x="6931"/>
        <item m="1" x="6938"/>
        <item m="1" x="6944"/>
        <item m="1" x="6950"/>
        <item m="1" x="6260"/>
        <item m="1" x="6266"/>
        <item m="1" x="1225"/>
        <item m="1" x="1241"/>
        <item m="1" x="1263"/>
        <item m="1" x="1275"/>
        <item m="1" x="1284"/>
        <item m="1" x="1294"/>
        <item m="1" x="1301"/>
        <item m="1" x="356"/>
        <item m="1" x="365"/>
        <item m="1" x="380"/>
        <item m="1" x="393"/>
        <item m="1" x="406"/>
        <item m="1" x="422"/>
        <item m="1" x="437"/>
        <item m="1" x="447"/>
        <item m="1" x="459"/>
        <item m="1" x="468"/>
        <item m="1" x="7264"/>
        <item m="1" x="7274"/>
        <item m="1" x="7287"/>
        <item m="1" x="7299"/>
        <item m="1" x="7311"/>
        <item m="1" x="7323"/>
        <item m="1" x="7334"/>
        <item m="1" x="7344"/>
        <item m="1" x="7360"/>
        <item m="1" x="6527"/>
        <item m="1" x="6533"/>
        <item m="1" x="6538"/>
        <item m="1" x="6545"/>
        <item m="1" x="6551"/>
        <item m="1" x="6561"/>
        <item m="1" x="6568"/>
        <item m="1" x="6578"/>
        <item m="1" x="785"/>
        <item m="1" x="796"/>
        <item m="1" x="806"/>
        <item m="1" x="817"/>
        <item m="1" x="826"/>
        <item m="1" x="838"/>
        <item m="1" x="849"/>
        <item m="1" x="858"/>
        <item m="1" x="864"/>
        <item m="1" x="7736"/>
        <item m="1" x="7747"/>
        <item m="1" x="7761"/>
        <item m="1" x="7772"/>
        <item m="1" x="7782"/>
        <item m="1" x="7792"/>
        <item m="1" x="4"/>
        <item m="1" x="11"/>
        <item m="1" x="17"/>
        <item m="1" x="20"/>
        <item m="1" x="6876"/>
        <item m="1" x="6885"/>
        <item m="1" x="6896"/>
        <item m="1" x="6907"/>
        <item m="1" x="6914"/>
        <item m="1" x="6924"/>
        <item m="1" x="6932"/>
        <item m="1" x="6939"/>
        <item m="1" x="6945"/>
        <item m="1" x="6951"/>
        <item m="1" x="6261"/>
        <item m="1" x="6267"/>
        <item m="1" x="6272"/>
        <item m="1" x="6277"/>
        <item m="1" x="6283"/>
        <item m="1" x="6287"/>
        <item m="1" x="6290"/>
        <item m="1" x="6294"/>
        <item m="1" x="6296"/>
        <item m="1" x="6298"/>
        <item m="1" x="5665"/>
        <item m="1" x="5666"/>
        <item m="1" x="5668"/>
        <item m="1" x="5670"/>
        <item m="1" x="5673"/>
        <item m="1" x="5675"/>
        <item m="1" x="5678"/>
        <item m="1" x="5680"/>
        <item m="1" x="5682"/>
        <item m="1" x="5687"/>
        <item m="1" x="5096"/>
        <item m="1" x="5102"/>
        <item m="1" x="5109"/>
        <item m="1" x="5117"/>
        <item m="1" x="5127"/>
        <item m="1" x="5133"/>
        <item m="1" x="5136"/>
        <item m="1" x="5139"/>
        <item m="1" x="5140"/>
        <item m="1" x="5141"/>
        <item m="1" x="4522"/>
        <item m="1" x="4526"/>
        <item m="1" x="4531"/>
        <item m="1" x="4535"/>
        <item m="1" x="4536"/>
        <item m="1" x="4538"/>
        <item m="1" x="4540"/>
        <item m="1" x="4543"/>
        <item m="1" x="4547"/>
        <item m="1" x="4552"/>
        <item m="1" x="3966"/>
        <item m="1" x="3971"/>
        <item m="1" x="3978"/>
        <item m="1" x="3984"/>
        <item m="1" x="3990"/>
        <item m="1" x="3995"/>
        <item m="1" x="4000"/>
        <item m="1" x="4004"/>
        <item m="1" x="4007"/>
        <item m="1" x="4010"/>
        <item m="1" x="3395"/>
        <item m="1" x="3398"/>
        <item m="1" x="3400"/>
        <item m="1" x="3402"/>
        <item m="1" x="3407"/>
        <item m="1" x="3412"/>
        <item m="1" x="3416"/>
        <item m="1" x="3421"/>
        <item m="1" x="3424"/>
        <item m="1" x="3429"/>
        <item m="1" x="2797"/>
        <item m="1" x="2802"/>
        <item m="1" x="2806"/>
        <item m="1" x="2811"/>
        <item m="1" x="2815"/>
        <item m="1" x="2822"/>
        <item m="1" x="2827"/>
        <item m="1" x="2835"/>
        <item m="1" x="2841"/>
        <item m="1" x="2844"/>
        <item m="1" x="3879"/>
        <item m="1" x="3883"/>
        <item m="1" x="3886"/>
        <item m="1" x="3890"/>
        <item m="1" x="3896"/>
        <item m="1" x="3903"/>
        <item m="1" x="3908"/>
        <item m="1" x="3913"/>
        <item m="1" x="3919"/>
        <item m="1" x="3926"/>
        <item m="1" x="3295"/>
        <item m="1" x="3301"/>
        <item m="1" x="3308"/>
        <item m="1" x="3316"/>
        <item m="1" x="3320"/>
        <item m="1" x="3324"/>
        <item m="1" x="3328"/>
        <item m="1" x="3332"/>
        <item m="1" x="3336"/>
        <item m="1" x="3340"/>
        <item m="1" x="2677"/>
        <item m="1" x="2685"/>
        <item m="1" x="2691"/>
        <item m="1" x="2695"/>
        <item m="1" x="2701"/>
        <item m="1" x="2704"/>
        <item m="1" x="2708"/>
        <item m="1" x="2716"/>
        <item m="1" x="2723"/>
        <item m="1" x="2731"/>
        <item m="1" x="1906"/>
        <item m="1" x="1916"/>
        <item m="1" x="1927"/>
        <item m="1" x="1937"/>
        <item m="1" x="1944"/>
        <item m="1" x="1951"/>
        <item m="1" x="1955"/>
        <item m="1" x="1958"/>
        <item m="1" x="1962"/>
        <item m="1" x="1965"/>
        <item m="1" x="1024"/>
        <item m="1" x="1028"/>
        <item m="1" x="1035"/>
        <item m="1" x="1043"/>
        <item m="1" x="1051"/>
        <item m="1" x="1055"/>
        <item m="1" x="1061"/>
        <item m="1" x="1064"/>
        <item m="1" x="1066"/>
        <item m="1" x="1070"/>
        <item m="1" x="179"/>
        <item m="1" x="187"/>
        <item m="1" x="195"/>
        <item m="1" x="202"/>
        <item m="1" x="211"/>
        <item m="1" x="215"/>
        <item m="1" x="218"/>
        <item m="1" x="366"/>
        <item m="1" x="381"/>
        <item m="1" x="394"/>
        <item m="1" x="407"/>
        <item m="1" x="448"/>
        <item m="1" x="460"/>
        <item m="1" x="469"/>
        <item m="1" x="7265"/>
        <item m="1" x="7275"/>
        <item m="1" x="7288"/>
        <item m="1" x="7300"/>
        <item m="1" x="7312"/>
        <item m="1" x="7324"/>
        <item m="1" x="7335"/>
        <item m="1" x="7345"/>
        <item m="1" x="7355"/>
        <item m="1" x="7361"/>
        <item m="1" x="6528"/>
        <item m="1" x="6552"/>
        <item m="1" x="6569"/>
        <item m="1" x="6579"/>
        <item m="1" x="6585"/>
        <item m="1" x="6590"/>
        <item m="1" x="5915"/>
        <item m="1" x="5921"/>
        <item m="1" x="5925"/>
        <item m="1" x="5929"/>
        <item m="1" x="5951"/>
        <item m="1" x="5954"/>
        <item m="1" x="5958"/>
        <item m="1" x="5353"/>
        <item m="1" x="5358"/>
        <item m="1" x="5360"/>
        <item m="1" x="5364"/>
        <item m="1" x="5371"/>
        <item m="1" x="5375"/>
        <item m="1" x="5380"/>
        <item m="1" x="5385"/>
        <item m="1" x="5393"/>
        <item m="1" x="5399"/>
        <item m="1" x="4808"/>
        <item m="1" x="4817"/>
        <item m="1" x="4824"/>
        <item m="1" x="4828"/>
        <item m="1" x="4836"/>
        <item m="1" x="4844"/>
        <item m="1" x="4849"/>
        <item m="1" x="4852"/>
        <item m="1" x="4855"/>
        <item m="1" x="4228"/>
        <item m="1" x="4232"/>
        <item m="1" x="4236"/>
        <item m="1" x="4240"/>
        <item m="1" x="4245"/>
        <item m="1" x="4250"/>
        <item m="1" x="4254"/>
        <item m="1" x="4262"/>
        <item m="1" x="4267"/>
        <item m="1" x="3694"/>
        <item m="1" x="3700"/>
        <item m="1" x="3706"/>
        <item m="1" x="3712"/>
        <item m="1" x="3717"/>
        <item m="1" x="3720"/>
        <item m="1" x="3722"/>
        <item m="1" x="3100"/>
        <item m="1" x="3112"/>
        <item m="1" x="3119"/>
        <item m="1" x="3124"/>
        <item m="1" x="3131"/>
        <item m="1" x="3146"/>
        <item m="1" x="2450"/>
        <item m="1" x="2460"/>
        <item m="1" x="2473"/>
        <item m="1" x="2484"/>
        <item m="1" x="2491"/>
        <item m="1" x="2497"/>
        <item m="1" x="2499"/>
        <item m="1" x="2501"/>
        <item m="1" x="2506"/>
        <item m="1" x="2509"/>
        <item m="1" x="3568"/>
        <item m="1" x="3572"/>
        <item m="1" x="3575"/>
        <item m="1" x="3581"/>
        <item m="1" x="3588"/>
        <item m="1" x="3597"/>
        <item m="1" x="3605"/>
        <item m="1" x="3613"/>
        <item m="1" x="3618"/>
        <item m="1" x="3627"/>
        <item m="1" x="3008"/>
        <item m="1" x="3011"/>
        <item m="1" x="3014"/>
        <item m="1" x="3019"/>
        <item m="1" x="3024"/>
        <item m="1" x="3033"/>
        <item m="1" x="3036"/>
        <item m="1" x="3040"/>
        <item m="1" x="3043"/>
        <item m="1" x="2338"/>
        <item m="1" x="2340"/>
        <item m="1" x="2369"/>
        <item m="1" x="2378"/>
        <item m="1" x="2388"/>
        <item m="1" x="2394"/>
        <item m="1" x="2400"/>
        <item m="1" x="1436"/>
        <item m="1" x="1445"/>
        <item m="1" x="1452"/>
        <item m="1" x="1458"/>
        <item m="1" x="1465"/>
        <item m="1" x="1474"/>
        <item m="1" x="1479"/>
        <item m="1" x="1491"/>
        <item m="1" x="1495"/>
        <item m="1" x="589"/>
        <item m="1" x="594"/>
        <item m="1" x="604"/>
        <item m="1" x="614"/>
        <item m="1" x="620"/>
        <item m="1" x="627"/>
        <item m="1" x="637"/>
        <item m="1" x="644"/>
        <item m="1" x="652"/>
        <item m="1" x="656"/>
        <item m="1" x="7512"/>
        <item m="1" x="7519"/>
        <item m="1" x="7525"/>
        <item m="1" x="7533"/>
        <item m="1" x="7540"/>
        <item m="1" x="7547"/>
        <item m="1" x="7553"/>
        <item m="1" x="7560"/>
        <item m="1" x="7564"/>
        <item m="1" x="7567"/>
        <item m="1" x="6712"/>
        <item m="1" x="6719"/>
        <item m="1" x="6728"/>
        <item m="1" x="6738"/>
        <item m="1" x="6743"/>
        <item m="1" x="6749"/>
        <item m="1" x="6750"/>
        <item m="1" x="6752"/>
        <item m="1" x="6754"/>
        <item m="1" x="6760"/>
        <item m="1" x="6081"/>
        <item m="1" x="6088"/>
        <item m="1" x="6097"/>
        <item m="1" x="6107"/>
        <item m="1" x="6113"/>
        <item m="1" x="6117"/>
        <item m="1" x="6119"/>
        <item m="1" x="6122"/>
        <item m="1" x="6125"/>
        <item m="1" x="6127"/>
        <item m="1" x="5541"/>
        <item m="1" x="5551"/>
        <item m="1" x="5556"/>
        <item m="1" x="5557"/>
        <item m="1" x="5563"/>
        <item m="1" x="5565"/>
        <item m="1" x="5568"/>
        <item m="1" x="5571"/>
        <item m="1" x="4961"/>
        <item m="1" x="4965"/>
        <item m="1" x="4971"/>
        <item m="1" x="4351"/>
        <item m="1" x="4357"/>
        <item m="1" x="4363"/>
        <item m="1" x="4367"/>
        <item m="1" x="4371"/>
        <item m="1" x="4375"/>
        <item m="1" x="4382"/>
        <item m="1" x="4388"/>
        <item m="1" x="4393"/>
        <item m="1" x="4400"/>
        <item m="1" x="3803"/>
        <item m="1" x="3807"/>
        <item m="1" x="3811"/>
        <item m="1" x="3816"/>
        <item m="1" x="3822"/>
        <item m="1" x="3829"/>
        <item m="1" x="3837"/>
        <item m="1" x="3843"/>
        <item m="1" x="3851"/>
        <item m="1" x="3857"/>
        <item m="1" x="3220"/>
        <item m="1" x="4648"/>
        <item m="1" x="4358"/>
        <item m="1" x="3823"/>
        <item m="1" x="3830"/>
        <item m="1" x="3858"/>
        <item m="1" x="3221"/>
        <item m="1" x="3228"/>
        <item m="1" x="3237"/>
        <item m="1" x="3243"/>
        <item m="1" x="3249"/>
        <item m="1" x="3256"/>
        <item m="1" x="3260"/>
        <item m="1" x="3263"/>
        <item m="1" x="3270"/>
        <item m="1" x="3273"/>
        <item m="1" x="2628"/>
        <item m="1" x="2634"/>
        <item m="1" x="2642"/>
        <item m="1" x="1845"/>
        <item m="1" x="1854"/>
        <item m="1" x="1871"/>
        <item m="1" x="889"/>
        <item m="1" x="898"/>
        <item m="1" x="919"/>
        <item m="1" x="933"/>
        <item m="1" x="944"/>
        <item m="1" x="955"/>
        <item m="1" x="988"/>
        <item m="1" x="53"/>
        <item m="1" x="64"/>
        <item m="1" x="76"/>
        <item m="1" x="89"/>
        <item m="1" x="99"/>
        <item m="1" x="108"/>
        <item m="1" x="117"/>
        <item m="1" x="127"/>
        <item m="1" x="143"/>
        <item m="1" x="3507"/>
        <item m="1" x="3512"/>
        <item m="1" x="3517"/>
        <item m="1" x="3521"/>
        <item m="1" x="3532"/>
        <item m="1" x="2948"/>
        <item m="1" x="2965"/>
        <item m="1" x="2969"/>
        <item m="1" x="2228"/>
        <item m="1" x="2235"/>
        <item m="1" x="2246"/>
        <item m="1" x="2259"/>
        <item m="1" x="2302"/>
        <item m="1" x="2308"/>
        <item m="1" x="2316"/>
        <item m="1" x="1351"/>
        <item m="1" x="1357"/>
        <item m="1" x="1363"/>
        <item m="1" x="1368"/>
        <item m="1" x="1376"/>
        <item m="1" x="1383"/>
        <item m="1" x="1389"/>
        <item m="1" x="1395"/>
        <item m="1" x="1400"/>
        <item m="1" x="1406"/>
        <item m="1" x="493"/>
        <item m="1" x="500"/>
        <item m="1" x="514"/>
        <item m="1" x="525"/>
        <item m="1" x="568"/>
        <item m="1" x="7403"/>
        <item m="1" x="7411"/>
        <item m="1" x="7420"/>
        <item m="1" x="7428"/>
        <item m="1" x="7441"/>
        <item m="1" x="7485"/>
        <item m="1" x="6610"/>
        <item m="1" x="6617"/>
        <item m="1" x="6625"/>
        <item m="1" x="6634"/>
        <item m="1" x="6640"/>
        <item m="1" x="6649"/>
        <item m="1" x="6666"/>
        <item m="1" x="6674"/>
        <item m="1" x="6685"/>
        <item m="1" x="5977"/>
        <item m="1" x="5985"/>
        <item m="1" x="5994"/>
        <item m="1" x="6002"/>
        <item m="1" x="6014"/>
        <item m="1" x="6038"/>
        <item m="1" x="6045"/>
        <item m="1" x="5426"/>
        <item m="1" x="5438"/>
        <item m="1" x="5448"/>
        <item m="1" x="5459"/>
        <item m="1" x="5468"/>
        <item m="1" x="5477"/>
        <item m="1" x="5484"/>
        <item m="1" x="5495"/>
        <item m="1" x="5506"/>
        <item m="1" x="4876"/>
        <item m="1" x="4888"/>
        <item m="1" x="4902"/>
        <item m="1" x="4911"/>
        <item m="1" x="4916"/>
        <item m="1" x="4924"/>
        <item m="1" x="4930"/>
        <item m="1" x="4937"/>
        <item m="1" x="4942"/>
        <item m="1" x="4948"/>
        <item m="1" x="5887"/>
        <item m="1" x="5893"/>
        <item m="1" x="5901"/>
        <item m="1" x="5906"/>
        <item m="1" x="5910"/>
        <item m="1" x="5918"/>
        <item m="1" x="5923"/>
        <item m="1" x="5926"/>
        <item m="1" x="5930"/>
        <item m="1" x="5936"/>
        <item m="1" x="5339"/>
        <item m="1" x="2970"/>
        <item m="1" x="2975"/>
        <item m="1" x="2229"/>
        <item m="1" x="2236"/>
        <item m="1" x="2247"/>
        <item m="1" x="2260"/>
        <item m="1" x="2271"/>
        <item m="1" x="2591"/>
        <item m="1" x="2597"/>
        <item m="1" x="2603"/>
        <item m="1" x="2610"/>
        <item m="1" x="2620"/>
        <item m="1" x="2635"/>
        <item m="1" x="2643"/>
        <item m="1" x="2655"/>
        <item m="1" x="1769"/>
        <item m="1" x="1784"/>
        <item m="1" x="1798"/>
        <item m="1" x="1809"/>
        <item m="1" x="1820"/>
        <item m="1" x="1834"/>
        <item m="1" x="1846"/>
        <item m="1" x="1855"/>
        <item m="1" x="1863"/>
        <item m="1" x="899"/>
        <item m="1" x="910"/>
        <item m="1" x="920"/>
        <item m="1" x="934"/>
        <item m="1" x="945"/>
        <item m="1" x="956"/>
        <item m="1" x="966"/>
        <item m="1" x="977"/>
        <item m="1" x="989"/>
        <item m="1" x="54"/>
        <item m="1" x="65"/>
        <item m="1" x="77"/>
        <item m="1" x="2237"/>
        <item m="1" x="2248"/>
        <item m="1" x="2261"/>
        <item m="1" x="2272"/>
        <item m="1" x="2286"/>
        <item m="1" x="2296"/>
        <item m="1" x="6139"/>
        <item m="1" x="6144"/>
        <item m="1" x="5817"/>
        <item m="1" x="5823"/>
        <item m="1" x="5829"/>
        <item m="1" x="5580"/>
        <item m="1" x="5583"/>
        <item m="1" x="5587"/>
        <item m="1" x="5269"/>
        <item m="1" x="5274"/>
        <item m="1" x="5277"/>
        <item m="1" x="5281"/>
        <item m="1" x="5287"/>
        <item m="1" x="5290"/>
        <item m="1" x="5293"/>
        <item m="1" x="5300"/>
        <item m="1" x="5311"/>
        <item m="1" x="4694"/>
        <item m="1" x="4699"/>
        <item m="1" x="4706"/>
        <item m="1" x="4714"/>
        <item m="1" x="4724"/>
        <item m="1" x="4745"/>
        <item m="1" x="4752"/>
        <item m="1" x="4136"/>
        <item m="1" x="4142"/>
        <item m="1" x="4148"/>
        <item m="1" x="4150"/>
        <item m="1" x="4161"/>
        <item m="1" x="4700"/>
        <item m="1" x="4143"/>
        <item m="1" x="7713"/>
        <item m="1" x="7752"/>
        <item m="1" x="7766"/>
        <item m="1" x="7776"/>
        <item m="1" x="7786"/>
        <item m="1" x="6851"/>
        <item m="1" x="6860"/>
        <item m="1" x="6865"/>
        <item m="1" x="6870"/>
        <item m="1" x="6880"/>
        <item m="1" x="6890"/>
        <item m="1" x="6900"/>
        <item m="1" x="6910"/>
        <item m="1" x="6918"/>
        <item m="1" x="6242"/>
        <item m="1" x="6245"/>
        <item m="1" x="6252"/>
        <item m="1" x="6871"/>
        <item m="1" x="6881"/>
        <item m="1" x="6891"/>
        <item m="1" x="6901"/>
        <item m="1" x="6253"/>
        <item m="1" x="5894"/>
        <item m="1" x="5902"/>
        <item m="1" x="5655"/>
        <item m="1" x="5340"/>
        <item m="1" x="5087"/>
        <item m="1" x="5089"/>
        <item m="1" x="5091"/>
        <item m="1" x="5093"/>
        <item m="1" x="5098"/>
        <item m="1" x="5104"/>
        <item m="1" x="5111"/>
        <item m="1" x="5119"/>
        <item m="1" x="5129"/>
        <item m="1" x="4499"/>
        <item m="1" x="1838"/>
        <item m="1" x="1858"/>
        <item m="1" x="1866"/>
        <item m="1" x="892"/>
        <item m="1" x="904"/>
        <item m="1" x="926"/>
        <item m="1" x="939"/>
        <item m="1" x="970"/>
        <item m="1" x="991"/>
        <item m="1" x="70"/>
        <item m="1" x="135"/>
        <item m="1" x="146"/>
        <item m="1" x="6973"/>
        <item m="1" x="6979"/>
        <item m="1" x="6986"/>
        <item m="1" x="6992"/>
        <item m="1" x="7001"/>
        <item m="1" x="7006"/>
        <item m="1" x="7010"/>
        <item m="1" x="7017"/>
        <item m="1" x="7025"/>
        <item m="1" x="7033"/>
        <item m="1" x="6311"/>
        <item m="1" x="6316"/>
        <item m="1" x="6323"/>
        <item m="1" x="6331"/>
        <item m="1" x="517"/>
        <item m="1" x="905"/>
        <item m="1" x="1547"/>
        <item m="1" x="1560"/>
        <item m="1" x="1571"/>
        <item m="1" x="1582"/>
        <item m="1" x="1588"/>
        <item m="1" x="1602"/>
        <item m="1" x="683"/>
        <item m="1" x="692"/>
        <item m="1" x="715"/>
        <item m="1" x="723"/>
        <item m="1" x="734"/>
        <item m="1" x="740"/>
        <item m="1" x="7603"/>
        <item m="1" x="7615"/>
        <item m="1" x="7627"/>
        <item m="1" x="7639"/>
        <item m="1" x="7650"/>
        <item m="1" x="7660"/>
        <item m="1" x="7673"/>
        <item m="1" x="7688"/>
        <item m="1" x="7694"/>
        <item m="1" x="7700"/>
        <item m="1" x="6785"/>
        <item m="1" x="6791"/>
        <item m="1" x="6801"/>
        <item m="1" x="6809"/>
        <item m="1" x="6817"/>
        <item m="1" x="6824"/>
        <item m="1" x="6830"/>
        <item m="1" x="6832"/>
        <item m="1" x="6836"/>
        <item m="1" x="6846"/>
        <item m="1" x="6148"/>
        <item m="1" x="6156"/>
        <item m="1" x="6167"/>
        <item m="1" x="6182"/>
        <item m="1" x="6195"/>
        <item m="1" x="6207"/>
        <item m="1" x="6216"/>
        <item m="1" x="6224"/>
        <item m="1" x="6230"/>
        <item m="1" x="6238"/>
        <item m="1" x="5591"/>
        <item m="1" x="5597"/>
        <item m="1" x="5601"/>
        <item m="1" x="5607"/>
        <item m="1" x="5612"/>
        <item m="1" x="5618"/>
        <item m="1" x="5625"/>
        <item m="1" x="5632"/>
        <item m="1" x="1152"/>
        <item m="1" x="263"/>
        <item m="1" x="7171"/>
        <item m="1" x="5331"/>
        <item m="1" x="5334"/>
        <item m="1" x="4732"/>
        <item m="1" x="4738"/>
        <item m="1" x="4743"/>
        <item m="1" x="4750"/>
        <item m="1" x="4158"/>
        <item m="1" x="4165"/>
        <item m="1" x="3601"/>
        <item m="1" x="3609"/>
        <item m="1" x="3615"/>
        <item m="1" x="3624"/>
        <item m="1" x="3630"/>
        <item m="1" x="3635"/>
        <item m="1" x="3644"/>
        <item m="1" x="716"/>
        <item m="1" x="724"/>
        <item m="1" x="735"/>
        <item m="1" x="741"/>
        <item m="1" x="746"/>
        <item m="1" x="7604"/>
        <item m="1" x="7616"/>
        <item m="1" x="7628"/>
        <item m="1" x="7640"/>
        <item m="1" x="7651"/>
        <item m="1" x="7661"/>
        <item m="1" x="7674"/>
        <item m="1" x="6792"/>
        <item m="1" x="6802"/>
        <item m="1" x="6810"/>
        <item m="1" x="6818"/>
        <item m="1" x="6183"/>
        <item m="1" x="6208"/>
        <item m="1" x="7212"/>
        <item m="1" x="7219"/>
        <item m="1" x="6437"/>
        <item m="1" x="6442"/>
        <item m="1" x="6448"/>
        <item m="1" x="6455"/>
        <item m="1" x="6464"/>
        <item m="1" x="6485"/>
        <item m="1" x="6498"/>
        <item m="1" x="4197"/>
        <item m="1" x="4206"/>
        <item m="1" x="4213"/>
        <item m="1" x="3594"/>
        <item m="1" x="3602"/>
        <item m="1" x="3610"/>
        <item m="1" x="3616"/>
        <item m="1" x="3625"/>
        <item m="1" x="3631"/>
        <item m="1" x="3636"/>
        <item m="1" x="4464"/>
        <item m="1" x="4467"/>
        <item m="1" x="4473"/>
        <item m="1" x="3907"/>
        <item m="1" x="3911"/>
        <item m="1" x="3918"/>
        <item m="1" x="3925"/>
        <item m="1" x="3931"/>
        <item m="1" x="7164"/>
        <item m="1" x="7172"/>
        <item m="1" x="7180"/>
        <item m="1" x="6486"/>
        <item m="1" x="6793"/>
        <item m="1" x="6803"/>
        <item m="1" x="6811"/>
        <item m="1" x="6819"/>
        <item m="1" x="6825"/>
        <item m="1" x="6833"/>
        <item m="1" x="6837"/>
        <item m="1" x="6149"/>
        <item m="1" x="6157"/>
        <item m="1" x="6168"/>
        <item m="1" x="6184"/>
        <item m="1" x="6196"/>
        <item m="1" x="6209"/>
        <item m="1" x="6217"/>
        <item m="1" x="6231"/>
        <item m="1" x="6443"/>
        <item m="1" x="6449"/>
        <item m="1" x="6456"/>
        <item m="1" x="6465"/>
        <item m="1" x="6475"/>
        <item m="1" x="6487"/>
        <item m="1" x="6493"/>
        <item m="1" x="6500"/>
        <item m="1" x="6504"/>
        <item m="1" x="5838"/>
        <item m="1" x="5842"/>
        <item m="1" x="5845"/>
        <item m="1" x="5849"/>
        <item m="1" x="5853"/>
        <item m="1" x="5859"/>
        <item m="1" x="5864"/>
        <item m="1" x="5868"/>
        <item m="1" x="5876"/>
        <item m="1" x="5882"/>
        <item m="1" x="5285"/>
        <item m="1" x="5288"/>
        <item m="1" x="5291"/>
        <item m="1" x="5297"/>
        <item m="1" x="5308"/>
        <item m="1" x="5315"/>
        <item m="1" x="5322"/>
        <item m="1" x="5327"/>
        <item m="1" x="5332"/>
        <item m="1" x="5335"/>
        <item m="1" x="4733"/>
        <item m="1" x="4739"/>
        <item m="1" x="4744"/>
        <item m="1" x="4751"/>
        <item m="1" x="4754"/>
        <item m="1" x="4758"/>
        <item m="1" x="4761"/>
        <item m="1" x="4766"/>
        <item m="1" x="4771"/>
        <item m="1" x="4775"/>
        <item m="1" x="4159"/>
        <item m="1" x="4166"/>
        <item m="1" x="4171"/>
        <item m="1" x="4175"/>
        <item m="1" x="4181"/>
        <item m="1" x="4184"/>
        <item m="1" x="4190"/>
        <item m="1" x="4198"/>
        <item m="1" x="4207"/>
        <item m="1" x="4214"/>
        <item m="1" x="3595"/>
        <item m="1" x="3603"/>
        <item m="1" x="3611"/>
        <item m="1" x="3617"/>
        <item m="1" x="3626"/>
        <item m="1" x="3632"/>
        <item m="1" x="3637"/>
        <item m="1" x="3645"/>
        <item m="1" x="3649"/>
        <item m="1" x="3653"/>
        <item m="1" x="3027"/>
        <item m="1" x="3032"/>
        <item m="1" x="3035"/>
        <item m="1" x="3039"/>
        <item m="1" x="3042"/>
        <item m="1" x="3047"/>
        <item m="1" x="3053"/>
        <item m="1" x="3059"/>
        <item m="1" x="3067"/>
        <item m="1" x="3074"/>
        <item m="1" x="2367"/>
        <item m="1" x="2376"/>
        <item m="1" x="2387"/>
        <item m="1" x="2393"/>
        <item m="1" x="2398"/>
        <item m="1" x="2404"/>
        <item m="1" x="6158"/>
        <item m="1" x="6169"/>
        <item m="1" x="6185"/>
        <item m="1" x="6197"/>
        <item m="1" x="6210"/>
        <item m="1" x="6218"/>
        <item m="1" x="6225"/>
        <item m="1" x="6232"/>
        <item m="1" x="6239"/>
        <item m="1" x="5592"/>
        <item m="1" x="5598"/>
        <item m="1" x="5602"/>
        <item m="1" x="5608"/>
        <item m="1" x="5613"/>
        <item m="1" x="5619"/>
        <item m="1" x="5626"/>
        <item m="1" x="5633"/>
        <item m="1" x="5639"/>
        <item m="1" x="5643"/>
        <item m="1" x="5040"/>
        <item m="1" x="5047"/>
        <item m="1" x="5054"/>
        <item m="1" x="2544"/>
        <item m="1" x="2553"/>
        <item m="1" x="2558"/>
        <item m="1" x="1647"/>
        <item m="1" x="1656"/>
        <item m="1" x="1668"/>
        <item m="1" x="1677"/>
        <item m="1" x="1687"/>
        <item m="1" x="1718"/>
        <item m="1" x="1723"/>
        <item m="1" x="776"/>
        <item m="1" x="786"/>
        <item m="1" x="797"/>
        <item m="1" x="807"/>
        <item m="1" x="818"/>
        <item m="1" x="827"/>
        <item m="1" x="2859"/>
        <item m="1" x="2869"/>
        <item m="1" x="2880"/>
        <item m="1" x="2893"/>
        <item m="1" x="2112"/>
        <item m="1" x="2189"/>
        <item m="1" x="2198"/>
        <item m="1" x="1226"/>
        <item m="1" x="1236"/>
        <item m="1" x="1242"/>
        <item m="1" x="1252"/>
        <item m="1" x="1264"/>
        <item m="1" x="1276"/>
        <item m="1" x="1285"/>
        <item m="1" x="1295"/>
        <item m="1" x="1302"/>
        <item m="1" x="357"/>
        <item m="1" x="367"/>
        <item m="1" x="382"/>
        <item m="1" x="395"/>
        <item m="1" x="408"/>
        <item m="1" x="423"/>
        <item m="1" x="438"/>
        <item m="1" x="449"/>
        <item m="1" x="461"/>
        <item m="1" x="470"/>
        <item m="1" x="7266"/>
        <item m="1" x="7276"/>
        <item m="1" x="7289"/>
        <item m="1" x="7301"/>
        <item m="1" x="7313"/>
        <item m="1" x="7325"/>
        <item m="1" x="7336"/>
        <item m="1" x="7346"/>
        <item m="1" x="7356"/>
        <item m="1" x="2521"/>
        <item m="1" x="2529"/>
        <item m="1" x="1657"/>
        <item m="1" x="1678"/>
        <item m="1" x="1688"/>
        <item m="1" x="1696"/>
        <item m="1" x="1704"/>
        <item m="1" x="1712"/>
        <item m="1" x="1719"/>
        <item m="1" x="798"/>
        <item m="1" x="808"/>
        <item m="1" x="819"/>
        <item m="1" x="828"/>
        <item m="1" x="839"/>
        <item m="1" x="850"/>
        <item m="1" x="859"/>
        <item m="1" x="865"/>
        <item m="1" x="7737"/>
        <item m="1" x="7748"/>
        <item m="1" x="7762"/>
        <item m="1" x="7773"/>
        <item m="1" x="7783"/>
        <item m="1" x="7793"/>
        <item m="1" x="5"/>
        <item m="1" x="12"/>
        <item m="1" x="18"/>
        <item m="1" x="21"/>
        <item m="1" x="6877"/>
        <item m="1" x="6886"/>
        <item m="1" x="6897"/>
        <item m="1" x="2113"/>
        <item m="1" x="2151"/>
        <item m="1" x="1227"/>
        <item m="1" x="1253"/>
        <item m="1" x="1265"/>
        <item m="1" x="1303"/>
        <item m="1" x="358"/>
        <item m="1" x="368"/>
        <item m="1" x="383"/>
        <item m="1" x="396"/>
        <item m="1" x="409"/>
        <item m="1" x="424"/>
        <item m="1" x="439"/>
        <item m="1" x="450"/>
        <item m="1" x="462"/>
        <item m="1" x="471"/>
        <item m="1" x="7267"/>
        <item m="1" x="7277"/>
        <item m="1" x="7290"/>
        <item m="1" x="7302"/>
        <item m="1" x="7314"/>
        <item m="1" x="7326"/>
        <item m="1" x="7337"/>
        <item m="1" x="7347"/>
        <item m="1" x="7357"/>
        <item m="1" x="7362"/>
        <item m="1" x="6529"/>
        <item m="1" x="6534"/>
        <item m="1" x="6539"/>
        <item m="1" x="6546"/>
        <item m="1" x="6553"/>
        <item m="1" x="6562"/>
        <item m="1" x="6570"/>
        <item m="1" x="6580"/>
        <item m="1" x="6586"/>
        <item m="1" x="6591"/>
        <item m="1" x="5916"/>
        <item m="1" x="5922"/>
        <item m="1" x="1658"/>
        <item m="1" x="1669"/>
        <item m="1" x="1679"/>
        <item m="1" x="1689"/>
        <item m="1" x="1697"/>
        <item m="1" x="1705"/>
        <item m="1" x="1713"/>
        <item m="1" x="1720"/>
        <item m="1" x="1724"/>
        <item m="1" x="777"/>
        <item m="1" x="787"/>
        <item m="1" x="799"/>
        <item m="1" x="809"/>
        <item m="1" x="820"/>
        <item m="1" x="829"/>
        <item m="1" x="840"/>
        <item m="1" x="851"/>
        <item m="1" x="860"/>
        <item m="1" x="866"/>
        <item m="1" x="7738"/>
        <item m="1" x="1243"/>
        <item m="1" x="1254"/>
        <item m="1" x="1266"/>
        <item m="1" x="1277"/>
        <item m="1" x="1286"/>
        <item m="1" x="1296"/>
        <item m="1" x="1304"/>
        <item m="1" x="359"/>
        <item m="1" x="369"/>
        <item m="1" x="384"/>
        <item m="1" x="788"/>
        <item m="1" x="800"/>
        <item m="1" x="810"/>
        <item m="1" x="830"/>
        <item m="1" x="841"/>
        <item m="1" x="867"/>
        <item m="1" x="7774"/>
        <item m="1" x="6925"/>
        <item m="1" x="370"/>
        <item m="1" x="385"/>
        <item m="1" x="410"/>
        <item m="1" x="425"/>
        <item m="1" x="451"/>
        <item m="1" x="463"/>
        <item m="1" x="7291"/>
        <item m="1" x="7338"/>
        <item m="1" x="6540"/>
        <item m="1" x="4665"/>
        <item m="1" x="4670"/>
        <item m="1" x="4673"/>
        <item m="1" x="4678"/>
        <item m="1" x="4682"/>
        <item m="1" x="4075"/>
        <item m="1" x="4079"/>
        <item m="1" x="4087"/>
        <item m="1" x="4089"/>
        <item m="1" x="4092"/>
        <item m="1" x="4097"/>
        <item m="1" x="4359"/>
        <item m="1" x="4364"/>
        <item m="1" x="4368"/>
        <item m="1" x="4372"/>
        <item m="1" x="4376"/>
        <item m="1" x="4383"/>
        <item m="1" x="4389"/>
        <item m="1" x="4080"/>
        <item m="1" x="4088"/>
        <item m="1" x="4090"/>
        <item m="1" x="4093"/>
        <item m="1" x="4098"/>
        <item m="1" x="4101"/>
        <item m="1" x="4103"/>
        <item m="1" x="4105"/>
        <item m="1" x="4112"/>
        <item m="1" x="3504"/>
        <item m="1" x="3508"/>
        <item m="1" x="3513"/>
        <item m="1" x="3518"/>
        <item m="1" x="3522"/>
        <item m="1" x="3528"/>
        <item m="1" x="3533"/>
        <item m="1" x="3535"/>
        <item m="1" x="3539"/>
        <item m="1" x="3545"/>
        <item m="1" x="2938"/>
        <item m="1" x="2942"/>
        <item m="1" x="2949"/>
        <item m="1" x="2953"/>
        <item m="1" x="2957"/>
        <item m="1" x="2960"/>
        <item m="1" x="2961"/>
        <item m="1" x="2966"/>
        <item m="1" x="2971"/>
        <item m="1" x="2976"/>
        <item m="1" x="2230"/>
        <item m="1" x="2238"/>
        <item m="1" x="2249"/>
        <item m="1" x="2262"/>
        <item m="1" x="2273"/>
        <item m="1" x="2287"/>
        <item m="1" x="2297"/>
        <item m="1" x="2303"/>
        <item m="1" x="2309"/>
        <item m="1" x="2317"/>
        <item m="1" x="3808"/>
        <item m="1" x="3812"/>
        <item m="1" x="3817"/>
        <item m="1" x="3824"/>
        <item m="1" x="3831"/>
        <item m="1" x="3838"/>
        <item m="1" x="3844"/>
        <item m="1" x="3852"/>
        <item m="1" x="3859"/>
        <item m="1" x="3222"/>
        <item m="1" x="3229"/>
        <item m="1" x="3238"/>
        <item m="1" x="3244"/>
        <item m="1" x="3250"/>
        <item m="1" x="3257"/>
        <item m="1" x="3261"/>
        <item m="1" x="3264"/>
        <item m="1" x="3271"/>
        <item m="1" x="3274"/>
        <item m="1" x="2587"/>
        <item m="1" x="2592"/>
        <item m="1" x="2598"/>
        <item m="1" x="2604"/>
        <item m="1" x="2611"/>
        <item m="1" x="2621"/>
        <item m="1" x="2629"/>
        <item m="1" x="2636"/>
        <item m="1" x="2644"/>
        <item m="1" x="2656"/>
        <item m="1" x="1770"/>
        <item m="1" x="1785"/>
        <item m="1" x="1799"/>
        <item m="1" x="1810"/>
        <item m="1" x="1821"/>
        <item m="1" x="1835"/>
        <item m="1" x="1847"/>
        <item m="1" x="1856"/>
        <item m="1" x="1864"/>
        <item m="1" x="1872"/>
        <item m="1" x="890"/>
        <item m="1" x="900"/>
        <item m="1" x="911"/>
        <item m="1" x="921"/>
        <item m="1" x="935"/>
        <item m="1" x="946"/>
        <item m="1" x="957"/>
        <item m="1" x="967"/>
        <item m="1" x="978"/>
        <item m="1" x="990"/>
        <item m="1" x="55"/>
        <item m="1" x="66"/>
        <item m="1" x="78"/>
        <item m="1" x="90"/>
        <item m="1" x="100"/>
        <item m="1" x="109"/>
        <item m="1" x="118"/>
        <item m="1" x="128"/>
        <item m="1" x="134"/>
        <item m="1" x="144"/>
        <item m="1" x="6972"/>
        <item m="1" x="6977"/>
        <item m="1" x="6983"/>
        <item m="1" x="6990"/>
        <item m="1" x="6999"/>
        <item m="1" x="7004"/>
        <item m="1" x="7009"/>
        <item m="1" x="7015"/>
        <item m="1" x="7023"/>
        <item m="1" x="7031"/>
        <item m="1" x="6309"/>
        <item m="1" x="6314"/>
        <item m="1" x="6322"/>
        <item m="1" x="6330"/>
        <item m="1" x="6339"/>
        <item m="1" x="1391"/>
        <item m="1" x="1396"/>
        <item m="1" x="1408"/>
        <item m="1" x="494"/>
        <item m="1" x="503"/>
        <item m="1" x="529"/>
        <item m="1" x="541"/>
        <item m="1" x="548"/>
        <item m="1" x="556"/>
        <item m="1" x="569"/>
        <item m="1" x="7405"/>
        <item m="1" x="7414"/>
        <item m="1" x="7422"/>
        <item m="1" x="7430"/>
        <item m="1" x="7445"/>
        <item m="1" x="7455"/>
        <item m="1" x="7469"/>
        <item m="1" x="7478"/>
        <item m="1" x="6611"/>
        <item m="1" x="6618"/>
        <item m="1" x="6626"/>
        <item m="1" x="508"/>
        <item m="1" x="518"/>
        <item m="1" x="530"/>
        <item m="1" x="542"/>
        <item m="1" x="549"/>
        <item m="1" x="557"/>
        <item m="1" x="562"/>
        <item m="1" x="570"/>
        <item m="1" x="7415"/>
        <item m="1" x="7423"/>
        <item m="1" x="7431"/>
        <item m="1" x="7446"/>
        <item m="1" x="7456"/>
        <item m="1" x="7463"/>
        <item m="1" x="7479"/>
        <item m="1" x="6612"/>
        <item m="1" x="6619"/>
        <item m="1" x="6627"/>
        <item m="1" x="6651"/>
        <item m="1" x="6669"/>
        <item m="1" x="6677"/>
        <item m="1" x="6687"/>
        <item m="1" x="5987"/>
        <item m="1" x="6009"/>
        <item m="1" x="6015"/>
        <item m="1" x="6027"/>
        <item m="1" x="6033"/>
        <item m="1" x="6046"/>
        <item m="1" x="5417"/>
        <item m="1" x="5428"/>
        <item m="1" x="5439"/>
        <item m="1" x="5449"/>
        <item m="1" x="5460"/>
        <item m="1" x="5507"/>
        <item m="1" x="4878"/>
        <item m="1" x="4890"/>
        <item m="1" x="4925"/>
        <item m="1" x="4931"/>
        <item m="1" x="4938"/>
        <item m="1" x="4950"/>
        <item m="1" x="4298"/>
        <item m="1" x="4304"/>
        <item m="1" x="4311"/>
        <item m="1" x="4319"/>
        <item m="1" x="4324"/>
        <item m="1" x="4329"/>
        <item m="1" x="4332"/>
        <item m="1" x="4335"/>
        <item m="1" x="4342"/>
        <item m="1" x="3751"/>
        <item m="1" x="3759"/>
        <item m="1" x="3766"/>
        <item m="1" x="3779"/>
        <item m="1" x="3785"/>
        <item m="1" x="3788"/>
        <item m="1" x="3792"/>
        <item m="1" x="3795"/>
        <item m="1" x="3798"/>
        <item m="1" x="3171"/>
        <item m="1" x="3182"/>
        <item m="1" x="3183"/>
        <item m="1" x="3186"/>
        <item m="1" x="3207"/>
        <item m="1" x="3212"/>
        <item m="1" x="2533"/>
        <item m="1" x="2540"/>
        <item m="1" x="2548"/>
        <item m="1" x="2556"/>
        <item m="1" x="2561"/>
        <item m="1" x="2565"/>
        <item m="1" x="2569"/>
        <item m="1" x="2574"/>
        <item m="1" x="2582"/>
        <item m="1" x="3656"/>
        <item m="1" x="3659"/>
        <item m="1" x="3663"/>
        <item m="1" x="3669"/>
        <item m="1" x="3674"/>
        <item m="1" x="3682"/>
        <item m="1" x="3687"/>
        <item m="1" x="3696"/>
        <item m="1" x="3702"/>
        <item m="1" x="3708"/>
        <item m="1" x="3078"/>
        <item m="1" x="3083"/>
        <item m="1" x="3088"/>
        <item m="1" x="3093"/>
        <item m="1" x="3097"/>
        <item m="1" x="3102"/>
        <item m="1" x="3108"/>
        <item m="1" x="3113"/>
        <item m="1" x="3120"/>
        <item m="1" x="3125"/>
        <item m="1" x="2416"/>
        <item m="1" x="2419"/>
        <item m="1" x="2425"/>
        <item m="1" x="2433"/>
        <item m="1" x="2442"/>
        <item m="1" x="2453"/>
        <item m="1" x="2465"/>
        <item m="1" x="2477"/>
        <item m="1" x="2486"/>
        <item m="1" x="2493"/>
        <item m="1" x="1526"/>
        <item m="1" x="1539"/>
        <item m="1" x="1553"/>
        <item m="1" x="1565"/>
        <item m="1" x="1576"/>
        <item m="1" x="1580"/>
        <item m="1" x="1585"/>
        <item m="1" x="1591"/>
        <item m="1" x="1596"/>
        <item m="1" x="1599"/>
        <item m="1" x="675"/>
        <item m="1" x="681"/>
        <item m="1" x="689"/>
        <item m="1" x="700"/>
        <item m="1" x="707"/>
        <item m="1" x="713"/>
        <item m="1" x="93"/>
        <item m="1" x="102"/>
        <item m="1" x="7424"/>
        <item m="1" x="7457"/>
        <item m="1" x="7486"/>
        <item m="1" x="6620"/>
        <item m="1" x="6628"/>
        <item m="1" x="6636"/>
        <item m="1" x="6641"/>
        <item m="1" x="6670"/>
        <item m="1" x="6678"/>
        <item m="1" x="6688"/>
        <item m="1" x="5979"/>
        <item m="1" x="5988"/>
        <item m="1" x="5996"/>
        <item m="1" x="6003"/>
        <item m="1" x="6016"/>
        <item m="1" x="6034"/>
        <item m="1" x="6047"/>
        <item m="1" x="5418"/>
        <item m="1" x="5429"/>
        <item m="1" x="5440"/>
        <item m="1" x="5450"/>
        <item m="1" x="5461"/>
        <item m="1" x="5469"/>
        <item m="1" x="5485"/>
        <item m="1" x="5496"/>
        <item m="1" x="4879"/>
        <item m="1" x="4891"/>
        <item m="1" x="4903"/>
        <item m="1" x="4918"/>
        <item m="1" x="4926"/>
        <item m="1" x="4932"/>
        <item m="1" x="4939"/>
        <item m="1" x="4943"/>
        <item m="1" x="4951"/>
        <item m="1" x="4299"/>
        <item m="1" x="4305"/>
        <item m="1" x="4312"/>
        <item m="1" x="4320"/>
        <item m="1" x="4325"/>
        <item m="1" x="4330"/>
        <item m="1" x="4331"/>
        <item m="1" x="4336"/>
        <item m="1" x="4343"/>
        <item m="1" x="3752"/>
        <item m="1" x="3760"/>
        <item m="1" x="3775"/>
        <item m="1" x="3789"/>
        <item m="1" x="3172"/>
        <item m="1" x="3175"/>
        <item m="1" x="3178"/>
        <item m="1" x="3187"/>
        <item m="1" x="2525"/>
        <item m="1" x="2534"/>
        <item m="1" x="2541"/>
        <item m="1" x="2557"/>
        <item m="1" x="2562"/>
        <item m="1" x="2570"/>
        <item m="1" x="2575"/>
        <item m="1" x="2583"/>
        <item m="1" x="1700"/>
        <item m="1" x="1709"/>
        <item m="1" x="1715"/>
        <item m="1" x="1721"/>
        <item m="1" x="1726"/>
        <item m="1" x="1730"/>
        <item m="1" x="1735"/>
        <item m="1" x="1753"/>
        <item m="1" x="3079"/>
        <item m="1" x="3084"/>
        <item m="1" x="3089"/>
        <item m="1" x="3094"/>
        <item m="1" x="3103"/>
        <item m="1" x="3109"/>
        <item m="1" x="3114"/>
        <item m="1" x="3126"/>
        <item m="1" x="2417"/>
        <item m="1" x="2434"/>
        <item m="1" x="2443"/>
        <item m="1" x="2454"/>
        <item m="1" x="2466"/>
        <item m="1" x="2478"/>
        <item m="1" x="2487"/>
        <item m="1" x="2494"/>
        <item m="1" x="1527"/>
        <item m="1" x="1540"/>
        <item m="1" x="1554"/>
        <item m="1" x="1566"/>
        <item m="1" x="1581"/>
        <item m="1" x="1586"/>
        <item m="1" x="1592"/>
        <item m="1" x="1597"/>
        <item m="1" x="1600"/>
        <item m="1" x="676"/>
        <item m="1" x="682"/>
        <item m="1" x="690"/>
        <item m="1" x="701"/>
        <item m="1" x="708"/>
        <item m="1" x="714"/>
        <item m="1" x="722"/>
        <item m="1" x="733"/>
        <item m="1" x="739"/>
        <item m="1" x="745"/>
        <item m="1" x="7602"/>
        <item m="1" x="7612"/>
        <item m="1" x="7625"/>
        <item m="1" x="7636"/>
        <item m="1" x="7648"/>
        <item m="1" x="7658"/>
        <item m="1" x="7671"/>
        <item m="1" x="7685"/>
        <item m="1" x="7698"/>
        <item m="1" x="6784"/>
        <item m="1" x="6790"/>
        <item m="1" x="6798"/>
        <item m="1" x="6807"/>
        <item m="1" x="6815"/>
        <item m="1" x="6823"/>
        <item m="1" x="6829"/>
        <item m="1" x="6834"/>
        <item m="1" x="6843"/>
        <item m="1" x="6147"/>
        <item m="1" x="6155"/>
        <item m="1" x="6164"/>
        <item m="1" x="6179"/>
        <item m="1" x="6192"/>
        <item m="1" x="6204"/>
        <item m="1" x="6215"/>
        <item m="1" x="6222"/>
        <item m="1" x="6229"/>
        <item m="1" x="6236"/>
        <item m="1" x="5590"/>
        <item m="1" x="5596"/>
        <item m="1" x="5600"/>
        <item m="1" x="5605"/>
        <item m="1" x="5610"/>
        <item m="1" x="5617"/>
        <item m="1" x="5623"/>
        <item m="1" x="5631"/>
        <item m="1" x="5638"/>
        <item m="1" x="5642"/>
        <item m="1" x="5039"/>
        <item m="1" x="5046"/>
        <item m="1" x="5053"/>
        <item m="1" x="5061"/>
        <item m="1" x="5067"/>
        <item m="1" x="6980"/>
        <item m="1" x="6987"/>
        <item m="1" x="6993"/>
        <item m="1" x="7011"/>
        <item m="1" x="7018"/>
        <item m="1" x="7026"/>
        <item m="1" x="7034"/>
        <item m="1" x="6312"/>
        <item m="1" x="6317"/>
        <item m="1" x="6324"/>
        <item m="1" x="6332"/>
        <item m="1" x="6340"/>
        <item m="1" x="6344"/>
        <item m="1" x="6350"/>
        <item m="1" x="6356"/>
        <item m="1" x="6359"/>
        <item m="1" x="5708"/>
        <item m="1" x="5712"/>
        <item m="1" x="5716"/>
        <item m="1" x="5720"/>
        <item m="1" x="5723"/>
        <item m="1" x="5728"/>
        <item m="1" x="5735"/>
        <item m="1" x="5741"/>
        <item m="1" x="5745"/>
        <item m="1" x="5156"/>
        <item m="1" x="5160"/>
        <item m="1" x="5166"/>
        <item m="1" x="5173"/>
        <item m="1" x="5179"/>
        <item m="1" x="5189"/>
        <item m="1" x="5195"/>
        <item m="1" x="5200"/>
        <item m="1" x="6621"/>
        <item m="1" x="6629"/>
        <item m="1" x="6652"/>
        <item m="1" x="6658"/>
        <item m="1" x="6679"/>
        <item m="1" x="6689"/>
        <item m="1" x="5980"/>
        <item m="1" x="5989"/>
        <item m="1" x="5997"/>
        <item m="1" x="6004"/>
        <item m="1" x="6010"/>
        <item m="1" x="6017"/>
        <item m="1" x="6028"/>
        <item m="1" x="6035"/>
        <item m="1" x="6039"/>
        <item m="1" x="5419"/>
        <item m="1" x="5451"/>
        <item m="1" x="5462"/>
        <item m="1" x="5470"/>
        <item m="1" x="6318"/>
        <item m="1" x="6325"/>
        <item m="1" x="6333"/>
        <item m="1" x="6345"/>
        <item m="1" x="6357"/>
        <item m="1" x="6360"/>
        <item m="1" x="6362"/>
        <item m="1" x="5709"/>
        <item m="1" x="5713"/>
        <item m="1" x="5717"/>
        <item m="1" x="5721"/>
        <item m="1" x="5724"/>
        <item m="1" x="5729"/>
        <item m="1" x="5736"/>
        <item m="1" x="5742"/>
        <item m="1" x="5746"/>
        <item m="1" x="5157"/>
        <item m="1" x="5161"/>
        <item m="1" x="5167"/>
        <item m="1" x="5174"/>
        <item m="1" x="5180"/>
        <item m="1" x="5190"/>
        <item m="1" x="5196"/>
        <item m="1" x="5205"/>
        <item m="1" x="5209"/>
        <item m="1" x="4585"/>
        <item m="1" x="4590"/>
        <item m="1" x="4592"/>
        <item m="1" x="4597"/>
        <item m="1" x="4600"/>
        <item m="1" x="4606"/>
        <item m="1" x="4615"/>
        <item m="1" x="4620"/>
        <item m="1" x="4624"/>
        <item m="1" x="4025"/>
        <item m="1" x="4030"/>
        <item m="1" x="4034"/>
        <item m="1" x="4039"/>
        <item m="1" x="4051"/>
        <item m="1" x="4057"/>
        <item m="1" x="4061"/>
        <item m="1" x="4067"/>
        <item m="1" x="4071"/>
        <item m="1" x="3461"/>
        <item m="1" x="3462"/>
        <item m="1" x="3468"/>
        <item m="1" x="3473"/>
        <item m="1" x="3478"/>
        <item m="1" x="3483"/>
        <item m="1" x="3491"/>
        <item m="1" x="3494"/>
        <item m="1" x="3499"/>
        <item m="1" x="2876"/>
        <item m="1" x="2888"/>
        <item m="1" x="2895"/>
        <item m="1" x="2902"/>
        <item m="1" x="2909"/>
        <item m="1" x="2914"/>
        <item m="1" x="2921"/>
        <item m="1" x="2928"/>
        <item m="1" x="2932"/>
        <item m="1" x="2162"/>
        <item m="1" x="2177"/>
        <item m="1" x="2184"/>
        <item m="1" x="2193"/>
        <item m="1" x="2199"/>
        <item m="1" x="2204"/>
        <item m="1" x="2208"/>
        <item m="1" x="2214"/>
        <item m="1" x="2221"/>
        <item m="1" x="1260"/>
        <item m="1" x="1272"/>
        <item m="1" x="1281"/>
        <item m="1" x="1289"/>
        <item m="1" x="1297"/>
        <item m="1" x="1308"/>
        <item m="1" x="1315"/>
        <item m="1" x="1323"/>
        <item m="1" x="1332"/>
        <item m="1" x="1340"/>
        <item m="1" x="417"/>
        <item m="1" x="432"/>
        <item m="1" x="443"/>
        <item m="1" x="454"/>
        <item m="1" x="464"/>
        <item m="1" x="472"/>
        <item m="1" x="476"/>
        <item m="1" x="480"/>
        <item m="1" x="485"/>
        <item m="1" x="489"/>
        <item m="1" x="2004"/>
        <item m="1" x="2013"/>
        <item m="1" x="2025"/>
        <item m="1" x="2042"/>
        <item m="1" x="2054"/>
        <item m="1" x="2062"/>
        <item m="1" x="2068"/>
        <item m="1" x="5990"/>
        <item m="1" x="5998"/>
        <item m="1" x="6005"/>
        <item m="1" x="6011"/>
        <item m="1" x="6018"/>
        <item m="1" x="6029"/>
        <item m="1" x="6036"/>
        <item m="1" x="6040"/>
        <item m="1" x="6049"/>
        <item m="1" x="5420"/>
        <item m="1" x="5431"/>
        <item m="1" x="5442"/>
        <item m="1" x="5452"/>
        <item m="1" x="5471"/>
        <item m="1" x="5486"/>
        <item m="1" x="5497"/>
        <item m="1" x="5509"/>
        <item m="1" x="4880"/>
        <item m="1" x="4892"/>
        <item m="1" x="4904"/>
        <item m="1" x="4912"/>
        <item m="1" x="4919"/>
        <item m="1" x="3304"/>
        <item m="1" x="3312"/>
        <item m="1" x="3318"/>
        <item m="1" x="3323"/>
        <item m="1" x="3326"/>
        <item m="1" x="3330"/>
        <item m="1" x="3334"/>
        <item m="1" x="3341"/>
        <item m="1" x="2681"/>
        <item m="1" x="1112"/>
        <item m="1" x="1146"/>
        <item m="1" x="1174"/>
        <item m="1" x="255"/>
        <item m="1" x="264"/>
        <item m="1" x="311"/>
        <item m="1" x="684"/>
        <item m="1" x="4453"/>
        <item m="1" x="4457"/>
        <item m="1" x="4460"/>
        <item m="1" x="4465"/>
        <item m="1" x="4468"/>
        <item m="1" x="4470"/>
        <item m="1" x="4474"/>
        <item m="1" x="4480"/>
        <item m="1" x="4485"/>
        <item m="1" x="4492"/>
        <item m="1" x="265"/>
        <item m="1" x="278"/>
        <item m="1" x="312"/>
        <item m="1" x="323"/>
        <item m="1" x="331"/>
        <item m="1" x="7156"/>
        <item m="1" x="7165"/>
        <item m="1" x="7173"/>
        <item m="1" x="7181"/>
        <item m="1" x="7188"/>
        <item m="1" x="7193"/>
        <item m="1" x="7199"/>
        <item m="1" x="7206"/>
        <item m="1" x="7213"/>
        <item m="1" x="7220"/>
        <item m="1" x="6438"/>
        <item m="1" x="6444"/>
        <item m="1" x="6450"/>
        <item m="1" x="7617"/>
        <item m="1" x="7629"/>
        <item m="1" x="7641"/>
        <item m="1" x="7652"/>
        <item m="1" x="7675"/>
        <item m="1" x="7695"/>
        <item m="1" x="7701"/>
        <item m="1" x="6786"/>
        <item m="1" x="6794"/>
        <item m="1" x="6159"/>
        <item m="1" x="6170"/>
        <item m="1" x="6186"/>
        <item m="1" x="6198"/>
        <item m="1" x="6226"/>
        <item m="1" x="6233"/>
        <item m="1" x="5599"/>
        <item m="1" x="2864"/>
        <item m="1" x="2870"/>
        <item m="1" x="2875"/>
        <item m="1" x="2887"/>
        <item m="1" x="2152"/>
        <item m="1" x="411"/>
        <item m="1" x="7763"/>
        <item m="1" x="7339"/>
        <item m="1" x="7348"/>
        <item m="1" x="2593"/>
        <item m="1" x="519"/>
        <item m="1" x="543"/>
        <item m="1" x="558"/>
        <item m="1" x="7407"/>
        <item m="1" x="7416"/>
        <item m="1" x="7425"/>
        <item m="1" x="7433"/>
        <item m="1" x="7447"/>
        <item m="1" x="7458"/>
        <item m="1" x="7464"/>
        <item m="1" x="7471"/>
        <item m="1" x="71"/>
        <item m="1" x="82"/>
        <item m="1" x="94"/>
        <item m="1" x="103"/>
        <item m="1" x="111"/>
        <item m="1" x="7434"/>
        <item m="1" x="7448"/>
        <item m="1" x="7459"/>
        <item m="1" x="7465"/>
        <item m="1" x="7472"/>
        <item m="1" x="7480"/>
        <item m="1" x="7487"/>
        <item m="1" x="6614"/>
        <item m="1" x="6622"/>
        <item m="1" x="6630"/>
        <item m="1" x="6637"/>
        <item m="1" x="6642"/>
        <item m="1" x="6653"/>
        <item m="1" x="6659"/>
        <item m="1" x="6671"/>
        <item m="1" x="6680"/>
        <item m="1" x="6690"/>
        <item m="1" x="5999"/>
        <item m="1" x="6019"/>
        <item m="1" x="6030"/>
        <item m="1" x="6041"/>
        <item m="1" x="5432"/>
        <item m="1" x="5443"/>
        <item m="1" x="5453"/>
        <item m="1" x="5464"/>
        <item m="1" x="5472"/>
        <item m="1" x="5479"/>
        <item m="1" x="5487"/>
        <item m="1" x="5498"/>
        <item m="1" x="5510"/>
        <item m="1" x="4881"/>
        <item m="1" x="6623"/>
        <item m="1" x="6631"/>
        <item m="1" x="6638"/>
        <item m="1" x="6643"/>
        <item m="1" x="6654"/>
        <item m="1" x="6660"/>
        <item m="1" x="6681"/>
        <item m="1" x="6691"/>
        <item m="1" x="5981"/>
        <item m="1" x="5991"/>
        <item m="1" x="6000"/>
        <item m="1" x="6006"/>
        <item m="1" x="6012"/>
        <item m="1" x="6020"/>
        <item m="1" x="6031"/>
        <item m="1" x="6037"/>
        <item m="1" x="6042"/>
        <item m="1" x="6050"/>
        <item m="1" x="5421"/>
        <item m="1" x="5433"/>
        <item m="1" x="5444"/>
        <item m="1" x="5454"/>
        <item m="1" x="6319"/>
        <item m="1" x="6326"/>
        <item m="1" x="6334"/>
        <item m="1" x="6346"/>
        <item m="1" x="6352"/>
        <item m="1" x="6358"/>
        <item m="1" x="6361"/>
        <item m="1" x="5992"/>
        <item m="1" x="6001"/>
        <item m="1" x="6007"/>
        <item m="1" x="6021"/>
        <item m="1" x="6043"/>
        <item m="1" x="5422"/>
        <item m="1" x="5445"/>
        <item m="1" x="5455"/>
        <item m="1" x="5465"/>
        <item m="1" x="5473"/>
        <item m="1" x="5480"/>
        <item m="1" x="5488"/>
        <item m="1" x="5499"/>
        <item m="1" x="4893"/>
        <item m="1" x="4905"/>
        <item m="1" x="4913"/>
        <item m="1" x="4920"/>
        <item m="1" x="4927"/>
        <item m="1" x="4933"/>
        <item m="1" x="4940"/>
        <item m="1" x="4944"/>
        <item m="1" x="4952"/>
        <item m="1" x="4300"/>
        <item m="1" x="4306"/>
        <item m="1" x="4313"/>
        <item m="1" x="5710"/>
        <item m="1" x="5714"/>
        <item m="1" x="5722"/>
        <item m="1" x="5725"/>
        <item m="1" x="5730"/>
        <item m="1" x="5737"/>
        <item m="1" x="5747"/>
        <item m="1" x="5158"/>
        <item m="1" x="5162"/>
        <item m="1" x="5168"/>
        <item m="1" x="5175"/>
        <item m="1" x="5181"/>
        <item m="1" x="5197"/>
        <item m="1" x="5201"/>
        <item m="1" x="5206"/>
        <item m="1" x="5210"/>
        <item m="1" x="4586"/>
        <item m="1" x="4593"/>
        <item m="1" x="4598"/>
        <item m="1" x="4601"/>
        <item m="1" x="4607"/>
        <item m="1" x="4610"/>
        <item m="1" x="4616"/>
        <item m="1" x="4621"/>
        <item m="1" x="4625"/>
        <item m="1" x="4026"/>
        <item m="1" x="4031"/>
        <item m="1" x="3013"/>
        <item m="1" x="3016"/>
        <item m="1" x="3021"/>
        <item m="1" x="3026"/>
        <item m="1" x="2690"/>
        <item m="1" x="2693"/>
        <item m="1" x="2697"/>
        <item m="1" x="2706"/>
        <item m="1" x="2342"/>
        <item m="1" x="2348"/>
        <item m="1" x="1918"/>
        <item m="1" x="1930"/>
        <item m="1" x="1447"/>
        <item m="1" x="1454"/>
        <item m="1" x="1476"/>
        <item m="1" x="1481"/>
        <item m="1" x="1486"/>
        <item m="1" x="1492"/>
        <item m="1" x="1496"/>
        <item m="1" x="591"/>
        <item m="1" x="607"/>
        <item m="1" x="616"/>
        <item m="1" x="622"/>
        <item m="1" x="629"/>
        <item m="1" x="639"/>
        <item m="1" x="645"/>
        <item m="1" x="1030"/>
        <item m="1" x="1039"/>
        <item m="1" x="597"/>
        <item m="1" x="608"/>
        <item m="1" x="623"/>
        <item m="1" x="630"/>
        <item m="1" x="646"/>
        <item m="1" x="189"/>
        <item m="1" x="198"/>
        <item m="1" x="206"/>
        <item m="1" x="7520"/>
        <item m="1" x="7527"/>
        <item m="1" x="7535"/>
        <item m="1" x="7543"/>
        <item m="1" x="7549"/>
        <item m="1" x="7556"/>
        <item m="1" x="7561"/>
        <item m="1" x="7565"/>
        <item m="1" x="7568"/>
        <item m="1" x="6714"/>
        <item m="1" x="6720"/>
        <item m="1" x="6729"/>
        <item m="1" x="7076"/>
        <item m="1" x="7083"/>
        <item m="1" x="7090"/>
        <item m="1" x="7096"/>
        <item m="1" x="7107"/>
        <item m="1" x="4224"/>
        <item m="1" x="4229"/>
        <item m="1" x="4233"/>
        <item m="1" x="4238"/>
        <item m="1" x="4242"/>
        <item m="1" x="3657"/>
        <item m="1" x="3660"/>
        <item m="1" x="3664"/>
        <item m="1" x="3670"/>
        <item m="1" x="3675"/>
        <item m="1" x="3683"/>
        <item m="1" x="3688"/>
        <item m="1" x="3697"/>
        <item m="1" x="3703"/>
        <item m="1" x="3709"/>
        <item m="1" x="3080"/>
        <item m="1" x="3085"/>
        <item m="1" x="3952"/>
        <item m="1" x="3956"/>
        <item m="1" x="3958"/>
        <item m="1" x="3963"/>
        <item m="1" x="3968"/>
        <item m="1" x="3973"/>
        <item m="1" x="3980"/>
        <item m="1" x="3985"/>
        <item m="1" x="3991"/>
        <item m="1" x="3365"/>
        <item m="1" x="3373"/>
        <item m="1" x="3380"/>
        <item m="1" x="3387"/>
        <item m="1" x="3392"/>
        <item m="1" x="3399"/>
        <item m="1" x="3401"/>
        <item m="1" x="3404"/>
        <item m="1" x="3408"/>
        <item m="1" x="2770"/>
        <item m="1" x="2776"/>
        <item m="1" x="2783"/>
        <item m="1" x="2788"/>
        <item m="1" x="3661"/>
        <item m="1" x="3665"/>
        <item m="1" x="3676"/>
        <item m="1" x="3689"/>
        <item m="1" x="3710"/>
        <item m="1" x="3081"/>
        <item m="1" x="3090"/>
        <item m="1" x="3374"/>
        <item m="1" x="3381"/>
        <item m="1" x="3393"/>
        <item m="1" x="3396"/>
        <item m="1" x="3409"/>
        <item m="1" x="2771"/>
        <item m="1" x="2777"/>
        <item m="1" x="2784"/>
        <item m="1" x="2789"/>
        <item m="1" x="2794"/>
        <item m="1" x="2798"/>
        <item m="1" x="2804"/>
        <item m="1" x="3086"/>
        <item m="1" x="3091"/>
        <item m="1" x="2817"/>
        <item m="1" x="2005"/>
        <item m="1" x="2014"/>
        <item m="1" x="2026"/>
        <item m="1" x="2420"/>
        <item m="1" x="2435"/>
        <item m="1" x="2455"/>
        <item m="1" x="2467"/>
        <item m="1" x="2479"/>
        <item m="1" x="2488"/>
        <item m="1" x="2495"/>
        <item m="1" x="1528"/>
        <item m="1" x="1541"/>
        <item m="1" x="1555"/>
        <item m="1" x="1567"/>
        <item m="1" x="2015"/>
        <item m="1" x="2027"/>
        <item m="1" x="2043"/>
        <item m="1" x="2055"/>
        <item m="1" x="2063"/>
        <item m="1" x="2069"/>
        <item m="1" x="2072"/>
        <item m="1" x="2074"/>
        <item m="1" x="2076"/>
        <item m="1" x="1102"/>
        <item m="1" x="1108"/>
        <item m="1" x="1121"/>
        <item m="1" x="1131"/>
        <item m="1" x="1138"/>
        <item m="1" x="1143"/>
        <item m="1" x="1149"/>
        <item m="1" x="1157"/>
        <item m="1" x="1161"/>
        <item m="1" x="1169"/>
        <item m="1" x="252"/>
        <item m="1" x="259"/>
        <item m="1" x="273"/>
        <item m="1" x="297"/>
        <item m="1" x="307"/>
        <item m="1" x="316"/>
        <item m="1" x="321"/>
        <item m="1" x="324"/>
        <item m="1" x="328"/>
        <item m="1" x="1542"/>
        <item m="1" x="1556"/>
        <item m="1" x="1568"/>
        <item m="1" x="1577"/>
        <item m="1" x="1587"/>
        <item m="1" x="1593"/>
        <item m="1" x="1109"/>
        <item m="1" x="1122"/>
        <item m="1" x="1132"/>
        <item m="1" x="1139"/>
        <item m="1" x="1144"/>
        <item m="1" x="1150"/>
        <item m="1" x="1158"/>
        <item m="1" x="1162"/>
        <item m="1" x="1170"/>
        <item m="1" x="253"/>
        <item m="1" x="260"/>
        <item m="1" x="274"/>
        <item m="1" x="288"/>
        <item m="1" x="308"/>
        <item m="1" x="317"/>
        <item m="1" x="322"/>
        <item m="1" x="325"/>
        <item m="1" x="329"/>
        <item m="1" x="7154"/>
        <item m="1" x="7161"/>
        <item m="1" x="7169"/>
        <item m="1" x="5404"/>
        <item m="1" x="5408"/>
        <item m="1" x="5409"/>
        <item m="1" x="5412"/>
        <item m="1" x="5424"/>
        <item m="1" x="5435"/>
        <item m="1" x="5447"/>
        <item m="1" x="5456"/>
        <item m="1" x="5147"/>
        <item m="1" x="5151"/>
        <item m="1" x="5154"/>
        <item m="1" x="5159"/>
        <item m="1" x="5177"/>
        <item m="1" x="4857"/>
        <item m="1" x="4861"/>
        <item m="1" x="4864"/>
        <item m="1" x="4870"/>
        <item m="1" x="4883"/>
        <item m="1" x="4896"/>
        <item m="1" x="4908"/>
        <item m="1" x="4915"/>
        <item m="1" x="4921"/>
        <item m="1" x="4282"/>
        <item m="1" x="4287"/>
        <item m="1" x="4290"/>
        <item m="1" x="4292"/>
        <item m="1" x="4295"/>
        <item m="1" x="4301"/>
        <item m="1" x="4307"/>
        <item m="1" x="4314"/>
        <item m="1" x="4321"/>
        <item m="1" x="4326"/>
        <item m="1" x="3724"/>
        <item m="1" x="3727"/>
        <item m="1" x="3733"/>
        <item m="1" x="3738"/>
        <item m="1" x="4563"/>
        <item m="1" x="4570"/>
        <item m="1" x="4575"/>
        <item m="1" x="4580"/>
        <item m="1" x="4587"/>
        <item m="1" x="4591"/>
        <item m="1" x="4594"/>
        <item m="1" x="4602"/>
        <item m="1" x="4014"/>
        <item m="1" x="4018"/>
        <item m="1" x="4021"/>
        <item m="1" x="4024"/>
        <item m="1" x="4027"/>
        <item m="1" x="4032"/>
        <item m="1" x="4035"/>
        <item m="1" x="4040"/>
        <item m="1" x="4045"/>
        <item m="1" x="3434"/>
        <item m="1" x="3452"/>
        <item m="1" x="3459"/>
        <item m="1" x="3463"/>
        <item m="1" x="3474"/>
        <item m="1" x="2854"/>
        <item m="1" x="2866"/>
        <item m="1" x="2872"/>
        <item m="1" x="2877"/>
        <item m="1" x="2884"/>
        <item m="1" x="2889"/>
        <item m="1" x="2897"/>
        <item m="1" x="2904"/>
        <item m="1" x="2097"/>
        <item m="1" x="2109"/>
        <item m="1" x="4288"/>
        <item m="1" x="4291"/>
        <item m="1" x="4302"/>
        <item m="1" x="4308"/>
        <item m="1" x="4315"/>
        <item m="1" x="4322"/>
        <item m="1" x="4327"/>
        <item m="1" x="3725"/>
        <item m="1" x="3728"/>
        <item m="1" x="3734"/>
        <item m="1" x="3739"/>
        <item m="1" x="3745"/>
        <item m="1" x="3753"/>
        <item m="1" x="4019"/>
        <item m="1" x="3729"/>
        <item m="1" x="3735"/>
        <item m="1" x="3740"/>
        <item m="1" x="3746"/>
        <item m="1" x="3754"/>
        <item m="1" x="3761"/>
        <item m="1" x="3776"/>
        <item m="1" x="3781"/>
        <item m="1" x="3158"/>
        <item m="1" x="3184"/>
        <item m="1" x="2527"/>
        <item m="1" x="3441"/>
        <item m="1" x="3446"/>
        <item m="1" x="3453"/>
        <item m="1" x="3460"/>
        <item m="1" x="3159"/>
        <item m="1" x="3163"/>
        <item m="1" x="3166"/>
        <item m="1" x="3169"/>
        <item m="1" x="3173"/>
        <item m="1" x="3176"/>
        <item m="1" x="3180"/>
        <item m="1" x="2855"/>
        <item m="1" x="2861"/>
        <item m="1" x="2867"/>
        <item m="1" x="2873"/>
        <item m="1" x="2878"/>
        <item m="1" x="2885"/>
        <item m="1" x="6698"/>
        <item m="1" x="6700"/>
        <item m="1" x="6708"/>
        <item m="1" x="6716"/>
        <item m="1" x="6723"/>
        <item m="1" x="6741"/>
        <item m="1" x="6745"/>
        <item m="1" x="6056"/>
        <item m="1" x="6085"/>
        <item m="1" x="6091"/>
        <item m="1" x="6101"/>
        <item m="1" x="6371"/>
        <item m="1" x="6377"/>
        <item m="1" x="6380"/>
        <item m="1" x="6384"/>
        <item m="1" x="6388"/>
        <item m="1" x="6394"/>
        <item m="1" x="5757"/>
        <item m="1" x="5764"/>
        <item m="1" x="5770"/>
        <item m="1" x="5776"/>
        <item m="1" x="5779"/>
        <item m="1" x="5781"/>
        <item m="1" x="5784"/>
        <item m="1" x="5785"/>
        <item m="1" x="5788"/>
        <item m="1" x="6060"/>
        <item m="1" x="6064"/>
        <item m="1" x="6070"/>
        <item m="1" x="6077"/>
        <item m="1" x="6086"/>
        <item m="1" x="6092"/>
        <item m="1" x="6102"/>
        <item m="1" x="6109"/>
        <item m="1" x="6114"/>
        <item m="1" x="5516"/>
        <item m="1" x="5520"/>
        <item m="1" x="5527"/>
        <item m="1" x="5534"/>
        <item m="1" x="5538"/>
        <item m="1" x="5544"/>
        <item m="1" x="5548"/>
        <item m="1" x="5554"/>
        <item m="1" x="5559"/>
        <item m="1" x="4956"/>
        <item m="1" x="4959"/>
        <item m="1" x="4963"/>
        <item m="1" x="4967"/>
        <item m="1" x="4974"/>
        <item m="1" x="4980"/>
        <item m="1" x="4988"/>
        <item m="1" x="5004"/>
        <item m="1" x="5010"/>
        <item m="1" x="4349"/>
        <item m="1" x="4355"/>
        <item m="1" x="4366"/>
        <item m="1" x="4369"/>
        <item m="1" x="4373"/>
        <item m="1" x="4380"/>
        <item m="1" x="4386"/>
        <item m="1" x="4397"/>
        <item m="1" x="3802"/>
        <item m="1" x="3806"/>
        <item m="1" x="3814"/>
        <item m="1" x="3821"/>
        <item m="1" x="3827"/>
        <item m="1" x="3835"/>
        <item m="1" x="3841"/>
        <item m="1" x="3849"/>
        <item m="1" x="3219"/>
        <item m="1" x="3247"/>
        <item m="1" x="3252"/>
        <item m="1" x="3259"/>
        <item m="1" x="3262"/>
        <item m="1" x="3268"/>
        <item m="1" x="3272"/>
        <item m="1" x="2586"/>
        <item m="1" x="2590"/>
        <item m="1" x="2596"/>
        <item m="1" x="2608"/>
        <item m="1" x="2618"/>
        <item m="1" x="2626"/>
        <item m="1" x="2640"/>
        <item m="1" x="2653"/>
        <item m="1" x="1767"/>
        <item m="1" x="1782"/>
        <item m="1" x="1797"/>
        <item m="1" x="1808"/>
        <item m="1" x="1833"/>
        <item m="1" x="1843"/>
        <item m="1" x="1853"/>
        <item m="1" x="1862"/>
        <item m="1" x="1870"/>
        <item m="1" x="888"/>
        <item m="1" x="897"/>
        <item m="1" x="909"/>
        <item m="1" x="918"/>
        <item m="1" x="932"/>
        <item m="1" x="943"/>
        <item m="1" x="953"/>
        <item m="1" x="965"/>
        <item m="1" x="976"/>
        <item m="1" x="987"/>
        <item m="1" x="51"/>
        <item m="1" x="63"/>
        <item m="1" x="75"/>
        <item m="1" x="86"/>
        <item m="1" x="98"/>
        <item m="1" x="107"/>
        <item m="1" x="116"/>
        <item m="1" x="126"/>
        <item m="1" x="133"/>
        <item m="1" x="142"/>
        <item m="1" x="1605"/>
        <item m="1" x="1610"/>
        <item m="1" x="1618"/>
        <item m="1" x="5758"/>
        <item m="1" x="5765"/>
        <item m="1" x="5521"/>
        <item m="1" x="5215"/>
        <item m="1" x="5218"/>
        <item m="1" x="5222"/>
        <item m="1" x="5230"/>
        <item m="1" x="4636"/>
        <item m="1" x="4960"/>
        <item m="1" x="4964"/>
        <item m="1" x="4968"/>
        <item m="1" x="4975"/>
        <item m="1" x="4981"/>
        <item m="1" x="4989"/>
        <item m="1" x="4997"/>
        <item m="1" x="5005"/>
        <item m="1" x="5011"/>
        <item m="1" x="4350"/>
        <item m="1" x="4637"/>
        <item m="1" x="4645"/>
        <item m="1" x="4654"/>
        <item m="1" x="4658"/>
        <item m="1" x="4669"/>
        <item m="1" x="4672"/>
        <item m="1" x="4676"/>
        <item m="1" x="4679"/>
        <item m="1" x="4356"/>
        <item m="1" x="4362"/>
        <item m="1" x="4370"/>
        <item m="1" x="4381"/>
        <item m="1" x="4387"/>
        <item m="1" x="4392"/>
        <item m="1" x="4398"/>
        <item m="1" x="3810"/>
        <item m="1" x="3815"/>
        <item m="1" x="3828"/>
        <item m="1" x="3836"/>
        <item m="1" x="3842"/>
        <item m="1" x="3850"/>
        <item m="1" x="4077"/>
        <item m="1" x="4084"/>
        <item m="1" x="4091"/>
        <item m="1" x="4095"/>
        <item m="1" x="4100"/>
        <item m="1" x="4102"/>
        <item m="1" x="4104"/>
        <item m="1" x="4108"/>
        <item m="1" x="664"/>
        <item m="1" x="667"/>
        <item m="1" x="671"/>
        <item m="1" x="677"/>
        <item m="1" x="685"/>
        <item m="1" x="693"/>
        <item m="1" x="702"/>
        <item m="1" x="709"/>
        <item m="1" x="7573"/>
        <item m="1" x="7576"/>
        <item m="1" x="7582"/>
        <item m="1" x="7618"/>
        <item m="1" x="7630"/>
        <item m="1" x="7642"/>
        <item m="1" x="7653"/>
        <item m="1" x="6762"/>
        <item m="1" x="6764"/>
        <item m="1" x="6771"/>
        <item m="1" x="6774"/>
        <item m="1" x="6781"/>
        <item m="1" x="6795"/>
        <item m="1" x="7577"/>
        <item m="1" x="6457"/>
        <item m="1" x="6466"/>
        <item m="1" x="6132"/>
        <item m="1" x="6134"/>
        <item m="1" x="6138"/>
        <item m="1" x="6143"/>
        <item m="1" x="6150"/>
        <item m="1" x="6160"/>
        <item m="1" x="6171"/>
        <item m="1" x="6187"/>
        <item m="1" x="5814"/>
        <item m="1" x="5582"/>
        <item m="1" x="5585"/>
        <item m="1" x="5589"/>
        <item m="1" x="5593"/>
        <item m="1" x="5271"/>
        <item m="1" x="2500"/>
        <item m="1" x="2504"/>
        <item m="1" x="2083"/>
        <item m="1" x="2086"/>
        <item m="1" x="2089"/>
        <item m="1" x="2093"/>
        <item m="1" x="2100"/>
        <item m="1" x="2114"/>
        <item m="1" x="2129"/>
        <item m="1" x="2153"/>
        <item m="1" x="1180"/>
        <item m="1" x="1189"/>
        <item m="1" x="1195"/>
        <item m="1" x="1204"/>
        <item m="1" x="1211"/>
        <item m="1" x="1218"/>
        <item m="1" x="1228"/>
        <item m="1" x="1237"/>
        <item m="1" x="1244"/>
        <item m="1" x="1255"/>
        <item m="1" x="333"/>
        <item m="1" x="336"/>
        <item m="1" x="343"/>
        <item m="1" x="386"/>
        <item m="1" x="397"/>
        <item m="1" x="412"/>
        <item m="1" x="7225"/>
        <item m="1" x="7231"/>
        <item m="1" x="7241"/>
        <item m="1" x="7251"/>
        <item m="1" x="7257"/>
        <item m="1" x="7268"/>
        <item m="1" x="7278"/>
        <item m="1" x="7292"/>
        <item m="1" x="7303"/>
        <item m="1" x="7315"/>
        <item m="1" x="6506"/>
        <item m="1" x="6510"/>
        <item m="1" x="1611"/>
        <item m="1" x="1619"/>
        <item m="1" x="1629"/>
        <item m="1" x="1636"/>
        <item m="1" x="1648"/>
        <item m="1" x="1659"/>
        <item m="1" x="1670"/>
        <item m="1" x="1680"/>
        <item m="1" x="1690"/>
        <item m="1" x="750"/>
        <item m="1" x="754"/>
        <item m="1" x="758"/>
        <item m="1" x="763"/>
        <item m="1" x="768"/>
        <item m="1" x="778"/>
        <item m="1" x="789"/>
        <item m="1" x="1196"/>
        <item m="1" x="1205"/>
        <item m="1" x="1212"/>
        <item m="1" x="1219"/>
        <item m="1" x="1229"/>
        <item m="1" x="337"/>
        <item m="1" x="344"/>
        <item m="1" x="350"/>
        <item m="1" x="360"/>
        <item m="1" x="371"/>
        <item m="1" x="7710"/>
        <item m="1" x="7716"/>
        <item m="1" x="7724"/>
        <item m="1" x="7729"/>
        <item m="1" x="7739"/>
        <item m="1" x="7749"/>
        <item m="1" x="7232"/>
        <item m="1" x="7242"/>
        <item m="1" x="7252"/>
        <item m="1" x="7258"/>
        <item m="1" x="7269"/>
        <item m="1" x="7279"/>
        <item m="1" x="7293"/>
        <item m="1" x="6854"/>
        <item m="1" x="6858"/>
        <item m="1" x="6864"/>
        <item m="1" x="6869"/>
        <item m="1" x="6878"/>
        <item m="1" x="6887"/>
        <item m="1" x="6898"/>
        <item m="1" x="6511"/>
        <item m="1" x="6516"/>
        <item m="1" x="6520"/>
        <item m="1" x="6523"/>
        <item m="1" x="6530"/>
        <item m="1" x="3790"/>
        <item m="1" x="3794"/>
        <item m="1" x="3797"/>
        <item m="1" x="3800"/>
        <item m="1" x="3804"/>
        <item m="1" x="3813"/>
        <item m="1" x="3818"/>
        <item m="1" x="3189"/>
        <item m="1" x="3196"/>
        <item m="1" x="3203"/>
        <item m="1" x="3215"/>
        <item m="1" x="3223"/>
        <item m="1" x="3231"/>
        <item m="1" x="3240"/>
        <item m="1" x="3245"/>
        <item m="1" x="3493"/>
        <item m="1" x="3197"/>
        <item m="1" x="3204"/>
        <item m="1" x="3216"/>
        <item m="1" x="3224"/>
        <item m="1" x="3232"/>
        <item m="1" x="3241"/>
        <item m="1" x="3246"/>
        <item m="1" x="2572"/>
        <item m="1" x="2576"/>
        <item m="1" x="2584"/>
        <item m="1" x="2588"/>
        <item m="1" x="2594"/>
        <item m="1" x="2599"/>
        <item m="1" x="2605"/>
        <item m="1" x="2612"/>
        <item m="1" x="1728"/>
        <item m="1" x="1746"/>
        <item m="1" x="1757"/>
        <item m="1" x="1771"/>
        <item m="1" x="1811"/>
        <item m="1" x="1822"/>
        <item m="1" x="874"/>
        <item m="1" x="878"/>
        <item m="1" x="881"/>
        <item m="1" x="885"/>
        <item m="1" x="891"/>
        <item m="1" x="901"/>
        <item m="1" x="912"/>
        <item m="1" x="922"/>
        <item m="1" x="936"/>
        <item m="1" x="26"/>
        <item m="1" x="28"/>
        <item m="1" x="35"/>
        <item m="1" x="40"/>
        <item m="1" x="2918"/>
        <item m="1" x="2925"/>
        <item m="1" x="2939"/>
        <item m="1" x="2943"/>
        <item m="1" x="2950"/>
        <item m="1" x="2954"/>
        <item m="1" x="2958"/>
        <item m="1" x="2202"/>
        <item m="1" x="2205"/>
        <item m="1" x="2210"/>
        <item m="1" x="2217"/>
        <item m="1" x="2567"/>
        <item m="1" x="2573"/>
        <item m="1" x="2577"/>
        <item m="1" x="2585"/>
        <item m="1" x="2589"/>
        <item m="1" x="2595"/>
        <item m="1" x="2600"/>
        <item m="1" x="2606"/>
        <item m="1" x="2613"/>
        <item m="1" x="1729"/>
        <item m="1" x="1731"/>
        <item m="1" x="1738"/>
        <item m="1" x="1747"/>
        <item m="1" x="1758"/>
        <item m="1" x="1772"/>
        <item m="1" x="1786"/>
        <item m="1" x="1800"/>
        <item m="1" x="1812"/>
        <item m="1" x="1823"/>
        <item m="1" x="2206"/>
        <item m="1" x="2211"/>
        <item m="1" x="2218"/>
        <item m="1" x="2223"/>
        <item m="1" x="2231"/>
        <item m="1" x="2239"/>
        <item m="1" x="2250"/>
        <item m="1" x="2263"/>
        <item m="1" x="2274"/>
        <item m="1" x="1732"/>
        <item m="1" x="1739"/>
        <item m="1" x="1748"/>
        <item m="1" x="1759"/>
        <item m="1" x="1773"/>
        <item m="1" x="1787"/>
        <item m="1" x="1319"/>
        <item m="1" x="1336"/>
        <item m="1" x="1345"/>
        <item m="1" x="1352"/>
        <item m="1" x="1358"/>
        <item m="1" x="1364"/>
        <item m="1" x="1369"/>
        <item m="1" x="1377"/>
        <item m="1" x="475"/>
        <item m="1" x="477"/>
        <item m="1" x="483"/>
        <item m="1" x="487"/>
        <item m="1" x="501"/>
        <item m="1" x="506"/>
        <item m="1" x="515"/>
        <item m="1" x="526"/>
        <item m="1" x="7398"/>
        <item m="1" x="7404"/>
        <item m="1" x="7412"/>
        <item m="1" x="7442"/>
        <item m="1" x="6594"/>
        <item m="1" x="6596"/>
        <item m="1" x="875"/>
        <item m="1" x="478"/>
        <item m="1" x="5015"/>
        <item m="1" x="5019"/>
        <item m="1" x="5020"/>
        <item m="1" x="5021"/>
        <item m="1" x="5023"/>
        <item m="1" x="5027"/>
        <item m="1" x="5028"/>
        <item m="1" x="4404"/>
        <item m="1" x="4409"/>
        <item m="1" x="4415"/>
        <item m="1" x="4423"/>
        <item m="1" x="4431"/>
        <item m="1" x="4436"/>
        <item m="1" x="4441"/>
        <item m="1" x="4445"/>
        <item m="1" x="4449"/>
        <item m="1" x="3866"/>
        <item m="1" x="3870"/>
        <item m="1" x="3872"/>
        <item m="1" x="3876"/>
        <item m="1" x="3880"/>
        <item m="1" x="3884"/>
        <item m="1" x="3887"/>
        <item m="1" x="3891"/>
        <item m="1" x="3897"/>
        <item m="1" x="3277"/>
        <item m="1" x="3279"/>
        <item m="1" x="3285"/>
        <item m="1" x="3291"/>
        <item m="1" x="3296"/>
        <item m="1" x="3302"/>
        <item m="1" x="3309"/>
        <item m="1" x="3317"/>
        <item m="1" x="3321"/>
        <item m="1" x="2658"/>
        <item m="1" x="2662"/>
        <item m="1" x="2666"/>
        <item m="1" x="2669"/>
        <item m="1" x="2672"/>
        <item m="1" x="2678"/>
        <item m="1" x="2686"/>
        <item m="1" x="2692"/>
        <item m="1" x="2696"/>
        <item m="1" x="2702"/>
        <item m="1" x="1877"/>
        <item m="1" x="1880"/>
        <item m="1" x="1885"/>
        <item m="1" x="1893"/>
        <item m="1" x="1899"/>
        <item m="1" x="1907"/>
        <item m="1" x="1917"/>
        <item m="1" x="1928"/>
        <item m="1" x="1938"/>
        <item m="1" x="1945"/>
        <item m="1" x="996"/>
        <item m="1" x="1001"/>
        <item m="1" x="1010"/>
        <item m="1" x="1015"/>
        <item m="1" x="1019"/>
        <item m="1" x="1025"/>
        <item m="1" x="1029"/>
        <item m="1" x="1036"/>
        <item m="1" x="1044"/>
        <item m="1" x="1052"/>
        <item m="1" x="150"/>
        <item m="1" x="156"/>
        <item m="1" x="162"/>
        <item m="1" x="4684"/>
        <item m="1" x="4689"/>
        <item m="1" x="4691"/>
        <item m="1" x="4695"/>
        <item m="1" x="4701"/>
        <item m="1" x="4707"/>
        <item m="1" x="4715"/>
        <item m="1" x="4725"/>
        <item m="1" x="4116"/>
        <item m="1" x="4121"/>
        <item m="1" x="4127"/>
        <item m="1" x="4132"/>
        <item m="1" x="4134"/>
        <item m="1" x="4137"/>
        <item m="1" x="4144"/>
        <item m="1" x="4149"/>
        <item m="1" x="4151"/>
        <item m="1" x="4154"/>
        <item m="1" x="3549"/>
        <item m="1" x="3555"/>
        <item m="1" x="3557"/>
        <item m="1" x="3561"/>
        <item m="1" x="3564"/>
        <item m="1" x="3569"/>
        <item m="1" x="3573"/>
        <item m="1" x="3576"/>
        <item m="1" x="3582"/>
        <item m="1" x="3589"/>
        <item m="1" x="2981"/>
        <item m="1" x="2987"/>
        <item m="1" x="2993"/>
        <item m="1" x="3000"/>
        <item m="1" x="3006"/>
        <item m="1" x="3009"/>
        <item m="1" x="3012"/>
        <item m="1" x="3015"/>
        <item m="1" x="3020"/>
        <item m="1" x="4410"/>
        <item m="1" x="4416"/>
        <item m="1" x="4424"/>
        <item m="1" x="4432"/>
        <item m="1" x="4437"/>
        <item m="1" x="4442"/>
        <item m="1" x="4122"/>
        <item m="1" x="3867"/>
        <item m="1" x="3871"/>
        <item m="1" x="3873"/>
        <item m="1" x="3877"/>
        <item m="1" x="3881"/>
        <item m="1" x="3885"/>
        <item m="1" x="3888"/>
        <item m="1" x="3892"/>
        <item m="1" x="3898"/>
        <item m="1" x="3278"/>
        <item m="1" x="3556"/>
        <item m="1" x="3558"/>
        <item m="1" x="3565"/>
        <item m="1" x="3280"/>
        <item m="1" x="3287"/>
        <item m="1" x="3292"/>
        <item m="1" x="3297"/>
        <item m="1" x="2673"/>
        <item m="1" x="2679"/>
        <item m="1" x="2687"/>
        <item m="1" x="2994"/>
        <item m="1" x="3001"/>
        <item m="1" x="2667"/>
        <item m="1" x="2670"/>
        <item m="1" x="2674"/>
        <item m="1" x="2680"/>
        <item m="1" x="2688"/>
        <item m="1" x="2703"/>
        <item m="1" x="1881"/>
        <item m="1" x="1886"/>
        <item m="1" x="1946"/>
        <item m="1" x="1002"/>
        <item m="1" x="1011"/>
        <item m="1" x="1016"/>
        <item m="1" x="1020"/>
        <item m="1" x="157"/>
        <item m="1" x="163"/>
        <item m="1" x="203"/>
        <item m="1" x="7037"/>
        <item m="1" x="7043"/>
        <item m="1" x="7050"/>
        <item m="1" x="7056"/>
        <item m="1" x="7064"/>
        <item m="1" x="7070"/>
        <item m="1" x="7075"/>
        <item m="1" x="7087"/>
        <item m="1" x="7093"/>
        <item m="1" x="6366"/>
        <item m="1" x="2328"/>
        <item m="1" x="2332"/>
        <item m="1" x="2334"/>
        <item m="1" x="2337"/>
        <item m="1" x="2339"/>
        <item m="1" x="2341"/>
        <item m="1" x="2346"/>
        <item m="1" x="2352"/>
        <item m="1" x="2359"/>
        <item m="1" x="1410"/>
        <item m="1" x="1414"/>
        <item m="1" x="1419"/>
        <item m="1" x="1430"/>
        <item m="1" x="1437"/>
        <item m="1" x="1446"/>
        <item m="1" x="1459"/>
        <item m="1" x="1466"/>
        <item m="1" x="573"/>
        <item m="1" x="574"/>
        <item m="1" x="577"/>
        <item m="1" x="581"/>
        <item m="1" x="585"/>
        <item m="1" x="590"/>
        <item m="1" x="595"/>
        <item m="1" x="6220"/>
        <item m="1" x="5866"/>
        <item m="1" x="5870"/>
        <item m="1" x="5885"/>
        <item m="1" x="5888"/>
        <item m="1" x="5628"/>
        <item m="1" x="5073"/>
        <item m="1" x="5078"/>
        <item m="1" x="5082"/>
        <item m="1" x="5084"/>
        <item m="1" x="5092"/>
        <item m="1" x="5094"/>
        <item m="1" x="4471"/>
        <item m="1" x="4475"/>
        <item m="1" x="4487"/>
        <item m="1" x="4500"/>
        <item m="1" x="4507"/>
        <item m="1" x="4518"/>
        <item m="1" x="3932"/>
        <item m="1" x="3940"/>
        <item m="1" x="3957"/>
        <item m="1" x="3962"/>
        <item m="1" x="3345"/>
        <item m="1" x="3354"/>
        <item m="1" x="3363"/>
        <item m="1" x="3378"/>
        <item m="1" x="3384"/>
        <item m="1" x="2746"/>
        <item m="1" x="2752"/>
        <item m="1" x="2758"/>
        <item m="1" x="2764"/>
        <item m="1" x="2775"/>
        <item m="1" x="2786"/>
        <item m="1" x="2792"/>
        <item m="1" x="1971"/>
        <item m="1" x="1975"/>
        <item m="1" x="1988"/>
        <item m="1" x="2003"/>
        <item m="1" x="2052"/>
        <item m="1" x="1076"/>
        <item m="1" x="1081"/>
        <item m="1" x="1088"/>
        <item m="1" x="1120"/>
        <item m="1" x="1129"/>
        <item m="1" x="229"/>
        <item m="1" x="235"/>
        <item m="1" x="244"/>
        <item m="1" x="250"/>
        <item m="1" x="258"/>
        <item m="1" x="272"/>
        <item m="1" x="286"/>
        <item m="1" x="295"/>
        <item m="1" x="7128"/>
        <item m="1" x="7133"/>
        <item m="1" x="7140"/>
        <item m="1" x="7146"/>
        <item m="1" x="7148"/>
        <item m="1" x="7160"/>
        <item m="1" x="7168"/>
        <item m="1" x="7185"/>
        <item m="1" x="6420"/>
        <item m="1" x="6428"/>
        <item m="1" x="6431"/>
        <item m="1" x="6433"/>
        <item m="1" x="6435"/>
        <item m="1" x="6439"/>
        <item m="1" x="6445"/>
        <item m="1" x="6452"/>
        <item m="1" x="6461"/>
        <item m="1" x="112"/>
        <item m="1" x="119"/>
        <item m="1" x="130"/>
        <item m="1" x="136"/>
        <item m="1" x="147"/>
        <item m="1" x="152"/>
        <item m="1" x="158"/>
        <item m="1" x="164"/>
        <item m="1" x="167"/>
        <item m="1" x="173"/>
        <item m="1" x="7007"/>
        <item m="1" x="7012"/>
        <item m="1" x="7019"/>
        <item m="1" x="7027"/>
        <item m="1" x="7035"/>
        <item m="1" x="7039"/>
        <item m="1" x="7045"/>
        <item m="1" x="7051"/>
        <item m="1" x="7058"/>
        <item m="1" x="7066"/>
        <item m="1" x="6347"/>
        <item m="1" x="6353"/>
        <item m="1" x="4763"/>
        <item m="1" x="4767"/>
        <item m="1" x="4776"/>
        <item m="1" x="4780"/>
        <item m="1" x="4192"/>
        <item m="1" x="4201"/>
        <item m="1" x="4209"/>
        <item m="1" x="4218"/>
        <item m="1" x="4220"/>
        <item m="1" x="4221"/>
        <item m="1" x="4223"/>
        <item m="1" x="4226"/>
        <item m="1" x="3633"/>
        <item m="1" x="3638"/>
        <item m="1" x="3646"/>
        <item m="1" x="3650"/>
        <item m="1" x="3654"/>
        <item m="1" x="3658"/>
        <item m="1" x="3936"/>
        <item m="1" x="3941"/>
        <item m="1" x="3943"/>
        <item m="1" x="3955"/>
        <item m="1" x="3385"/>
        <item m="1" x="3390"/>
        <item m="1" x="2740"/>
        <item m="1" x="2747"/>
        <item m="1" x="2753"/>
        <item m="1" x="2759"/>
        <item m="1" x="2765"/>
        <item m="1" x="2769"/>
        <item m="1" x="2781"/>
        <item m="1" x="2787"/>
        <item m="1" x="2793"/>
        <item m="1" x="1976"/>
        <item m="1" x="1983"/>
        <item m="1" x="1989"/>
        <item m="1" x="1997"/>
        <item m="1" x="2012"/>
        <item m="1" x="1089"/>
        <item m="1" x="1094"/>
        <item m="1" x="3639"/>
        <item m="1" x="3651"/>
        <item m="1" x="3655"/>
        <item m="1" x="1409"/>
        <item m="1" x="1411"/>
        <item m="1" x="992"/>
        <item m="1" x="1012"/>
        <item m="1" x="571"/>
        <item m="1" x="148"/>
        <item m="1" x="153"/>
        <item m="1" x="159"/>
        <item m="1" x="168"/>
        <item m="1" x="174"/>
        <item m="1" x="181"/>
        <item m="1" x="7040"/>
        <item m="1" x="7046"/>
        <item m="1" x="7052"/>
        <item m="1" x="7059"/>
        <item m="1" x="7067"/>
        <item m="1" x="7071"/>
        <item m="1" x="7077"/>
        <item m="1" x="6692"/>
        <item m="1" x="6695"/>
        <item m="1" x="6697"/>
        <item m="1" x="6699"/>
        <item m="1" x="6702"/>
        <item m="1" x="6707"/>
        <item m="1" x="6715"/>
        <item m="1" x="6721"/>
        <item m="1" x="6730"/>
        <item m="1" x="6044"/>
        <item m="1" x="6051"/>
        <item m="1" x="6054"/>
        <item m="1" x="6058"/>
        <item m="1" x="6063"/>
        <item m="1" x="6075"/>
        <item m="1" x="6083"/>
        <item m="1" x="6099"/>
        <item m="1" x="5500"/>
        <item m="1" x="5511"/>
        <item m="1" x="5514"/>
        <item m="1" x="5518"/>
        <item m="1" x="5524"/>
        <item m="1" x="5531"/>
        <item m="1" x="5536"/>
        <item m="1" x="5542"/>
        <item m="1" x="5546"/>
        <item m="1" x="5552"/>
        <item m="1" x="4945"/>
        <item m="1" x="4953"/>
        <item m="1" x="4955"/>
        <item m="1" x="6363"/>
        <item m="1" x="6052"/>
        <item m="1" x="6055"/>
        <item m="1" x="6059"/>
        <item m="1" x="6067"/>
        <item m="1" x="6076"/>
        <item m="1" x="6084"/>
        <item m="1" x="6090"/>
        <item m="1" x="6100"/>
        <item m="1" x="5501"/>
        <item m="1" x="5512"/>
        <item m="1" x="5515"/>
        <item m="1" x="5519"/>
        <item m="1" x="5525"/>
        <item m="1" x="5532"/>
        <item m="1" x="5537"/>
        <item m="1" x="5543"/>
        <item m="1" x="5547"/>
        <item m="1" x="5553"/>
        <item m="1" x="5748"/>
        <item m="1" x="5751"/>
        <item m="1" x="5755"/>
        <item m="1" x="5762"/>
        <item m="1" x="5778"/>
        <item m="1" x="3044"/>
        <item m="1" x="3049"/>
        <item m="1" x="3054"/>
        <item m="1" x="3061"/>
        <item m="1" x="3068"/>
        <item m="1" x="3075"/>
        <item m="1" x="3082"/>
        <item m="1" x="3087"/>
        <item m="1" x="3092"/>
        <item m="1" x="2396"/>
        <item m="1" x="2401"/>
        <item m="1" x="2405"/>
        <item m="1" x="2408"/>
        <item m="1" x="2411"/>
        <item m="1" x="2412"/>
        <item m="1" x="2413"/>
        <item m="1" x="2418"/>
        <item m="1" x="2421"/>
        <item m="1" x="2426"/>
        <item m="1" x="1493"/>
        <item m="1" x="1497"/>
        <item m="1" x="1500"/>
        <item m="1" x="1503"/>
        <item m="1" x="1506"/>
        <item m="1" x="1510"/>
        <item m="1" x="1518"/>
        <item m="1" x="1529"/>
        <item m="1" x="1543"/>
        <item m="1" x="1557"/>
        <item m="1" x="653"/>
        <item m="1" x="657"/>
        <item m="1" x="660"/>
        <item m="1" x="665"/>
        <item m="1" x="666"/>
        <item m="1" x="670"/>
        <item m="1" x="2734"/>
        <item m="1" x="2742"/>
        <item m="1" x="2755"/>
        <item m="1" x="2760"/>
        <item m="1" x="2766"/>
        <item m="1" x="2772"/>
        <item m="1" x="2778"/>
        <item m="1" x="1966"/>
        <item m="1" x="1977"/>
        <item m="1" x="1985"/>
        <item m="1" x="2402"/>
        <item m="1" x="2406"/>
        <item m="1" x="1967"/>
        <item m="1" x="1978"/>
        <item m="1" x="1986"/>
        <item m="1" x="1991"/>
        <item m="1" x="1998"/>
        <item m="1" x="2006"/>
        <item m="1" x="2016"/>
        <item m="1" x="2028"/>
        <item m="1" x="1067"/>
        <item m="1" x="1071"/>
        <item m="1" x="1498"/>
        <item m="1" x="1501"/>
        <item m="1" x="1504"/>
        <item m="1" x="1507"/>
        <item m="1" x="1511"/>
        <item m="1" x="1519"/>
        <item m="1" x="1530"/>
        <item m="1" x="1544"/>
        <item m="1" x="1558"/>
        <item m="1" x="654"/>
        <item m="1" x="658"/>
        <item m="1" x="661"/>
        <item m="1" x="662"/>
        <item m="1" x="1072"/>
        <item m="1" x="1077"/>
        <item m="1" x="1082"/>
        <item m="1" x="1091"/>
        <item m="1" x="1095"/>
        <item m="1" x="1098"/>
        <item m="1" x="1103"/>
        <item m="1" x="1110"/>
        <item m="1" x="1123"/>
        <item m="1" x="222"/>
        <item m="1" x="224"/>
        <item m="1" x="227"/>
        <item m="1" x="230"/>
        <item m="1" x="236"/>
        <item m="1" x="241"/>
        <item m="1" x="245"/>
        <item m="1" x="225"/>
        <item m="1" x="228"/>
        <item m="1" x="231"/>
        <item m="1" x="237"/>
        <item m="1" x="7569"/>
        <item m="1" x="7571"/>
        <item m="1" x="7575"/>
        <item m="1" x="7581"/>
        <item m="1" x="7587"/>
        <item m="1" x="7124"/>
        <item m="1" x="7130"/>
        <item m="1" x="7135"/>
        <item m="1" x="7155"/>
        <item m="1" x="7162"/>
        <item m="1" x="7170"/>
        <item m="1" x="6412"/>
        <item m="1" x="6415"/>
        <item m="1" x="6421"/>
        <item m="1" x="6425"/>
        <item m="1" x="4257"/>
        <item m="1" x="4264"/>
        <item m="1" x="3992"/>
        <item m="1" x="3996"/>
        <item m="1" x="4005"/>
        <item m="1" x="4008"/>
        <item m="1" x="4011"/>
        <item m="1" x="4012"/>
        <item m="1" x="4015"/>
        <item m="1" x="4020"/>
        <item m="1" x="3405"/>
        <item m="1" x="3410"/>
        <item m="1" x="3417"/>
        <item m="1" x="3422"/>
        <item m="1" x="3425"/>
        <item m="1" x="3430"/>
        <item m="1" x="3435"/>
        <item m="1" x="3447"/>
        <item m="1" x="2829"/>
        <item m="1" x="2836"/>
        <item m="1" x="2847"/>
        <item m="1" x="2862"/>
        <item m="1" x="3711"/>
        <item m="1" x="3714"/>
        <item m="1" x="3411"/>
        <item m="1" x="3413"/>
        <item m="1" x="3418"/>
        <item m="1" x="3423"/>
        <item m="1" x="3426"/>
        <item m="1" x="3431"/>
        <item m="1" x="3436"/>
        <item m="1" x="3442"/>
        <item m="1" x="3448"/>
        <item m="1" x="2813"/>
        <item m="1" x="2818"/>
        <item m="1" x="2824"/>
        <item m="1" x="2837"/>
        <item m="1" x="2848"/>
        <item m="1" x="2851"/>
        <item m="1" x="2856"/>
        <item m="1" x="3127"/>
        <item m="1" x="3132"/>
        <item m="1" x="3137"/>
        <item m="1" x="3141"/>
        <item m="1" x="3147"/>
        <item m="1" x="3150"/>
        <item m="1" x="3155"/>
        <item m="1" x="3160"/>
        <item m="1" x="3164"/>
        <item m="1" x="2489"/>
        <item m="1" x="2502"/>
        <item m="1" x="2507"/>
        <item m="1" x="2819"/>
        <item m="1" x="2830"/>
        <item m="1" x="2838"/>
        <item m="1" x="2842"/>
        <item m="1" x="2496"/>
        <item m="1" x="2077"/>
        <item m="1" x="2078"/>
        <item m="1" x="2082"/>
        <item m="1" x="2085"/>
        <item m="1" x="2088"/>
        <item m="1" x="2091"/>
        <item m="1" x="2098"/>
        <item m="1" x="2110"/>
        <item m="1" x="2124"/>
        <item m="1" x="1163"/>
        <item m="1" x="1171"/>
        <item m="1" x="1601"/>
        <item m="1" x="1172"/>
        <item m="1" x="1178"/>
        <item m="1" x="1185"/>
        <item m="1" x="5466"/>
        <item m="1" x="5474"/>
        <item m="1" x="5184"/>
        <item m="1" x="5192"/>
        <item m="1" x="5199"/>
        <item m="1" x="5202"/>
        <item m="1" x="5208"/>
        <item m="1" x="5212"/>
        <item m="1" x="5213"/>
        <item m="1" x="5216"/>
        <item m="1" x="4934"/>
        <item m="1" x="4941"/>
        <item m="1" x="4603"/>
        <item m="1" x="4608"/>
        <item m="1" x="4611"/>
        <item m="1" x="4618"/>
        <item m="1" x="4622"/>
        <item m="1" x="4626"/>
        <item m="1" x="4632"/>
        <item m="1" x="4638"/>
        <item m="1" x="4646"/>
        <item m="1" x="4041"/>
        <item m="1" x="4046"/>
        <item m="1" x="4053"/>
        <item m="1" x="4058"/>
        <item m="1" x="4063"/>
        <item m="1" x="4068"/>
        <item m="1" x="4072"/>
        <item m="1" x="4074"/>
        <item m="1" x="4078"/>
        <item m="1" x="4085"/>
        <item m="1" x="3475"/>
        <item m="1" x="3479"/>
        <item m="1" x="3484"/>
        <item m="1" x="3489"/>
        <item m="1" x="3492"/>
        <item m="1" x="3495"/>
        <item m="1" x="3500"/>
        <item m="1" x="3503"/>
        <item m="1" x="3505"/>
        <item m="1" x="3510"/>
        <item m="1" x="2898"/>
        <item m="1" x="2911"/>
        <item m="1" x="2916"/>
        <item m="1" x="2924"/>
        <item m="1" x="2929"/>
        <item m="1" x="2933"/>
        <item m="1" x="2935"/>
        <item m="1" x="2940"/>
        <item m="1" x="2947"/>
        <item m="1" x="2186"/>
        <item m="1" x="2195"/>
        <item m="1" x="2200"/>
        <item m="1" x="2209"/>
        <item m="1" x="2216"/>
        <item m="1" x="2222"/>
        <item m="1" x="2227"/>
        <item m="1" x="2234"/>
        <item m="1" x="2245"/>
        <item m="1" x="1291"/>
        <item m="1" x="1298"/>
        <item m="1" x="1309"/>
        <item m="1" x="1316"/>
        <item m="1" x="1325"/>
        <item m="1" x="1334"/>
        <item m="1" x="1343"/>
        <item m="1" x="1349"/>
        <item m="1" x="1356"/>
        <item m="1" x="1362"/>
        <item m="1" x="456"/>
        <item m="1" x="465"/>
        <item m="1" x="474"/>
        <item m="1" x="4054"/>
        <item m="1" x="3782"/>
        <item m="1" x="3786"/>
        <item m="1" x="3480"/>
        <item m="1" x="3485"/>
        <item m="1" x="3490"/>
        <item m="1" x="3496"/>
        <item m="1" x="3501"/>
        <item m="1" x="3185"/>
        <item m="1" x="3188"/>
        <item m="1" x="3195"/>
        <item m="1" x="3202"/>
        <item m="1" x="3208"/>
        <item m="1" x="3214"/>
        <item m="1" x="2905"/>
        <item m="1" x="2912"/>
        <item m="1" x="2917"/>
        <item m="1" x="2934"/>
        <item m="1" x="2936"/>
        <item m="1" x="6746"/>
        <item m="1" x="6753"/>
        <item m="1" x="6757"/>
        <item m="1" x="6763"/>
        <item m="1" x="6765"/>
        <item m="1" x="6772"/>
        <item m="1" x="6110"/>
        <item m="1" x="6115"/>
        <item m="1" x="6395"/>
        <item m="1" x="6401"/>
        <item m="1" x="6410"/>
        <item m="1" x="6413"/>
        <item m="1" x="6417"/>
        <item m="1" x="6422"/>
        <item m="1" x="6426"/>
        <item m="1" x="6430"/>
        <item m="1" x="5789"/>
        <item m="1" x="5792"/>
        <item m="1" x="5798"/>
        <item m="1" x="5808"/>
        <item m="1" x="5815"/>
        <item m="1" x="5821"/>
        <item m="1" x="5233"/>
        <item m="1" x="5238"/>
        <item m="1" x="6116"/>
        <item m="1" x="6118"/>
        <item m="1" x="6120"/>
        <item m="1" x="6124"/>
        <item m="1" x="6128"/>
        <item m="1" x="6131"/>
        <item m="1" x="6133"/>
        <item m="1" x="5790"/>
        <item m="1" x="5793"/>
        <item m="1" x="5797"/>
        <item m="1" x="5799"/>
        <item m="1" x="5801"/>
        <item m="1" x="5804"/>
        <item m="1" x="5809"/>
        <item m="1" x="5816"/>
        <item m="1" x="5822"/>
        <item m="1" x="5234"/>
        <item m="1" x="5239"/>
        <item m="1" x="5252"/>
        <item m="1" x="5257"/>
        <item m="1" x="5259"/>
        <item m="1" x="5262"/>
        <item m="1" x="5264"/>
        <item m="1" x="5267"/>
        <item m="1" x="5272"/>
        <item m="1" x="4677"/>
        <item m="1" x="5253"/>
        <item m="1" x="5258"/>
        <item m="1" x="5260"/>
        <item m="1" x="5263"/>
        <item m="1" x="5012"/>
        <item m="1" x="4680"/>
        <item m="1" x="4683"/>
        <item m="1" x="4399"/>
        <item m="1" x="4401"/>
        <item m="1" x="4402"/>
        <item m="1" x="4109"/>
        <item m="1" x="4114"/>
        <item m="1" x="4118"/>
        <item m="1" x="4125"/>
        <item m="1" x="4130"/>
        <item m="1" x="4140"/>
        <item m="1" x="4147"/>
        <item m="1" x="3543"/>
        <item m="1" x="3548"/>
        <item m="1" x="3552"/>
        <item m="1" x="3562"/>
        <item m="1" x="3567"/>
        <item m="1" x="3571"/>
        <item m="1" x="2968"/>
        <item m="1" x="2973"/>
        <item m="1" x="717"/>
        <item m="1" x="725"/>
        <item m="1" x="736"/>
        <item m="1" x="747"/>
        <item m="1" x="751"/>
        <item m="1" x="755"/>
        <item m="1" x="759"/>
        <item m="1" x="7643"/>
        <item m="1" x="7654"/>
        <item m="1" x="7662"/>
        <item m="1" x="7676"/>
        <item m="1" x="7689"/>
        <item m="1" x="7696"/>
        <item m="1" x="7702"/>
        <item m="1" x="7704"/>
        <item m="1" x="7711"/>
        <item m="1" x="7717"/>
        <item m="1" x="6812"/>
        <item m="1" x="7677"/>
        <item m="1" x="7690"/>
        <item m="1" x="7697"/>
        <item m="1" x="7705"/>
        <item m="1" x="7712"/>
        <item m="1" x="7718"/>
        <item m="1" x="6820"/>
        <item m="1" x="6826"/>
        <item m="1" x="6838"/>
        <item m="1" x="6859"/>
        <item m="1" x="6188"/>
        <item m="1" x="6199"/>
        <item m="1" x="6211"/>
        <item m="1" x="6227"/>
        <item m="1" x="6234"/>
        <item m="1" x="6240"/>
        <item m="1" x="6251"/>
        <item m="1" x="5647"/>
        <item m="1" x="5660"/>
        <item m="1" x="5063"/>
        <item m="1" x="5068"/>
        <item m="1" x="7189"/>
        <item m="1" x="7221"/>
        <item m="1" x="7226"/>
        <item m="1" x="7233"/>
        <item m="1" x="6200"/>
        <item m="1" x="6212"/>
        <item m="1" x="6219"/>
        <item m="1" x="5854"/>
        <item m="1" x="5860"/>
        <item m="1" x="5865"/>
        <item m="1" x="5869"/>
        <item m="1" x="5877"/>
        <item m="1" x="5883"/>
        <item m="1" x="5886"/>
        <item m="1" x="5891"/>
        <item m="1" x="5899"/>
        <item m="1" x="5298"/>
        <item m="1" x="5614"/>
        <item m="1" x="5620"/>
        <item m="1" x="5627"/>
        <item m="1" x="5309"/>
        <item m="1" x="5316"/>
        <item m="1" x="2530"/>
        <item m="1" x="2537"/>
        <item m="1" x="2545"/>
        <item m="1" x="2554"/>
        <item m="1" x="2559"/>
        <item m="1" x="2563"/>
        <item m="1" x="2154"/>
        <item m="1" x="2166"/>
        <item m="1" x="2174"/>
        <item m="1" x="2181"/>
        <item m="1" x="2190"/>
        <item m="1" x="2203"/>
        <item m="1" x="1691"/>
        <item m="1" x="1698"/>
        <item m="1" x="1256"/>
        <item m="1" x="1267"/>
        <item m="1" x="1278"/>
        <item m="1" x="1287"/>
        <item m="1" x="831"/>
        <item m="1" x="842"/>
        <item m="1" x="426"/>
        <item m="1" x="440"/>
        <item m="1" x="452"/>
        <item m="1" x="7784"/>
        <item m="1" x="7794"/>
        <item m="1" x="6"/>
        <item m="1" x="13"/>
        <item m="1" x="19"/>
        <item m="1" x="22"/>
        <item m="1" x="27"/>
        <item m="1" x="29"/>
        <item m="1" x="36"/>
        <item m="1" x="6908"/>
        <item m="1" x="6915"/>
        <item m="1" x="6926"/>
        <item m="1" x="6933"/>
        <item m="1" x="6952"/>
        <item m="1" x="6956"/>
        <item m="1" x="6284"/>
        <item m="1" x="6291"/>
        <item m="1" x="6295"/>
        <item m="1" x="6297"/>
        <item m="1" x="6916"/>
        <item m="1" x="6554"/>
        <item m="1" x="6571"/>
        <item m="1" x="6581"/>
        <item m="1" x="6587"/>
        <item m="1" x="6592"/>
        <item m="1" x="6595"/>
        <item m="1" x="6597"/>
        <item m="1" x="6602"/>
        <item m="1" x="5940"/>
        <item m="1" x="5947"/>
        <item m="1" x="5952"/>
        <item m="1" x="5955"/>
        <item m="1" x="5959"/>
        <item m="1" x="5962"/>
        <item m="1" x="5966"/>
        <item m="1" x="5365"/>
        <item m="1" x="5372"/>
        <item m="1" x="5376"/>
        <item m="1" x="5386"/>
        <item m="1" x="5394"/>
        <item m="1" x="5400"/>
        <item m="1" x="5402"/>
        <item m="1" x="5403"/>
        <item m="1" x="5407"/>
        <item m="1" x="4829"/>
        <item m="1" x="4837"/>
        <item m="1" x="4840"/>
        <item m="1" x="4860"/>
        <item m="1" x="4241"/>
        <item m="1" x="4246"/>
        <item m="1" x="4251"/>
        <item m="1" x="4268"/>
        <item m="1" x="4275"/>
        <item m="1" x="4280"/>
        <item m="1" x="4286"/>
        <item m="1" x="4289"/>
        <item m="1" x="3701"/>
        <item m="1" x="3707"/>
        <item m="1" x="3713"/>
        <item m="1" x="3825"/>
        <item m="1" x="3832"/>
        <item m="1" x="3523"/>
        <item m="1" x="3529"/>
        <item m="1" x="3534"/>
        <item m="1" x="3536"/>
        <item m="1" x="3540"/>
        <item m="1" x="3546"/>
        <item m="1" x="3251"/>
        <item m="1" x="2959"/>
        <item m="1" x="2982"/>
        <item m="1" x="2988"/>
        <item m="1" x="2995"/>
        <item m="1" x="2264"/>
        <item m="1" x="2275"/>
        <item m="1" x="2288"/>
        <item m="1" x="2622"/>
        <item m="1" x="2659"/>
        <item m="1" x="2663"/>
        <item m="1" x="2668"/>
        <item m="1" x="1813"/>
        <item m="1" x="2276"/>
        <item m="1" x="2304"/>
        <item m="1" x="2310"/>
        <item m="1" x="2318"/>
        <item m="1" x="2322"/>
        <item m="1" x="2329"/>
        <item m="1" x="2333"/>
        <item m="1" x="1370"/>
        <item m="1" x="1824"/>
        <item m="1" x="1836"/>
        <item m="1" x="1857"/>
        <item m="1" x="1865"/>
        <item m="1" x="1878"/>
        <item m="1" x="1887"/>
        <item m="1" x="947"/>
        <item m="1" x="958"/>
        <item m="1" x="968"/>
        <item m="1" x="979"/>
        <item m="1" x="1390"/>
        <item m="1" x="1407"/>
        <item m="1" x="937"/>
        <item m="1" x="948"/>
        <item m="1" x="959"/>
        <item m="1" x="969"/>
        <item m="1" x="527"/>
        <item m="1" x="5037"/>
        <item m="1" x="5042"/>
        <item m="1" x="5079"/>
        <item m="1" x="4446"/>
        <item m="1" x="4450"/>
        <item m="1" x="4455"/>
        <item m="1" x="4458"/>
        <item m="1" x="4466"/>
        <item m="1" x="4469"/>
        <item m="1" x="4476"/>
        <item m="1" x="4482"/>
        <item m="1" x="3893"/>
        <item m="1" x="3904"/>
        <item m="1" x="4726"/>
        <item m="1" x="4735"/>
        <item m="1" x="4740"/>
        <item m="1" x="4746"/>
        <item m="1" x="4753"/>
        <item m="1" x="4756"/>
        <item m="1" x="4759"/>
        <item m="1" x="4764"/>
        <item m="1" x="4768"/>
        <item m="1" x="4152"/>
        <item m="1" x="4155"/>
        <item m="1" x="4162"/>
        <item m="1" x="4167"/>
        <item m="1" x="4172"/>
        <item m="1" x="4177"/>
        <item m="1" x="4182"/>
        <item m="1" x="4187"/>
        <item m="1" x="4193"/>
        <item m="1" x="4202"/>
        <item m="1" x="3583"/>
        <item m="1" x="3590"/>
        <item m="1" x="4451"/>
        <item m="1" x="4163"/>
        <item m="1" x="4168"/>
        <item m="1" x="3899"/>
        <item m="1" x="3905"/>
        <item m="1" x="3598"/>
        <item m="1" x="3606"/>
        <item m="1" x="3614"/>
        <item m="1" x="3619"/>
        <item m="1" x="3628"/>
        <item m="1" x="3634"/>
        <item m="1" x="3322"/>
        <item m="1" x="3325"/>
        <item m="1" x="3333"/>
        <item m="1" x="3337"/>
        <item m="1" x="3025"/>
        <item m="1" x="3028"/>
        <item m="1" x="3037"/>
        <item m="1" x="2705"/>
        <item m="1" x="2709"/>
        <item m="1" x="2717"/>
        <item m="1" x="2724"/>
        <item m="1" x="2732"/>
        <item m="1" x="2360"/>
        <item m="1" x="6255"/>
        <item m="1" x="6263"/>
        <item m="1" x="6268"/>
        <item m="1" x="6273"/>
        <item m="1" x="5911"/>
        <item m="1" x="5351"/>
        <item m="1" x="5354"/>
        <item m="1" x="5359"/>
        <item m="1" x="5361"/>
        <item m="1" x="5099"/>
        <item m="1" x="5105"/>
        <item m="1" x="5112"/>
        <item m="1" x="5120"/>
        <item m="1" x="5130"/>
        <item m="1" x="4797"/>
        <item m="1" x="4809"/>
        <item m="1" x="4818"/>
        <item m="1" x="4520"/>
        <item m="1" x="4532"/>
        <item m="1" x="3673"/>
        <item m="1" x="1455"/>
        <item m="1" x="1040"/>
        <item m="1" x="1046"/>
        <item m="1" x="609"/>
        <item m="1" x="617"/>
        <item m="1" x="7528"/>
        <item m="1" x="7536"/>
        <item m="1" x="7544"/>
        <item m="1" x="7550"/>
        <item m="1" x="7557"/>
        <item m="1" x="7562"/>
        <item m="1" x="7084"/>
        <item m="1" x="6731"/>
        <item m="1" x="6739"/>
        <item m="1" x="6382"/>
        <item m="1" x="6387"/>
        <item m="1" x="6393"/>
        <item m="1" x="6400"/>
        <item m="1" x="6108"/>
        <item m="1" x="5783"/>
        <item m="1" x="5787"/>
        <item m="1" x="5791"/>
        <item m="1" x="5796"/>
        <item m="1" x="3095"/>
        <item m="1" x="3104"/>
        <item m="1" x="3110"/>
        <item m="1" x="3115"/>
        <item m="1" x="3122"/>
        <item m="1" x="3128"/>
        <item m="1" x="3133"/>
        <item m="1" x="2422"/>
        <item m="1" x="2427"/>
        <item m="1" x="2436"/>
        <item m="1" x="2444"/>
        <item m="1" x="2785"/>
        <item m="1" x="2790"/>
        <item m="1" x="2795"/>
        <item m="1" x="2799"/>
        <item m="1" x="2428"/>
        <item m="1" x="2437"/>
        <item m="1" x="2029"/>
        <item m="1" x="1569"/>
        <item m="1" x="1124"/>
        <item m="1" x="1133"/>
        <item m="1" x="691"/>
        <item m="1" x="275"/>
        <item m="1" x="266"/>
        <item m="1" x="2979"/>
        <item m="1" x="2984"/>
        <item m="1" x="2991"/>
        <item m="1" x="3004"/>
        <item m="1" x="3007"/>
        <item m="1" x="3010"/>
        <item m="1" x="2649"/>
        <item m="1" x="2312"/>
        <item m="1" x="2320"/>
        <item m="1" x="2325"/>
        <item m="1" x="1868"/>
        <item m="1" x="1875"/>
        <item m="1" x="1879"/>
        <item m="1" x="1882"/>
        <item m="1" x="1890"/>
        <item m="1" x="1404"/>
        <item m="1" x="1413"/>
        <item m="1" x="1417"/>
        <item m="1" x="984"/>
        <item m="1" x="994"/>
        <item m="1" x="999"/>
        <item m="1" x="1007"/>
        <item m="1" x="565"/>
        <item m="1" x="139"/>
        <item m="1" x="149"/>
        <item m="1" x="155"/>
        <item m="1" x="165"/>
        <item m="1" x="171"/>
        <item m="1" x="177"/>
        <item m="1" x="185"/>
        <item m="1" x="193"/>
        <item m="1" x="7022"/>
        <item m="1" x="7483"/>
        <item m="1" x="7488"/>
        <item m="1" x="4180"/>
        <item m="1" x="3923"/>
        <item m="1" x="3935"/>
        <item m="1" x="3938"/>
        <item m="1" x="3954"/>
        <item m="1" x="3338"/>
        <item m="1" x="3352"/>
        <item m="1" x="3360"/>
        <item m="1" x="3368"/>
        <item m="1" x="3376"/>
        <item m="1" x="2720"/>
        <item m="1" x="2728"/>
        <item m="1" x="2736"/>
        <item m="1" x="2744"/>
        <item m="1" x="2750"/>
        <item m="1" x="2756"/>
        <item m="1" x="2761"/>
        <item m="1" x="2767"/>
        <item m="1" x="2773"/>
        <item m="1" x="2779"/>
        <item m="1" x="1960"/>
        <item m="1" x="3339"/>
        <item m="1" x="3342"/>
        <item m="1" x="3344"/>
        <item m="1" x="3348"/>
        <item m="1" x="3353"/>
        <item m="1" x="3356"/>
        <item m="1" x="3361"/>
        <item m="1" x="3369"/>
        <item m="1" x="3377"/>
        <item m="1" x="2721"/>
        <item m="1" x="2729"/>
        <item m="1" x="2737"/>
        <item m="1" x="2745"/>
        <item m="1" x="2751"/>
        <item m="1" x="2757"/>
        <item m="1" x="2762"/>
        <item m="1" x="2768"/>
        <item m="1" x="2774"/>
        <item m="1" x="2780"/>
        <item m="1" x="1961"/>
        <item m="1" x="1963"/>
        <item m="1" x="1969"/>
        <item m="1" x="1972"/>
        <item m="1" x="1979"/>
        <item m="1" x="1987"/>
        <item m="1" x="1994"/>
        <item m="1" x="3041"/>
        <item m="1" x="3045"/>
        <item m="1" x="3051"/>
        <item m="1" x="3057"/>
        <item m="1" x="2730"/>
        <item m="1" x="2738"/>
        <item m="1" x="2397"/>
        <item m="1" x="1964"/>
        <item m="1" x="1973"/>
        <item m="1" x="1494"/>
        <item m="1" x="1502"/>
        <item m="1" x="5671"/>
        <item m="1" x="5123"/>
        <item m="1" x="5132"/>
        <item m="1" x="5135"/>
        <item m="1" x="4248"/>
        <item m="1" x="4252"/>
        <item m="1" x="4260"/>
        <item m="1" x="3987"/>
        <item m="1" x="3704"/>
        <item m="1" x="3406"/>
        <item m="1" x="3123"/>
        <item m="1" x="3129"/>
        <item m="1" x="3134"/>
        <item m="1" x="6996"/>
        <item m="1" x="7003"/>
        <item m="1" x="2650"/>
        <item m="1" x="2081"/>
        <item m="1" x="2084"/>
        <item m="1" x="2105"/>
        <item m="1" x="2120"/>
        <item m="1" x="1176"/>
        <item m="1" x="1182"/>
        <item m="1" x="1200"/>
        <item m="1" x="1207"/>
        <item m="1" x="375"/>
        <item m="1" x="7207"/>
        <item m="1" x="7216"/>
        <item m="1" x="7223"/>
        <item m="1" x="7246"/>
        <item m="1" x="7284"/>
        <item m="1" x="6495"/>
        <item m="1" x="6501"/>
        <item m="1" x="6507"/>
        <item m="1" x="6514"/>
        <item m="1" x="6518"/>
        <item m="1" x="5872"/>
        <item m="1" x="5878"/>
        <item m="1" x="2313"/>
        <item m="1" x="2321"/>
        <item m="1" x="2326"/>
        <item m="1" x="6536"/>
        <item m="1" x="3136"/>
        <item m="1" x="3140"/>
        <item m="1" x="3230"/>
        <item m="1" x="3239"/>
        <item m="1" x="4505"/>
        <item m="1" x="3142"/>
        <item m="1" x="1003"/>
        <item m="1" x="499"/>
        <item m="1" x="6766"/>
        <item m="1" x="3577"/>
        <item x="0"/>
        <item m="1" x="2671"/>
        <item m="1" x="834"/>
        <item m="1" x="2602"/>
        <item m="1" x="4512"/>
        <item m="1" x="145"/>
        <item m="1" x="5595"/>
        <item m="1" x="1701"/>
        <item m="1" x="6141"/>
        <item m="1" x="6256"/>
        <item m="1" x="5236"/>
        <item m="1" x="5691"/>
        <item m="1" x="1049"/>
        <item m="1" x="3213"/>
        <item m="1" x="399"/>
        <item m="1" x="5396"/>
        <item m="1" x="7281"/>
        <item m="1" x="5318"/>
        <item m="1" x="5108"/>
        <item m="1" x="3805"/>
        <item m="1" x="5223"/>
        <item m="1" x="4605"/>
        <item m="1" x="3737"/>
        <item m="1" x="239"/>
        <item m="1" x="5880"/>
        <item m="1" x="6693"/>
        <item m="1" x="2698"/>
        <item m="1" x="4723"/>
        <item m="1" x="7350"/>
        <item m="1" x="4779"/>
        <item m="1" x="7523"/>
        <item m="1" x="4917"/>
        <item m="1" x="6112"/>
        <item m="1" x="6821"/>
        <item m="1" x="4247"/>
        <item m="1" x="572"/>
        <item m="1" x="334"/>
        <item m="1" x="5945"/>
        <item m="1" x="1384"/>
        <item m="1" x="6828"/>
        <item m="1" x="6644"/>
        <item m="1" x="4216"/>
        <item m="1" x="4237"/>
        <item m="1" x="4906"/>
        <item m="1" x="6416"/>
        <item t="default"/>
      </items>
    </pivotField>
    <pivotField dataField="1" showAll="0"/>
    <pivotField axis="axisRow" numFmtId="14" showAll="0" sortType="ascending">
      <items count="369">
        <item x="0"/>
        <item x="367"/>
        <item x="92"/>
        <item x="214"/>
        <item x="336"/>
        <item x="1"/>
        <item x="32"/>
        <item x="183"/>
        <item x="153"/>
        <item x="61"/>
        <item x="122"/>
        <item x="306"/>
        <item x="275"/>
        <item x="245"/>
        <item x="93"/>
        <item x="215"/>
        <item x="337"/>
        <item x="2"/>
        <item x="33"/>
        <item x="184"/>
        <item x="154"/>
        <item x="62"/>
        <item x="123"/>
        <item x="307"/>
        <item x="276"/>
        <item x="246"/>
        <item x="94"/>
        <item x="216"/>
        <item x="338"/>
        <item x="3"/>
        <item x="34"/>
        <item x="185"/>
        <item x="155"/>
        <item x="63"/>
        <item x="124"/>
        <item x="308"/>
        <item x="277"/>
        <item x="247"/>
        <item x="95"/>
        <item x="217"/>
        <item x="339"/>
        <item x="4"/>
        <item x="35"/>
        <item x="186"/>
        <item x="156"/>
        <item x="64"/>
        <item x="125"/>
        <item x="309"/>
        <item x="278"/>
        <item x="248"/>
        <item x="96"/>
        <item x="218"/>
        <item x="340"/>
        <item x="5"/>
        <item x="36"/>
        <item x="187"/>
        <item x="157"/>
        <item x="65"/>
        <item x="126"/>
        <item x="310"/>
        <item x="279"/>
        <item x="249"/>
        <item x="97"/>
        <item x="219"/>
        <item x="341"/>
        <item x="6"/>
        <item x="37"/>
        <item x="188"/>
        <item x="158"/>
        <item x="66"/>
        <item x="127"/>
        <item x="311"/>
        <item x="280"/>
        <item x="250"/>
        <item x="98"/>
        <item x="220"/>
        <item x="342"/>
        <item x="7"/>
        <item x="38"/>
        <item x="189"/>
        <item x="159"/>
        <item x="67"/>
        <item x="128"/>
        <item x="312"/>
        <item x="281"/>
        <item x="251"/>
        <item x="99"/>
        <item x="221"/>
        <item x="343"/>
        <item x="8"/>
        <item x="39"/>
        <item x="190"/>
        <item x="160"/>
        <item x="68"/>
        <item x="129"/>
        <item x="313"/>
        <item x="282"/>
        <item x="252"/>
        <item x="100"/>
        <item x="222"/>
        <item x="344"/>
        <item x="9"/>
        <item x="40"/>
        <item x="191"/>
        <item x="161"/>
        <item x="69"/>
        <item x="130"/>
        <item x="314"/>
        <item x="283"/>
        <item x="253"/>
        <item x="101"/>
        <item x="223"/>
        <item x="345"/>
        <item x="10"/>
        <item x="41"/>
        <item x="192"/>
        <item x="162"/>
        <item x="70"/>
        <item x="131"/>
        <item x="315"/>
        <item x="284"/>
        <item x="254"/>
        <item x="102"/>
        <item x="224"/>
        <item x="346"/>
        <item x="11"/>
        <item x="42"/>
        <item x="193"/>
        <item x="163"/>
        <item x="71"/>
        <item x="132"/>
        <item x="316"/>
        <item x="285"/>
        <item x="255"/>
        <item x="103"/>
        <item x="225"/>
        <item x="347"/>
        <item x="12"/>
        <item x="43"/>
        <item x="194"/>
        <item x="164"/>
        <item x="72"/>
        <item x="133"/>
        <item x="317"/>
        <item x="286"/>
        <item x="256"/>
        <item x="104"/>
        <item x="226"/>
        <item x="348"/>
        <item x="13"/>
        <item x="44"/>
        <item x="195"/>
        <item x="165"/>
        <item x="73"/>
        <item x="134"/>
        <item x="318"/>
        <item x="287"/>
        <item x="257"/>
        <item x="105"/>
        <item x="227"/>
        <item x="349"/>
        <item x="14"/>
        <item x="45"/>
        <item x="196"/>
        <item x="166"/>
        <item x="74"/>
        <item x="135"/>
        <item x="319"/>
        <item x="288"/>
        <item x="258"/>
        <item x="106"/>
        <item x="228"/>
        <item x="350"/>
        <item x="15"/>
        <item x="46"/>
        <item x="197"/>
        <item x="167"/>
        <item x="75"/>
        <item x="136"/>
        <item x="320"/>
        <item x="289"/>
        <item x="259"/>
        <item x="107"/>
        <item x="229"/>
        <item x="351"/>
        <item x="16"/>
        <item x="47"/>
        <item x="198"/>
        <item x="168"/>
        <item x="76"/>
        <item x="137"/>
        <item x="321"/>
        <item x="290"/>
        <item x="260"/>
        <item x="108"/>
        <item x="230"/>
        <item x="352"/>
        <item x="17"/>
        <item x="48"/>
        <item x="199"/>
        <item x="169"/>
        <item x="77"/>
        <item x="138"/>
        <item x="322"/>
        <item x="291"/>
        <item x="261"/>
        <item x="109"/>
        <item x="231"/>
        <item x="353"/>
        <item x="18"/>
        <item x="49"/>
        <item x="200"/>
        <item x="170"/>
        <item x="78"/>
        <item x="139"/>
        <item x="323"/>
        <item x="292"/>
        <item x="262"/>
        <item x="110"/>
        <item x="232"/>
        <item x="354"/>
        <item x="19"/>
        <item x="50"/>
        <item x="201"/>
        <item x="171"/>
        <item x="79"/>
        <item x="140"/>
        <item x="324"/>
        <item x="293"/>
        <item x="263"/>
        <item x="111"/>
        <item x="233"/>
        <item x="355"/>
        <item x="20"/>
        <item x="51"/>
        <item x="202"/>
        <item x="172"/>
        <item x="80"/>
        <item x="141"/>
        <item x="325"/>
        <item x="294"/>
        <item x="264"/>
        <item x="112"/>
        <item x="234"/>
        <item x="356"/>
        <item x="21"/>
        <item x="52"/>
        <item x="203"/>
        <item x="173"/>
        <item x="81"/>
        <item x="142"/>
        <item x="326"/>
        <item x="295"/>
        <item x="265"/>
        <item x="113"/>
        <item x="235"/>
        <item x="357"/>
        <item x="22"/>
        <item x="53"/>
        <item x="204"/>
        <item x="174"/>
        <item x="82"/>
        <item x="143"/>
        <item x="327"/>
        <item x="296"/>
        <item x="266"/>
        <item x="114"/>
        <item x="236"/>
        <item x="358"/>
        <item x="23"/>
        <item x="54"/>
        <item x="205"/>
        <item x="175"/>
        <item x="83"/>
        <item x="144"/>
        <item x="328"/>
        <item x="297"/>
        <item x="267"/>
        <item x="115"/>
        <item x="237"/>
        <item x="359"/>
        <item x="24"/>
        <item x="55"/>
        <item x="206"/>
        <item x="176"/>
        <item x="84"/>
        <item x="145"/>
        <item x="329"/>
        <item x="298"/>
        <item x="268"/>
        <item x="116"/>
        <item x="238"/>
        <item x="360"/>
        <item x="25"/>
        <item x="56"/>
        <item x="207"/>
        <item x="177"/>
        <item x="85"/>
        <item x="146"/>
        <item x="330"/>
        <item x="299"/>
        <item x="269"/>
        <item x="117"/>
        <item x="239"/>
        <item x="361"/>
        <item x="26"/>
        <item x="57"/>
        <item x="208"/>
        <item x="178"/>
        <item x="86"/>
        <item x="147"/>
        <item x="331"/>
        <item x="300"/>
        <item x="270"/>
        <item x="118"/>
        <item x="240"/>
        <item x="362"/>
        <item x="27"/>
        <item x="58"/>
        <item x="209"/>
        <item x="179"/>
        <item x="87"/>
        <item x="148"/>
        <item x="332"/>
        <item x="301"/>
        <item x="271"/>
        <item x="119"/>
        <item x="241"/>
        <item x="363"/>
        <item x="28"/>
        <item x="59"/>
        <item x="210"/>
        <item x="180"/>
        <item x="88"/>
        <item x="149"/>
        <item x="333"/>
        <item x="302"/>
        <item x="272"/>
        <item x="120"/>
        <item x="242"/>
        <item x="364"/>
        <item x="29"/>
        <item x="60"/>
        <item x="211"/>
        <item x="181"/>
        <item x="89"/>
        <item x="150"/>
        <item x="334"/>
        <item x="303"/>
        <item x="273"/>
        <item x="121"/>
        <item x="243"/>
        <item x="365"/>
        <item x="30"/>
        <item x="212"/>
        <item x="182"/>
        <item x="90"/>
        <item x="151"/>
        <item x="335"/>
        <item x="304"/>
        <item x="274"/>
        <item x="244"/>
        <item x="366"/>
        <item x="31"/>
        <item x="213"/>
        <item x="91"/>
        <item x="152"/>
        <item x="305"/>
        <item t="default"/>
      </items>
    </pivotField>
    <pivotField dataField="1" showAll="0"/>
    <pivotField dataField="1" showAll="0" defaultSubtotal="0"/>
    <pivotField dataField="1" showAll="0"/>
    <pivotField dataField="1" showAll="0"/>
    <pivotField dataField="1" showAll="0" defaultSubtotal="0"/>
    <pivotField dataField="1" showAll="0" defaultSubtotal="0"/>
    <pivotField showAll="0" defaultSubtotal="0"/>
    <pivotField axis="axisRow" showAll="0" defaultSubtotal="0">
      <items count="14">
        <item x="0"/>
        <item x="1"/>
        <item x="2"/>
        <item x="3"/>
        <item x="4"/>
        <item x="5"/>
        <item x="6"/>
        <item x="7"/>
        <item x="8"/>
        <item x="9"/>
        <item x="10"/>
        <item x="11"/>
        <item x="12"/>
        <item x="13"/>
      </items>
    </pivotField>
    <pivotField axis="axisRow" showAll="0" sortType="ascending" defaultSubtotal="0">
      <items count="3">
        <item x="0"/>
        <item x="2"/>
        <item x="1"/>
      </items>
    </pivotField>
  </pivotFields>
  <rowFields count="3">
    <field x="12"/>
    <field x="11"/>
    <field x="3"/>
  </rowFields>
  <rowItems count="50">
    <i>
      <x v="2"/>
    </i>
    <i r="1">
      <x v="3"/>
    </i>
    <i r="2">
      <x v="117"/>
    </i>
    <i r="2">
      <x v="129"/>
    </i>
    <i r="2">
      <x v="141"/>
    </i>
    <i r="2">
      <x v="153"/>
    </i>
    <i r="2">
      <x v="165"/>
    </i>
    <i r="2">
      <x v="177"/>
    </i>
    <i r="2">
      <x v="189"/>
    </i>
    <i r="2">
      <x v="201"/>
    </i>
    <i r="2">
      <x v="213"/>
    </i>
    <i r="2">
      <x v="225"/>
    </i>
    <i r="2">
      <x v="237"/>
    </i>
    <i r="2">
      <x v="249"/>
    </i>
    <i r="2">
      <x v="273"/>
    </i>
    <i r="2">
      <x v="285"/>
    </i>
    <i r="2">
      <x v="297"/>
    </i>
    <i r="2">
      <x v="309"/>
    </i>
    <i r="2">
      <x v="321"/>
    </i>
    <i r="2">
      <x v="333"/>
    </i>
    <i r="2">
      <x v="345"/>
    </i>
    <i r="2">
      <x v="356"/>
    </i>
    <i r="1">
      <x v="4"/>
    </i>
    <i r="2">
      <x v="14"/>
    </i>
    <i r="2">
      <x v="26"/>
    </i>
    <i r="2">
      <x v="38"/>
    </i>
    <i r="2">
      <x v="50"/>
    </i>
    <i r="2">
      <x v="62"/>
    </i>
    <i r="2">
      <x v="98"/>
    </i>
    <i r="2">
      <x v="110"/>
    </i>
    <i r="2">
      <x v="122"/>
    </i>
    <i r="2">
      <x v="134"/>
    </i>
    <i r="2">
      <x v="146"/>
    </i>
    <i r="2">
      <x v="194"/>
    </i>
    <i r="2">
      <x v="206"/>
    </i>
    <i r="2">
      <x v="218"/>
    </i>
    <i r="2">
      <x v="230"/>
    </i>
    <i r="2">
      <x v="242"/>
    </i>
    <i r="2">
      <x v="278"/>
    </i>
    <i r="2">
      <x v="290"/>
    </i>
    <i r="2">
      <x v="302"/>
    </i>
    <i r="2">
      <x v="350"/>
    </i>
    <i r="1">
      <x v="5"/>
    </i>
    <i r="2">
      <x v="10"/>
    </i>
    <i r="2">
      <x v="22"/>
    </i>
    <i r="2">
      <x v="46"/>
    </i>
    <i r="2">
      <x v="58"/>
    </i>
    <i r="2">
      <x v="82"/>
    </i>
    <i r="2">
      <x v="106"/>
    </i>
    <i t="grand">
      <x/>
    </i>
  </rowItems>
  <colFields count="1">
    <field x="-2"/>
  </colFields>
  <colItems count="7">
    <i>
      <x/>
    </i>
    <i i="1">
      <x v="1"/>
    </i>
    <i i="2">
      <x v="2"/>
    </i>
    <i i="3">
      <x v="3"/>
    </i>
    <i i="4">
      <x v="4"/>
    </i>
    <i i="5">
      <x v="5"/>
    </i>
    <i i="6">
      <x v="6"/>
    </i>
  </colItems>
  <pageFields count="2">
    <pageField fld="0" item="3" hier="-1"/>
    <pageField fld="1" item="7751" hier="-1"/>
  </pageFields>
  <dataFields count="7">
    <dataField name="Buffer " fld="2" baseField="0" baseItem="0"/>
    <dataField name="Amarillo" fld="6" baseField="0" baseItem="0"/>
    <dataField name="Rojo" fld="7" baseField="0" baseItem="0"/>
    <dataField name="Salidas " fld="9" baseField="0" baseItem="0"/>
    <dataField name="Entradas " fld="8" baseField="0" baseItem="0"/>
    <dataField name="Proyectado" fld="5" baseField="0" baseItem="0"/>
    <dataField name="Físico" fld="4" baseField="0" baseItem="0"/>
  </dataFields>
  <formats count="1">
    <format dxfId="18">
      <pivotArea type="all" dataOnly="0" outline="0" fieldPosition="0"/>
    </format>
  </formats>
  <chartFormats count="74">
    <chartFormat chart="0" format="168" series="1">
      <pivotArea type="data" outline="0" fieldPosition="0">
        <references count="1">
          <reference field="4294967294" count="1" selected="0">
            <x v="0"/>
          </reference>
        </references>
      </pivotArea>
    </chartFormat>
    <chartFormat chart="0" format="171" series="1">
      <pivotArea type="data" outline="0" fieldPosition="0">
        <references count="1">
          <reference field="4294967294" count="1" selected="0">
            <x v="6"/>
          </reference>
        </references>
      </pivotArea>
    </chartFormat>
    <chartFormat chart="0" format="172" series="1">
      <pivotArea type="data" outline="0" fieldPosition="0">
        <references count="1">
          <reference field="4294967294" count="1" selected="0">
            <x v="1"/>
          </reference>
        </references>
      </pivotArea>
    </chartFormat>
    <chartFormat chart="0" format="173" series="1">
      <pivotArea type="data" outline="0" fieldPosition="0">
        <references count="1">
          <reference field="4294967294" count="1" selected="0">
            <x v="2"/>
          </reference>
        </references>
      </pivotArea>
    </chartFormat>
    <chartFormat chart="0" format="174" series="1">
      <pivotArea type="data" outline="0" fieldPosition="0">
        <references count="1">
          <reference field="4294967294" count="1" selected="0">
            <x v="5"/>
          </reference>
        </references>
      </pivotArea>
    </chartFormat>
    <chartFormat chart="0" format="175" series="1">
      <pivotArea type="data" outline="0" fieldPosition="0">
        <references count="1">
          <reference field="4294967294" count="1" selected="0">
            <x v="4"/>
          </reference>
        </references>
      </pivotArea>
    </chartFormat>
    <chartFormat chart="0" format="176" series="1">
      <pivotArea type="data" outline="0" fieldPosition="0">
        <references count="1">
          <reference field="4294967294" count="1" selected="0">
            <x v="3"/>
          </reference>
        </references>
      </pivotArea>
    </chartFormat>
    <chartFormat chart="0" format="1018">
      <pivotArea type="data" outline="0" fieldPosition="0">
        <references count="4">
          <reference field="4294967294" count="1" selected="0">
            <x v="0"/>
          </reference>
          <reference field="3" count="1" selected="0">
            <x v="173"/>
          </reference>
          <reference field="11" count="1" selected="0">
            <x v="1"/>
          </reference>
          <reference field="12" count="1" selected="0">
            <x v="2"/>
          </reference>
        </references>
      </pivotArea>
    </chartFormat>
    <chartFormat chart="0" format="1019">
      <pivotArea type="data" outline="0" fieldPosition="0">
        <references count="4">
          <reference field="4294967294" count="1" selected="0">
            <x v="0"/>
          </reference>
          <reference field="3" count="1" selected="0">
            <x v="281"/>
          </reference>
          <reference field="11" count="1" selected="0">
            <x v="1"/>
          </reference>
          <reference field="12" count="1" selected="0">
            <x v="2"/>
          </reference>
        </references>
      </pivotArea>
    </chartFormat>
    <chartFormat chart="0" format="1020">
      <pivotArea type="data" outline="0" fieldPosition="0">
        <references count="4">
          <reference field="4294967294" count="1" selected="0">
            <x v="0"/>
          </reference>
          <reference field="3" count="1" selected="0">
            <x v="293"/>
          </reference>
          <reference field="11" count="1" selected="0">
            <x v="1"/>
          </reference>
          <reference field="12" count="1" selected="0">
            <x v="2"/>
          </reference>
        </references>
      </pivotArea>
    </chartFormat>
    <chartFormat chart="0" format="1021">
      <pivotArea type="data" outline="0" fieldPosition="0">
        <references count="4">
          <reference field="4294967294" count="1" selected="0">
            <x v="0"/>
          </reference>
          <reference field="3" count="1" selected="0">
            <x v="258"/>
          </reference>
          <reference field="11" count="1" selected="0">
            <x v="2"/>
          </reference>
          <reference field="12" count="1" selected="0">
            <x v="2"/>
          </reference>
        </references>
      </pivotArea>
    </chartFormat>
    <chartFormat chart="0" format="1022">
      <pivotArea type="data" outline="0" fieldPosition="0">
        <references count="4">
          <reference field="4294967294" count="1" selected="0">
            <x v="0"/>
          </reference>
          <reference field="3" count="1" selected="0">
            <x v="81"/>
          </reference>
          <reference field="11" count="1" selected="0">
            <x v="3"/>
          </reference>
          <reference field="12" count="1" selected="0">
            <x v="2"/>
          </reference>
        </references>
      </pivotArea>
    </chartFormat>
    <chartFormat chart="0" format="1023">
      <pivotArea type="data" outline="0" fieldPosition="0">
        <references count="4">
          <reference field="4294967294" count="1" selected="0">
            <x v="0"/>
          </reference>
          <reference field="3" count="1" selected="0">
            <x v="141"/>
          </reference>
          <reference field="11" count="1" selected="0">
            <x v="3"/>
          </reference>
          <reference field="12" count="1" selected="0">
            <x v="2"/>
          </reference>
        </references>
      </pivotArea>
    </chartFormat>
    <chartFormat chart="0" format="1024">
      <pivotArea type="data" outline="0" fieldPosition="0">
        <references count="4">
          <reference field="4294967294" count="1" selected="0">
            <x v="0"/>
          </reference>
          <reference field="3" count="1" selected="0">
            <x v="201"/>
          </reference>
          <reference field="11" count="1" selected="0">
            <x v="3"/>
          </reference>
          <reference field="12" count="1" selected="0">
            <x v="2"/>
          </reference>
        </references>
      </pivotArea>
    </chartFormat>
    <chartFormat chart="0" format="1025">
      <pivotArea type="data" outline="0" fieldPosition="0">
        <references count="4">
          <reference field="4294967294" count="1" selected="0">
            <x v="0"/>
          </reference>
          <reference field="3" count="1" selected="0">
            <x v="213"/>
          </reference>
          <reference field="11" count="1" selected="0">
            <x v="3"/>
          </reference>
          <reference field="12" count="1" selected="0">
            <x v="2"/>
          </reference>
        </references>
      </pivotArea>
    </chartFormat>
    <chartFormat chart="0" format="1026">
      <pivotArea type="data" outline="0" fieldPosition="0">
        <references count="4">
          <reference field="4294967294" count="1" selected="0">
            <x v="0"/>
          </reference>
          <reference field="3" count="1" selected="0">
            <x v="225"/>
          </reference>
          <reference field="11" count="1" selected="0">
            <x v="3"/>
          </reference>
          <reference field="12" count="1" selected="0">
            <x v="2"/>
          </reference>
        </references>
      </pivotArea>
    </chartFormat>
    <chartFormat chart="0" format="1027">
      <pivotArea type="data" outline="0" fieldPosition="0">
        <references count="4">
          <reference field="4294967294" count="1" selected="0">
            <x v="0"/>
          </reference>
          <reference field="3" count="1" selected="0">
            <x v="333"/>
          </reference>
          <reference field="11" count="1" selected="0">
            <x v="3"/>
          </reference>
          <reference field="12" count="1" selected="0">
            <x v="2"/>
          </reference>
        </references>
      </pivotArea>
    </chartFormat>
    <chartFormat chart="0" format="1028">
      <pivotArea type="data" outline="0" fieldPosition="0">
        <references count="4">
          <reference field="4294967294" count="1" selected="0">
            <x v="0"/>
          </reference>
          <reference field="3" count="1" selected="0">
            <x v="345"/>
          </reference>
          <reference field="11" count="1" selected="0">
            <x v="3"/>
          </reference>
          <reference field="12" count="1" selected="0">
            <x v="2"/>
          </reference>
        </references>
      </pivotArea>
    </chartFormat>
    <chartFormat chart="0" format="1029">
      <pivotArea type="data" outline="0" fieldPosition="0">
        <references count="4">
          <reference field="4294967294" count="1" selected="0">
            <x v="0"/>
          </reference>
          <reference field="3" count="1" selected="0">
            <x v="222"/>
          </reference>
          <reference field="11" count="1" selected="0">
            <x v="2"/>
          </reference>
          <reference field="12" count="1" selected="0">
            <x v="2"/>
          </reference>
        </references>
      </pivotArea>
    </chartFormat>
    <chartFormat chart="0" format="1030">
      <pivotArea type="data" outline="0" fieldPosition="0">
        <references count="4">
          <reference field="4294967294" count="1" selected="0">
            <x v="0"/>
          </reference>
          <reference field="3" count="1" selected="0">
            <x v="234"/>
          </reference>
          <reference field="11" count="1" selected="0">
            <x v="2"/>
          </reference>
          <reference field="12" count="1" selected="0">
            <x v="2"/>
          </reference>
        </references>
      </pivotArea>
    </chartFormat>
    <chartFormat chart="0" format="1031">
      <pivotArea type="data" outline="0" fieldPosition="0">
        <references count="4">
          <reference field="4294967294" count="1" selected="0">
            <x v="0"/>
          </reference>
          <reference field="3" count="1" selected="0">
            <x v="246"/>
          </reference>
          <reference field="11" count="1" selected="0">
            <x v="2"/>
          </reference>
          <reference field="12" count="1" selected="0">
            <x v="2"/>
          </reference>
        </references>
      </pivotArea>
    </chartFormat>
    <chartFormat chart="0" format="1032">
      <pivotArea type="data" outline="0" fieldPosition="0">
        <references count="4">
          <reference field="4294967294" count="1" selected="0">
            <x v="0"/>
          </reference>
          <reference field="3" count="1" selected="0">
            <x v="270"/>
          </reference>
          <reference field="11" count="1" selected="0">
            <x v="2"/>
          </reference>
          <reference field="12" count="1" selected="0">
            <x v="2"/>
          </reference>
        </references>
      </pivotArea>
    </chartFormat>
    <chartFormat chart="0" format="1033">
      <pivotArea type="data" outline="0" fieldPosition="0">
        <references count="4">
          <reference field="4294967294" count="1" selected="0">
            <x v="0"/>
          </reference>
          <reference field="3" count="1" selected="0">
            <x v="282"/>
          </reference>
          <reference field="11" count="1" selected="0">
            <x v="2"/>
          </reference>
          <reference field="12" count="1" selected="0">
            <x v="2"/>
          </reference>
        </references>
      </pivotArea>
    </chartFormat>
    <chartFormat chart="0" format="1034">
      <pivotArea type="data" outline="0" fieldPosition="0">
        <references count="4">
          <reference field="4294967294" count="1" selected="0">
            <x v="0"/>
          </reference>
          <reference field="3" count="1" selected="0">
            <x v="294"/>
          </reference>
          <reference field="11" count="1" selected="0">
            <x v="2"/>
          </reference>
          <reference field="12" count="1" selected="0">
            <x v="2"/>
          </reference>
        </references>
      </pivotArea>
    </chartFormat>
    <chartFormat chart="0" format="1035">
      <pivotArea type="data" outline="0" fieldPosition="0">
        <references count="4">
          <reference field="4294967294" count="1" selected="0">
            <x v="0"/>
          </reference>
          <reference field="3" count="1" selected="0">
            <x v="306"/>
          </reference>
          <reference field="11" count="1" selected="0">
            <x v="2"/>
          </reference>
          <reference field="12" count="1" selected="0">
            <x v="2"/>
          </reference>
        </references>
      </pivotArea>
    </chartFormat>
    <chartFormat chart="0" format="1036">
      <pivotArea type="data" outline="0" fieldPosition="0">
        <references count="4">
          <reference field="4294967294" count="1" selected="0">
            <x v="0"/>
          </reference>
          <reference field="3" count="1" selected="0">
            <x v="318"/>
          </reference>
          <reference field="11" count="1" selected="0">
            <x v="2"/>
          </reference>
          <reference field="12" count="1" selected="0">
            <x v="2"/>
          </reference>
        </references>
      </pivotArea>
    </chartFormat>
    <chartFormat chart="0" format="1037">
      <pivotArea type="data" outline="0" fieldPosition="0">
        <references count="4">
          <reference field="4294967294" count="1" selected="0">
            <x v="0"/>
          </reference>
          <reference field="3" count="1" selected="0">
            <x v="330"/>
          </reference>
          <reference field="11" count="1" selected="0">
            <x v="2"/>
          </reference>
          <reference field="12" count="1" selected="0">
            <x v="2"/>
          </reference>
        </references>
      </pivotArea>
    </chartFormat>
    <chartFormat chart="0" format="1038">
      <pivotArea type="data" outline="0" fieldPosition="0">
        <references count="4">
          <reference field="4294967294" count="1" selected="0">
            <x v="0"/>
          </reference>
          <reference field="3" count="1" selected="0">
            <x v="9"/>
          </reference>
          <reference field="11" count="1" selected="0">
            <x v="3"/>
          </reference>
          <reference field="12" count="1" selected="0">
            <x v="2"/>
          </reference>
        </references>
      </pivotArea>
    </chartFormat>
    <chartFormat chart="0" format="1039">
      <pivotArea type="data" outline="0" fieldPosition="0">
        <references count="4">
          <reference field="4294967294" count="1" selected="0">
            <x v="0"/>
          </reference>
          <reference field="3" count="1" selected="0">
            <x v="21"/>
          </reference>
          <reference field="11" count="1" selected="0">
            <x v="3"/>
          </reference>
          <reference field="12" count="1" selected="0">
            <x v="2"/>
          </reference>
        </references>
      </pivotArea>
    </chartFormat>
    <chartFormat chart="0" format="1040">
      <pivotArea type="data" outline="0" fieldPosition="0">
        <references count="4">
          <reference field="4294967294" count="1" selected="0">
            <x v="0"/>
          </reference>
          <reference field="3" count="1" selected="0">
            <x v="33"/>
          </reference>
          <reference field="11" count="1" selected="0">
            <x v="3"/>
          </reference>
          <reference field="12" count="1" selected="0">
            <x v="2"/>
          </reference>
        </references>
      </pivotArea>
    </chartFormat>
    <chartFormat chart="0" format="1041">
      <pivotArea type="data" outline="0" fieldPosition="0">
        <references count="4">
          <reference field="4294967294" count="1" selected="0">
            <x v="0"/>
          </reference>
          <reference field="3" count="1" selected="0">
            <x v="45"/>
          </reference>
          <reference field="11" count="1" selected="0">
            <x v="3"/>
          </reference>
          <reference field="12" count="1" selected="0">
            <x v="2"/>
          </reference>
        </references>
      </pivotArea>
    </chartFormat>
    <chartFormat chart="0" format="1042">
      <pivotArea type="data" outline="0" fieldPosition="0">
        <references count="4">
          <reference field="4294967294" count="1" selected="0">
            <x v="0"/>
          </reference>
          <reference field="3" count="1" selected="0">
            <x v="57"/>
          </reference>
          <reference field="11" count="1" selected="0">
            <x v="3"/>
          </reference>
          <reference field="12" count="1" selected="0">
            <x v="2"/>
          </reference>
        </references>
      </pivotArea>
    </chartFormat>
    <chartFormat chart="0" format="1043">
      <pivotArea type="data" outline="0" fieldPosition="0">
        <references count="4">
          <reference field="4294967294" count="1" selected="0">
            <x v="0"/>
          </reference>
          <reference field="3" count="1" selected="0">
            <x v="69"/>
          </reference>
          <reference field="11" count="1" selected="0">
            <x v="3"/>
          </reference>
          <reference field="12" count="1" selected="0">
            <x v="2"/>
          </reference>
        </references>
      </pivotArea>
    </chartFormat>
    <chartFormat chart="0" format="1044">
      <pivotArea type="data" outline="0" fieldPosition="0">
        <references count="4">
          <reference field="4294967294" count="1" selected="0">
            <x v="0"/>
          </reference>
          <reference field="3" count="1" selected="0">
            <x v="93"/>
          </reference>
          <reference field="11" count="1" selected="0">
            <x v="3"/>
          </reference>
          <reference field="12" count="1" selected="0">
            <x v="2"/>
          </reference>
        </references>
      </pivotArea>
    </chartFormat>
    <chartFormat chart="0" format="1045">
      <pivotArea type="data" outline="0" fieldPosition="0">
        <references count="4">
          <reference field="4294967294" count="1" selected="0">
            <x v="0"/>
          </reference>
          <reference field="3" count="1" selected="0">
            <x v="105"/>
          </reference>
          <reference field="11" count="1" selected="0">
            <x v="3"/>
          </reference>
          <reference field="12" count="1" selected="0">
            <x v="2"/>
          </reference>
        </references>
      </pivotArea>
    </chartFormat>
    <chartFormat chart="0" format="1046">
      <pivotArea type="data" outline="0" fieldPosition="0">
        <references count="4">
          <reference field="4294967294" count="1" selected="0">
            <x v="0"/>
          </reference>
          <reference field="3" count="1" selected="0">
            <x v="117"/>
          </reference>
          <reference field="11" count="1" selected="0">
            <x v="3"/>
          </reference>
          <reference field="12" count="1" selected="0">
            <x v="2"/>
          </reference>
        </references>
      </pivotArea>
    </chartFormat>
    <chartFormat chart="0" format="1047">
      <pivotArea type="data" outline="0" fieldPosition="0">
        <references count="4">
          <reference field="4294967294" count="1" selected="0">
            <x v="0"/>
          </reference>
          <reference field="3" count="1" selected="0">
            <x v="129"/>
          </reference>
          <reference field="11" count="1" selected="0">
            <x v="3"/>
          </reference>
          <reference field="12" count="1" selected="0">
            <x v="2"/>
          </reference>
        </references>
      </pivotArea>
    </chartFormat>
    <chartFormat chart="0" format="1048">
      <pivotArea type="data" outline="0" fieldPosition="0">
        <references count="4">
          <reference field="4294967294" count="1" selected="0">
            <x v="0"/>
          </reference>
          <reference field="3" count="1" selected="0">
            <x v="153"/>
          </reference>
          <reference field="11" count="1" selected="0">
            <x v="3"/>
          </reference>
          <reference field="12" count="1" selected="0">
            <x v="2"/>
          </reference>
        </references>
      </pivotArea>
    </chartFormat>
    <chartFormat chart="0" format="1049">
      <pivotArea type="data" outline="0" fieldPosition="0">
        <references count="4">
          <reference field="4294967294" count="1" selected="0">
            <x v="0"/>
          </reference>
          <reference field="3" count="1" selected="0">
            <x v="165"/>
          </reference>
          <reference field="11" count="1" selected="0">
            <x v="3"/>
          </reference>
          <reference field="12" count="1" selected="0">
            <x v="2"/>
          </reference>
        </references>
      </pivotArea>
    </chartFormat>
    <chartFormat chart="0" format="1050">
      <pivotArea type="data" outline="0" fieldPosition="0">
        <references count="4">
          <reference field="4294967294" count="1" selected="0">
            <x v="0"/>
          </reference>
          <reference field="3" count="1" selected="0">
            <x v="177"/>
          </reference>
          <reference field="11" count="1" selected="0">
            <x v="3"/>
          </reference>
          <reference field="12" count="1" selected="0">
            <x v="2"/>
          </reference>
        </references>
      </pivotArea>
    </chartFormat>
    <chartFormat chart="0" format="1051">
      <pivotArea type="data" outline="0" fieldPosition="0">
        <references count="4">
          <reference field="4294967294" count="1" selected="0">
            <x v="0"/>
          </reference>
          <reference field="3" count="1" selected="0">
            <x v="189"/>
          </reference>
          <reference field="11" count="1" selected="0">
            <x v="3"/>
          </reference>
          <reference field="12" count="1" selected="0">
            <x v="2"/>
          </reference>
        </references>
      </pivotArea>
    </chartFormat>
    <chartFormat chart="0" format="1052">
      <pivotArea type="data" outline="0" fieldPosition="0">
        <references count="4">
          <reference field="4294967294" count="1" selected="0">
            <x v="0"/>
          </reference>
          <reference field="3" count="1" selected="0">
            <x v="237"/>
          </reference>
          <reference field="11" count="1" selected="0">
            <x v="3"/>
          </reference>
          <reference field="12" count="1" selected="0">
            <x v="2"/>
          </reference>
        </references>
      </pivotArea>
    </chartFormat>
    <chartFormat chart="0" format="1053">
      <pivotArea type="data" outline="0" fieldPosition="0">
        <references count="4">
          <reference field="4294967294" count="1" selected="0">
            <x v="0"/>
          </reference>
          <reference field="3" count="1" selected="0">
            <x v="249"/>
          </reference>
          <reference field="11" count="1" selected="0">
            <x v="3"/>
          </reference>
          <reference field="12" count="1" selected="0">
            <x v="2"/>
          </reference>
        </references>
      </pivotArea>
    </chartFormat>
    <chartFormat chart="0" format="1054">
      <pivotArea type="data" outline="0" fieldPosition="0">
        <references count="4">
          <reference field="4294967294" count="1" selected="0">
            <x v="0"/>
          </reference>
          <reference field="3" count="1" selected="0">
            <x v="273"/>
          </reference>
          <reference field="11" count="1" selected="0">
            <x v="3"/>
          </reference>
          <reference field="12" count="1" selected="0">
            <x v="2"/>
          </reference>
        </references>
      </pivotArea>
    </chartFormat>
    <chartFormat chart="0" format="1055">
      <pivotArea type="data" outline="0" fieldPosition="0">
        <references count="4">
          <reference field="4294967294" count="1" selected="0">
            <x v="0"/>
          </reference>
          <reference field="3" count="1" selected="0">
            <x v="285"/>
          </reference>
          <reference field="11" count="1" selected="0">
            <x v="3"/>
          </reference>
          <reference field="12" count="1" selected="0">
            <x v="2"/>
          </reference>
        </references>
      </pivotArea>
    </chartFormat>
    <chartFormat chart="0" format="1056">
      <pivotArea type="data" outline="0" fieldPosition="0">
        <references count="4">
          <reference field="4294967294" count="1" selected="0">
            <x v="0"/>
          </reference>
          <reference field="3" count="1" selected="0">
            <x v="297"/>
          </reference>
          <reference field="11" count="1" selected="0">
            <x v="3"/>
          </reference>
          <reference field="12" count="1" selected="0">
            <x v="2"/>
          </reference>
        </references>
      </pivotArea>
    </chartFormat>
    <chartFormat chart="0" format="1057">
      <pivotArea type="data" outline="0" fieldPosition="0">
        <references count="4">
          <reference field="4294967294" count="1" selected="0">
            <x v="0"/>
          </reference>
          <reference field="3" count="1" selected="0">
            <x v="309"/>
          </reference>
          <reference field="11" count="1" selected="0">
            <x v="3"/>
          </reference>
          <reference field="12" count="1" selected="0">
            <x v="2"/>
          </reference>
        </references>
      </pivotArea>
    </chartFormat>
    <chartFormat chart="0" format="1058">
      <pivotArea type="data" outline="0" fieldPosition="0">
        <references count="4">
          <reference field="4294967294" count="1" selected="0">
            <x v="0"/>
          </reference>
          <reference field="3" count="1" selected="0">
            <x v="321"/>
          </reference>
          <reference field="11" count="1" selected="0">
            <x v="3"/>
          </reference>
          <reference field="12" count="1" selected="0">
            <x v="2"/>
          </reference>
        </references>
      </pivotArea>
    </chartFormat>
    <chartFormat chart="0" format="1059">
      <pivotArea type="data" outline="0" fieldPosition="0">
        <references count="4">
          <reference field="4294967294" count="1" selected="0">
            <x v="0"/>
          </reference>
          <reference field="3" count="1" selected="0">
            <x v="356"/>
          </reference>
          <reference field="11" count="1" selected="0">
            <x v="3"/>
          </reference>
          <reference field="12" count="1" selected="0">
            <x v="2"/>
          </reference>
        </references>
      </pivotArea>
    </chartFormat>
    <chartFormat chart="0" format="1060">
      <pivotArea type="data" outline="0" fieldPosition="0">
        <references count="4">
          <reference field="4294967294" count="1" selected="0">
            <x v="0"/>
          </reference>
          <reference field="3" count="1" selected="0">
            <x v="14"/>
          </reference>
          <reference field="11" count="1" selected="0">
            <x v="4"/>
          </reference>
          <reference field="12" count="1" selected="0">
            <x v="2"/>
          </reference>
        </references>
      </pivotArea>
    </chartFormat>
    <chartFormat chart="0" format="1061">
      <pivotArea type="data" outline="0" fieldPosition="0">
        <references count="4">
          <reference field="4294967294" count="1" selected="0">
            <x v="0"/>
          </reference>
          <reference field="3" count="1" selected="0">
            <x v="26"/>
          </reference>
          <reference field="11" count="1" selected="0">
            <x v="4"/>
          </reference>
          <reference field="12" count="1" selected="0">
            <x v="2"/>
          </reference>
        </references>
      </pivotArea>
    </chartFormat>
    <chartFormat chart="0" format="1062">
      <pivotArea type="data" outline="0" fieldPosition="0">
        <references count="4">
          <reference field="4294967294" count="1" selected="0">
            <x v="0"/>
          </reference>
          <reference field="3" count="1" selected="0">
            <x v="38"/>
          </reference>
          <reference field="11" count="1" selected="0">
            <x v="4"/>
          </reference>
          <reference field="12" count="1" selected="0">
            <x v="2"/>
          </reference>
        </references>
      </pivotArea>
    </chartFormat>
    <chartFormat chart="0" format="1063">
      <pivotArea type="data" outline="0" fieldPosition="0">
        <references count="4">
          <reference field="4294967294" count="1" selected="0">
            <x v="0"/>
          </reference>
          <reference field="3" count="1" selected="0">
            <x v="50"/>
          </reference>
          <reference field="11" count="1" selected="0">
            <x v="4"/>
          </reference>
          <reference field="12" count="1" selected="0">
            <x v="2"/>
          </reference>
        </references>
      </pivotArea>
    </chartFormat>
    <chartFormat chart="0" format="1064">
      <pivotArea type="data" outline="0" fieldPosition="0">
        <references count="4">
          <reference field="4294967294" count="1" selected="0">
            <x v="0"/>
          </reference>
          <reference field="3" count="1" selected="0">
            <x v="62"/>
          </reference>
          <reference field="11" count="1" selected="0">
            <x v="4"/>
          </reference>
          <reference field="12" count="1" selected="0">
            <x v="2"/>
          </reference>
        </references>
      </pivotArea>
    </chartFormat>
    <chartFormat chart="0" format="1065">
      <pivotArea type="data" outline="0" fieldPosition="0">
        <references count="4">
          <reference field="4294967294" count="1" selected="0">
            <x v="0"/>
          </reference>
          <reference field="3" count="1" selected="0">
            <x v="98"/>
          </reference>
          <reference field="11" count="1" selected="0">
            <x v="4"/>
          </reference>
          <reference field="12" count="1" selected="0">
            <x v="2"/>
          </reference>
        </references>
      </pivotArea>
    </chartFormat>
    <chartFormat chart="0" format="1066">
      <pivotArea type="data" outline="0" fieldPosition="0">
        <references count="4">
          <reference field="4294967294" count="1" selected="0">
            <x v="0"/>
          </reference>
          <reference field="3" count="1" selected="0">
            <x v="110"/>
          </reference>
          <reference field="11" count="1" selected="0">
            <x v="4"/>
          </reference>
          <reference field="12" count="1" selected="0">
            <x v="2"/>
          </reference>
        </references>
      </pivotArea>
    </chartFormat>
    <chartFormat chart="0" format="1067">
      <pivotArea type="data" outline="0" fieldPosition="0">
        <references count="4">
          <reference field="4294967294" count="1" selected="0">
            <x v="0"/>
          </reference>
          <reference field="3" count="1" selected="0">
            <x v="122"/>
          </reference>
          <reference field="11" count="1" selected="0">
            <x v="4"/>
          </reference>
          <reference field="12" count="1" selected="0">
            <x v="2"/>
          </reference>
        </references>
      </pivotArea>
    </chartFormat>
    <chartFormat chart="0" format="1068">
      <pivotArea type="data" outline="0" fieldPosition="0">
        <references count="4">
          <reference field="4294967294" count="1" selected="0">
            <x v="0"/>
          </reference>
          <reference field="3" count="1" selected="0">
            <x v="134"/>
          </reference>
          <reference field="11" count="1" selected="0">
            <x v="4"/>
          </reference>
          <reference field="12" count="1" selected="0">
            <x v="2"/>
          </reference>
        </references>
      </pivotArea>
    </chartFormat>
    <chartFormat chart="0" format="1069">
      <pivotArea type="data" outline="0" fieldPosition="0">
        <references count="4">
          <reference field="4294967294" count="1" selected="0">
            <x v="0"/>
          </reference>
          <reference field="3" count="1" selected="0">
            <x v="146"/>
          </reference>
          <reference field="11" count="1" selected="0">
            <x v="4"/>
          </reference>
          <reference field="12" count="1" selected="0">
            <x v="2"/>
          </reference>
        </references>
      </pivotArea>
    </chartFormat>
    <chartFormat chart="0" format="1070">
      <pivotArea type="data" outline="0" fieldPosition="0">
        <references count="4">
          <reference field="4294967294" count="1" selected="0">
            <x v="0"/>
          </reference>
          <reference field="3" count="1" selected="0">
            <x v="194"/>
          </reference>
          <reference field="11" count="1" selected="0">
            <x v="4"/>
          </reference>
          <reference field="12" count="1" selected="0">
            <x v="2"/>
          </reference>
        </references>
      </pivotArea>
    </chartFormat>
    <chartFormat chart="0" format="1071">
      <pivotArea type="data" outline="0" fieldPosition="0">
        <references count="4">
          <reference field="4294967294" count="1" selected="0">
            <x v="0"/>
          </reference>
          <reference field="3" count="1" selected="0">
            <x v="206"/>
          </reference>
          <reference field="11" count="1" selected="0">
            <x v="4"/>
          </reference>
          <reference field="12" count="1" selected="0">
            <x v="2"/>
          </reference>
        </references>
      </pivotArea>
    </chartFormat>
    <chartFormat chart="0" format="1072">
      <pivotArea type="data" outline="0" fieldPosition="0">
        <references count="4">
          <reference field="4294967294" count="1" selected="0">
            <x v="0"/>
          </reference>
          <reference field="3" count="1" selected="0">
            <x v="218"/>
          </reference>
          <reference field="11" count="1" selected="0">
            <x v="4"/>
          </reference>
          <reference field="12" count="1" selected="0">
            <x v="2"/>
          </reference>
        </references>
      </pivotArea>
    </chartFormat>
    <chartFormat chart="0" format="1073">
      <pivotArea type="data" outline="0" fieldPosition="0">
        <references count="4">
          <reference field="4294967294" count="1" selected="0">
            <x v="0"/>
          </reference>
          <reference field="3" count="1" selected="0">
            <x v="230"/>
          </reference>
          <reference field="11" count="1" selected="0">
            <x v="4"/>
          </reference>
          <reference field="12" count="1" selected="0">
            <x v="2"/>
          </reference>
        </references>
      </pivotArea>
    </chartFormat>
    <chartFormat chart="0" format="1074">
      <pivotArea type="data" outline="0" fieldPosition="0">
        <references count="4">
          <reference field="4294967294" count="1" selected="0">
            <x v="0"/>
          </reference>
          <reference field="3" count="1" selected="0">
            <x v="242"/>
          </reference>
          <reference field="11" count="1" selected="0">
            <x v="4"/>
          </reference>
          <reference field="12" count="1" selected="0">
            <x v="2"/>
          </reference>
        </references>
      </pivotArea>
    </chartFormat>
    <chartFormat chart="0" format="1075">
      <pivotArea type="data" outline="0" fieldPosition="0">
        <references count="4">
          <reference field="4294967294" count="1" selected="0">
            <x v="0"/>
          </reference>
          <reference field="3" count="1" selected="0">
            <x v="278"/>
          </reference>
          <reference field="11" count="1" selected="0">
            <x v="4"/>
          </reference>
          <reference field="12" count="1" selected="0">
            <x v="2"/>
          </reference>
        </references>
      </pivotArea>
    </chartFormat>
    <chartFormat chart="0" format="1076">
      <pivotArea type="data" outline="0" fieldPosition="0">
        <references count="4">
          <reference field="4294967294" count="1" selected="0">
            <x v="0"/>
          </reference>
          <reference field="3" count="1" selected="0">
            <x v="290"/>
          </reference>
          <reference field="11" count="1" selected="0">
            <x v="4"/>
          </reference>
          <reference field="12" count="1" selected="0">
            <x v="2"/>
          </reference>
        </references>
      </pivotArea>
    </chartFormat>
    <chartFormat chart="0" format="1077">
      <pivotArea type="data" outline="0" fieldPosition="0">
        <references count="4">
          <reference field="4294967294" count="1" selected="0">
            <x v="0"/>
          </reference>
          <reference field="3" count="1" selected="0">
            <x v="302"/>
          </reference>
          <reference field="11" count="1" selected="0">
            <x v="4"/>
          </reference>
          <reference field="12" count="1" selected="0">
            <x v="2"/>
          </reference>
        </references>
      </pivotArea>
    </chartFormat>
    <chartFormat chart="0" format="1078">
      <pivotArea type="data" outline="0" fieldPosition="0">
        <references count="4">
          <reference field="4294967294" count="1" selected="0">
            <x v="0"/>
          </reference>
          <reference field="3" count="1" selected="0">
            <x v="350"/>
          </reference>
          <reference field="11" count="1" selected="0">
            <x v="4"/>
          </reference>
          <reference field="12" count="1" selected="0">
            <x v="2"/>
          </reference>
        </references>
      </pivotArea>
    </chartFormat>
    <chartFormat chart="0" format="1079">
      <pivotArea type="data" outline="0" fieldPosition="0">
        <references count="4">
          <reference field="4294967294" count="1" selected="0">
            <x v="0"/>
          </reference>
          <reference field="3" count="1" selected="0">
            <x v="10"/>
          </reference>
          <reference field="11" count="1" selected="0">
            <x v="5"/>
          </reference>
          <reference field="12" count="1" selected="0">
            <x v="2"/>
          </reference>
        </references>
      </pivotArea>
    </chartFormat>
    <chartFormat chart="0" format="1080">
      <pivotArea type="data" outline="0" fieldPosition="0">
        <references count="4">
          <reference field="4294967294" count="1" selected="0">
            <x v="0"/>
          </reference>
          <reference field="3" count="1" selected="0">
            <x v="22"/>
          </reference>
          <reference field="11" count="1" selected="0">
            <x v="5"/>
          </reference>
          <reference field="12" count="1" selected="0">
            <x v="2"/>
          </reference>
        </references>
      </pivotArea>
    </chartFormat>
    <chartFormat chart="0" format="1081">
      <pivotArea type="data" outline="0" fieldPosition="0">
        <references count="4">
          <reference field="4294967294" count="1" selected="0">
            <x v="0"/>
          </reference>
          <reference field="3" count="1" selected="0">
            <x v="46"/>
          </reference>
          <reference field="11" count="1" selected="0">
            <x v="5"/>
          </reference>
          <reference field="12" count="1" selected="0">
            <x v="2"/>
          </reference>
        </references>
      </pivotArea>
    </chartFormat>
    <chartFormat chart="0" format="1082">
      <pivotArea type="data" outline="0" fieldPosition="0">
        <references count="4">
          <reference field="4294967294" count="1" selected="0">
            <x v="0"/>
          </reference>
          <reference field="3" count="1" selected="0">
            <x v="58"/>
          </reference>
          <reference field="11" count="1" selected="0">
            <x v="5"/>
          </reference>
          <reference field="12" count="1" selected="0">
            <x v="2"/>
          </reference>
        </references>
      </pivotArea>
    </chartFormat>
    <chartFormat chart="0" format="1083">
      <pivotArea type="data" outline="0" fieldPosition="0">
        <references count="4">
          <reference field="4294967294" count="1" selected="0">
            <x v="0"/>
          </reference>
          <reference field="3" count="1" selected="0">
            <x v="82"/>
          </reference>
          <reference field="11" count="1" selected="0">
            <x v="5"/>
          </reference>
          <reference field="12" count="1" selected="0">
            <x v="2"/>
          </reference>
        </references>
      </pivotArea>
    </chartFormat>
    <chartFormat chart="0" format="1084">
      <pivotArea type="data" outline="0" fieldPosition="0">
        <references count="4">
          <reference field="4294967294" count="1" selected="0">
            <x v="0"/>
          </reference>
          <reference field="3" count="1" selected="0">
            <x v="106"/>
          </reference>
          <reference field="11" count="1" selected="0">
            <x v="5"/>
          </reference>
          <reference field="12" count="1" selected="0">
            <x v="2"/>
          </reference>
        </references>
      </pivotArea>
    </chartFormat>
  </chartFormats>
  <pivotTableStyleInfo name="PivotStyleDark19" showRowHeaders="1" showColHeaders="1" showRowStripes="0" showColStripes="0" showLastColumn="1"/>
</pivotTableDefinition>
</file>

<file path=xl/pivotTables/pivotTable4.xml><?xml version="1.0" encoding="utf-8"?>
<pivotTableDefinition xmlns="http://schemas.openxmlformats.org/spreadsheetml/2006/main" name="TD_Consumo" cacheId="48" applyNumberFormats="0" applyBorderFormats="0" applyFontFormats="0" applyPatternFormats="0" applyAlignmentFormats="0" applyWidthHeightFormats="1" dataCaption="Valores" updatedVersion="5" minRefreshableVersion="3" useAutoFormatting="1" itemPrintTitles="1" createdVersion="5" indent="0" outline="1" outlineData="1" multipleFieldFilters="0">
  <location ref="A33:D41" firstHeaderRow="0" firstDataRow="1" firstDataCol="1" rowPageCount="2" colPageCount="1"/>
  <pivotFields count="6">
    <pivotField axis="axisPage" showAll="0">
      <items count="8">
        <item m="1" x="3"/>
        <item m="1" x="1"/>
        <item m="1" x="2"/>
        <item m="1" x="6"/>
        <item m="1" x="5"/>
        <item m="1" x="4"/>
        <item x="0"/>
        <item t="default"/>
      </items>
    </pivotField>
    <pivotField axis="axisPage" showAll="0">
      <items count="8001">
        <item m="1" x="203"/>
        <item m="1" x="103"/>
        <item m="1" x="193"/>
        <item m="1" x="201"/>
        <item m="1" x="4"/>
        <item m="1" x="14"/>
        <item m="1" x="31"/>
        <item m="1" x="217"/>
        <item m="1" x="230"/>
        <item m="1" x="18"/>
        <item m="1" x="121"/>
        <item m="1" x="122"/>
        <item m="1" x="151"/>
        <item m="1" x="132"/>
        <item m="1" x="20"/>
        <item m="1" x="126"/>
        <item m="1" x="51"/>
        <item m="1" x="152"/>
        <item m="1" x="127"/>
        <item m="1" x="189"/>
        <item m="1" x="95"/>
        <item m="1" x="183"/>
        <item m="1" x="188"/>
        <item m="1" x="16"/>
        <item m="1" x="205"/>
        <item m="1" x="218"/>
        <item m="1" x="2"/>
        <item m="1" x="108"/>
        <item m="1" x="110"/>
        <item m="1" x="133"/>
        <item m="1" x="115"/>
        <item m="1" x="6"/>
        <item m="1" x="113"/>
        <item m="1" x="39"/>
        <item m="1" x="141"/>
        <item m="1" x="114"/>
        <item m="1" x="7"/>
        <item m="1" x="25"/>
        <item m="1" x="42"/>
        <item m="1" x="57"/>
        <item m="1" x="128"/>
        <item m="1" x="144"/>
        <item m="1" x="155"/>
        <item m="1" x="165"/>
        <item m="1" x="175"/>
        <item m="1" x="184"/>
        <item m="1" x="196"/>
        <item m="1" x="209"/>
        <item m="1" x="129"/>
        <item m="1" x="145"/>
        <item m="1" x="156"/>
        <item m="1" x="148"/>
        <item m="1" x="212"/>
        <item m="1" x="226"/>
        <item m="1" x="8"/>
        <item m="1" x="26"/>
        <item m="1" x="43"/>
        <item m="1" x="58"/>
        <item m="1" x="130"/>
        <item m="1" x="146"/>
        <item m="1" x="157"/>
        <item m="1" x="166"/>
        <item m="1" x="176"/>
        <item m="1" x="185"/>
        <item m="1" x="197"/>
        <item m="1" x="210"/>
        <item m="1" x="224"/>
        <item m="1" x="177"/>
        <item m="1" x="149"/>
        <item m="1" x="178"/>
        <item m="1" x="186"/>
        <item m="1" x="125"/>
        <item m="1" x="142"/>
        <item m="1" x="153"/>
        <item m="1" x="163"/>
        <item m="1" x="173"/>
        <item m="1" x="181"/>
        <item m="1" x="192"/>
        <item m="1" x="208"/>
        <item m="1" x="223"/>
        <item m="1" x="74"/>
        <item m="1" x="86"/>
        <item m="1" x="96"/>
        <item m="1" x="105"/>
        <item m="1" x="187"/>
        <item m="1" x="200"/>
        <item m="1" x="213"/>
        <item m="1" x="227"/>
        <item m="1" x="9"/>
        <item m="1" x="27"/>
        <item m="1" x="44"/>
        <item m="1" x="59"/>
        <item m="1" x="75"/>
        <item m="1" x="87"/>
        <item m="1" x="97"/>
        <item m="1" x="234"/>
        <item m="1" x="3"/>
        <item m="1" x="3584"/>
        <item m="1" x="460"/>
        <item m="1" x="6238"/>
        <item m="1" x="5729"/>
        <item m="1" x="1666"/>
        <item m="1" x="6779"/>
        <item m="1" x="5969"/>
        <item m="1" x="4465"/>
        <item m="1" x="3926"/>
        <item m="1" x="3426"/>
        <item m="1" x="2924"/>
        <item m="1" x="2433"/>
        <item m="1" x="1886"/>
        <item m="1" x="1355"/>
        <item m="1" x="813"/>
        <item m="1" x="7430"/>
        <item m="1" x="6962"/>
        <item m="1" x="6522"/>
        <item m="1" x="6059"/>
        <item m="1" x="5567"/>
        <item m="1" x="5091"/>
        <item m="1" x="4597"/>
        <item m="1" x="4055"/>
        <item m="1" x="3547"/>
        <item m="1" x="3057"/>
        <item m="1" x="7551"/>
        <item m="1" x="7080"/>
        <item m="1" x="6638"/>
        <item m="1" x="6205"/>
        <item m="1" x="5687"/>
        <item m="1" x="5217"/>
        <item m="1" x="219"/>
        <item m="1" x="1533"/>
        <item m="1" x="1019"/>
        <item m="1" x="3595"/>
        <item m="1" x="3118"/>
        <item m="1" x="6365"/>
        <item m="1" x="826"/>
        <item m="1" x="4068"/>
        <item m="1" x="4187"/>
        <item m="1" x="6791"/>
        <item m="1" x="4984"/>
        <item m="1" x="4193"/>
        <item m="1" x="4965"/>
        <item m="1" x="2095"/>
        <item m="1" x="1545"/>
        <item m="1" x="4379"/>
        <item m="1" x="3348"/>
        <item m="1" x="2349"/>
        <item m="1" x="1809"/>
        <item m="1" x="1265"/>
        <item m="1" x="1811"/>
        <item m="1" x="1267"/>
        <item m="1" x="746"/>
        <item m="1" x="161"/>
        <item m="1" x="6610"/>
        <item m="1" x="4151"/>
        <item m="1" x="2513"/>
        <item m="1" x="380"/>
        <item m="1" x="3775"/>
        <item m="1" x="1759"/>
        <item m="1" x="6972"/>
        <item m="1" x="5100"/>
        <item m="1" x="783"/>
        <item m="1" x="2127"/>
        <item m="1" x="7404"/>
        <item m="1" x="174"/>
        <item m="1" x="7496"/>
        <item m="1" x="5418"/>
        <item m="1" x="4420"/>
        <item m="1" x="512"/>
        <item m="1" x="4651"/>
        <item m="1" x="3158"/>
        <item m="1" x="5281"/>
        <item m="1" x="2171"/>
        <item m="1" x="2446"/>
        <item m="1" x="2226"/>
        <item m="1" x="1026"/>
        <item m="1" x="7748"/>
        <item m="1" x="2032"/>
        <item m="1" x="563"/>
        <item m="1" x="1398"/>
        <item m="1" x="2343"/>
        <item m="1" x="1258"/>
        <item m="1" x="770"/>
        <item m="1" x="3975"/>
        <item m="1" x="2985"/>
        <item m="1" x="883"/>
        <item m="1" x="7726"/>
        <item m="1" x="6088"/>
        <item m="1" x="3326"/>
        <item m="1" x="4178"/>
        <item m="1" x="6945"/>
        <item m="1" x="6513"/>
        <item m="1" x="6047"/>
        <item m="1" x="5555"/>
        <item m="1" x="5077"/>
        <item m="1" x="4581"/>
        <item m="1" x="5295"/>
        <item m="1" x="4805"/>
        <item m="1" x="3732"/>
        <item m="1" x="2061"/>
        <item m="1" x="436"/>
        <item m="1" x="7731"/>
        <item m="1" x="1484"/>
        <item m="1" x="949"/>
        <item m="1" x="7546"/>
        <item m="1" x="6259"/>
        <item m="1" x="5751"/>
        <item m="1" x="7206"/>
        <item m="1" x="4044"/>
        <item m="1" x="5749"/>
        <item m="1" x="4921"/>
        <item m="1" x="4635"/>
        <item m="1" x="6805"/>
        <item m="1" x="5885"/>
        <item m="1" x="4935"/>
        <item m="1" x="1840"/>
        <item m="1" x="5925"/>
        <item m="1" x="5431"/>
        <item m="1" x="4953"/>
        <item m="1" x="4443"/>
        <item m="1" x="3914"/>
        <item m="1" x="3411"/>
        <item m="1" x="2909"/>
        <item m="1" x="3134"/>
        <item m="1" x="2412"/>
        <item m="1" x="2613"/>
        <item m="1" x="1873"/>
        <item m="1" x="2240"/>
        <item m="1" x="2105"/>
        <item m="1" x="7416"/>
        <item m="1" x="6948"/>
        <item m="1" x="6515"/>
        <item m="1" x="6050"/>
        <item m="1" x="5558"/>
        <item m="1" x="5081"/>
        <item m="1" x="4585"/>
        <item m="1" x="4046"/>
        <item m="1" x="7539"/>
        <item m="1" x="7062"/>
        <item m="1" x="6187"/>
        <item m="1" x="6378"/>
        <item m="1" x="1295"/>
        <item m="1" x="761"/>
        <item m="1" x="191"/>
        <item m="1" x="2758"/>
        <item m="1" x="2246"/>
        <item m="1" x="7718"/>
        <item m="1" x="7252"/>
        <item m="1" x="4703"/>
        <item m="1" x="3169"/>
        <item m="1" x="2152"/>
        <item m="1" x="624"/>
        <item m="1" x="4172"/>
        <item m="1" x="6713"/>
        <item m="1" x="4840"/>
        <item m="1" x="4307"/>
        <item m="1" x="3785"/>
        <item m="1" x="4177"/>
        <item m="1" x="4715"/>
        <item m="1" x="4179"/>
        <item m="1" x="2164"/>
        <item m="1" x="7671"/>
        <item m="1" x="6725"/>
        <item m="1" x="5331"/>
        <item m="1" x="4312"/>
        <item m="1" x="3792"/>
        <item m="1" x="3291"/>
        <item m="1" x="5213"/>
        <item m="1" x="4721"/>
        <item m="1" x="4188"/>
        <item m="1" x="3646"/>
        <item m="1" x="3180"/>
        <item m="1" x="2662"/>
        <item m="1" x="2169"/>
        <item m="1" x="1621"/>
        <item m="1" x="1078"/>
        <item m="1" x="7675"/>
        <item m="1" x="7192"/>
        <item m="1" x="6729"/>
        <item m="1" x="5334"/>
        <item m="1" x="4316"/>
        <item m="1" x="3793"/>
        <item m="1" x="3292"/>
        <item m="1" x="7301"/>
        <item m="1" x="6837"/>
        <item m="1" x="6424"/>
        <item m="1" x="5434"/>
        <item m="1" x="494"/>
        <item m="1" x="5215"/>
        <item m="1" x="4726"/>
        <item m="1" x="3647"/>
        <item m="1" x="3182"/>
        <item m="1" x="2403"/>
        <item m="1" x="1871"/>
        <item m="1" x="1333"/>
        <item m="1" x="800"/>
        <item m="1" x="251"/>
        <item m="1" x="6943"/>
        <item m="1" x="6511"/>
        <item m="1" x="6043"/>
        <item m="1" x="4036"/>
        <item m="1" x="1957"/>
        <item m="1" x="1422"/>
        <item m="1" x="903"/>
        <item m="1" x="4117"/>
        <item m="1" x="3604"/>
        <item m="1" x="3129"/>
        <item m="1" x="1553"/>
        <item m="1" x="5291"/>
        <item m="1" x="4797"/>
        <item m="1" x="3713"/>
        <item m="1" x="3250"/>
        <item m="1" x="2729"/>
        <item m="1" x="7729"/>
        <item m="1" x="6375"/>
        <item m="1" x="4383"/>
        <item m="1" x="2992"/>
        <item m="1" x="2478"/>
        <item m="1" x="1938"/>
        <item m="1" x="1409"/>
        <item m="1" x="6556"/>
        <item m="1" x="6102"/>
        <item m="1" x="5612"/>
        <item m="1" x="5156"/>
        <item m="1" x="4650"/>
        <item m="1" x="4101"/>
        <item m="1" x="3587"/>
        <item m="1" x="3112"/>
        <item m="1" x="2596"/>
        <item m="1" x="7600"/>
        <item m="1" x="7133"/>
        <item m="1" x="6670"/>
        <item m="1" x="6242"/>
        <item m="1" x="5734"/>
        <item m="1" x="5278"/>
        <item m="1" x="4786"/>
        <item m="1" x="5572"/>
        <item m="1" x="5096"/>
        <item m="1" x="37"/>
        <item m="1" x="7082"/>
        <item m="1" x="2387"/>
        <item m="1" x="1853"/>
        <item m="1" x="1312"/>
        <item m="1" x="780"/>
        <item m="1" x="222"/>
        <item m="1" x="6595"/>
        <item m="1" x="6154"/>
        <item m="1" x="5659"/>
        <item m="1" x="5193"/>
        <item m="1" x="4681"/>
        <item m="1" x="4145"/>
        <item m="1" x="3629"/>
        <item m="1" x="3155"/>
        <item m="1" x="2624"/>
        <item m="1" x="7167"/>
        <item m="1" x="6695"/>
        <item m="1" x="6287"/>
        <item m="1" x="5783"/>
        <item m="1" x="5306"/>
        <item m="1" x="4817"/>
        <item m="1" x="4274"/>
        <item m="1" x="5405"/>
        <item m="1" x="4927"/>
        <item m="1" x="4400"/>
        <item m="1" x="3873"/>
        <item m="1" x="2873"/>
        <item m="1" x="7384"/>
        <item m="1" x="6917"/>
        <item m="1" x="5996"/>
        <item m="1" x="3498"/>
        <item m="1" x="3012"/>
        <item m="1" x="7506"/>
        <item m="1" x="7037"/>
        <item m="1" x="6574"/>
        <item m="1" x="6127"/>
        <item m="1" x="6770"/>
        <item m="1" x="4886"/>
        <item m="1" x="7790"/>
        <item m="1" x="7349"/>
        <item m="1" x="6875"/>
        <item m="1" x="1615"/>
        <item m="1" x="1074"/>
        <item m="1" x="535"/>
        <item m="1" x="6214"/>
        <item m="1" x="5698"/>
        <item m="1" x="5231"/>
        <item m="1" x="235"/>
        <item m="1" x="2006"/>
        <item m="1" x="1473"/>
        <item m="1" x="941"/>
        <item m="1" x="375"/>
        <item m="1" x="2634"/>
        <item m="1" x="6500"/>
        <item m="1" x="1676"/>
        <item m="1" x="1142"/>
        <item m="1" x="618"/>
        <item m="1" x="5050"/>
        <item m="1" x="4542"/>
        <item m="1" x="4012"/>
        <item m="1" x="3556"/>
        <item m="1" x="7687"/>
        <item m="1" x="517"/>
        <item m="1" x="1369"/>
        <item m="1" x="4823"/>
        <item m="1" x="1328"/>
        <item m="1" x="5670"/>
        <item m="1" x="2724"/>
        <item m="1" x="3508"/>
        <item m="1" x="3021"/>
        <item m="1" x="2494"/>
        <item m="1" x="1975"/>
        <item m="1" x="1439"/>
        <item m="1" x="917"/>
        <item m="1" x="7515"/>
        <item m="1" x="7044"/>
        <item m="1" x="6582"/>
        <item m="1" x="6145"/>
        <item m="1" x="5184"/>
        <item m="1" x="4673"/>
        <item m="1" x="4132"/>
        <item m="1" x="3619"/>
        <item m="1" x="3144"/>
        <item m="1" x="7311"/>
        <item m="1" x="1022"/>
        <item m="1" x="2468"/>
        <item m="1" x="6661"/>
        <item m="1" x="2851"/>
        <item m="1" x="7003"/>
        <item m="1" x="2588"/>
        <item m="1" x="6777"/>
        <item m="1" x="5018"/>
        <item m="1" x="2991"/>
        <item m="1" x="7132"/>
        <item m="1" x="6590"/>
        <item m="1" x="801"/>
        <item m="1" x="2234"/>
        <item m="1" x="7693"/>
        <item m="1" x="3965"/>
        <item m="1" x="2697"/>
        <item m="1" x="6872"/>
        <item m="1" x="4047"/>
        <item m="1" x="1044"/>
        <item m="1" x="5403"/>
        <item m="1" x="1438"/>
        <item m="1" x="5766"/>
        <item m="1" x="848"/>
        <item m="1" x="1604"/>
        <item m="1" x="319"/>
        <item m="1" x="294"/>
        <item m="1" x="431"/>
        <item m="1" x="5248"/>
        <item m="1" x="2279"/>
        <item m="1" x="7727"/>
        <item m="1" x="4112"/>
        <item m="1" x="4256"/>
        <item m="1" x="4672"/>
        <item m="1" x="1661"/>
        <item m="1" x="5964"/>
        <item m="1" x="1885"/>
        <item m="1" x="6203"/>
        <item m="1" x="2304"/>
        <item m="1" x="6528"/>
        <item m="1" x="3632"/>
        <item m="1" x="7753"/>
        <item m="1" x="2629"/>
        <item m="1" x="6819"/>
        <item m="1" x="1652"/>
        <item m="1" x="5954"/>
        <item m="1" x="3043"/>
        <item m="1" x="7181"/>
        <item m="1" x="4394"/>
        <item m="1" x="1383"/>
        <item m="1" x="5710"/>
        <item m="1" x="1797"/>
        <item m="1" x="6090"/>
        <item m="1" x="3179"/>
        <item m="1" x="7300"/>
        <item m="1" x="13"/>
        <item m="1" x="4538"/>
        <item m="1" x="4413"/>
        <item m="1" x="7322"/>
        <item m="1" x="779"/>
        <item m="1" x="4327"/>
        <item m="1" x="1207"/>
        <item m="1" x="5192"/>
        <item m="1" x="1309"/>
        <item m="1" x="5656"/>
        <item m="1" x="1727"/>
        <item m="1" x="2604"/>
        <item m="1" x="6031"/>
        <item m="1" x="3030"/>
        <item m="1" x="7171"/>
        <item m="1" x="3117"/>
        <item m="1" x="1453"/>
        <item m="1" x="5781"/>
        <item m="1" x="4877"/>
        <item m="1" x="1866"/>
        <item m="1" x="6175"/>
        <item m="1" x="3247"/>
        <item m="1" x="7375"/>
        <item m="1" x="1335"/>
        <item m="1" x="2734"/>
        <item m="1" x="6912"/>
        <item m="1" x="1650"/>
        <item m="1" x="5951"/>
        <item m="1" x="3039"/>
        <item m="1" x="1964"/>
        <item m="1" x="7124"/>
        <item m="1" x="4319"/>
        <item m="1" x="401"/>
        <item m="1" x="159"/>
        <item m="1" x="1092"/>
        <item m="1" x="549"/>
        <item m="1" x="980"/>
        <item m="1" x="5905"/>
        <item m="1" x="4949"/>
        <item m="1" x="4430"/>
        <item m="1" x="2107"/>
        <item m="1" x="5553"/>
        <item m="1" x="1879"/>
        <item m="1" x="6194"/>
        <item m="1" x="4190"/>
        <item m="1" x="3709"/>
        <item m="1" x="3165"/>
        <item m="1" x="7286"/>
        <item m="1" x="706"/>
        <item m="1" x="1995"/>
        <item m="1" x="7316"/>
        <item m="1" x="6289"/>
        <item m="1" x="4278"/>
        <item m="1" x="35"/>
        <item m="1" x="4556"/>
        <item m="1" x="3356"/>
        <item m="1" x="1270"/>
        <item m="1" x="7458"/>
        <item m="1" x="3566"/>
        <item m="1" x="2405"/>
        <item m="1" x="253"/>
        <item m="1" x="7691"/>
        <item m="1" x="6617"/>
        <item m="1" x="4702"/>
        <item m="1" x="527"/>
        <item m="1" x="4952"/>
        <item m="1" x="2817"/>
        <item m="1" x="4149"/>
        <item m="1" x="2998"/>
        <item m="1" x="5496"/>
        <item m="1" x="3472"/>
        <item m="1" x="7606"/>
        <item m="1" x="2549"/>
        <item m="1" x="421"/>
        <item m="1" x="2951"/>
        <item m="1" x="842"/>
        <item m="1" x="4707"/>
        <item m="1" x="6082"/>
        <item m="1" x="4107"/>
        <item m="1" x="5223"/>
        <item m="1" x="7314"/>
        <item m="1" x="34"/>
        <item m="1" x="2930"/>
        <item m="1" x="6119"/>
        <item m="1" x="1405"/>
        <item m="1" x="5726"/>
        <item m="1" x="4837"/>
        <item m="1" x="4127"/>
        <item m="1" x="7199"/>
        <item m="1" x="4968"/>
        <item m="1" x="6950"/>
        <item m="1" x="4123"/>
        <item m="1" x="1114"/>
        <item m="1" x="6964"/>
        <item m="1" x="7336"/>
        <item m="1" x="67"/>
        <item m="1" x="4574"/>
        <item m="1" x="1551"/>
        <item m="1" x="5865"/>
        <item m="1" x="2272"/>
        <item m="1" x="6505"/>
        <item m="1" x="4266"/>
        <item m="1" x="1260"/>
        <item m="1" x="2670"/>
        <item m="1" x="6842"/>
        <item m="1" x="4421"/>
        <item m="1" x="1411"/>
        <item m="1" x="5736"/>
        <item m="1" x="3465"/>
        <item m="1" x="1993"/>
        <item m="1" x="6288"/>
        <item m="1" x="6609"/>
        <item m="1" x="3705"/>
        <item m="1" x="3858"/>
        <item m="1" x="854"/>
        <item m="1" x="2277"/>
        <item m="1" x="6509"/>
        <item m="1" x="6831"/>
        <item m="1" x="4002"/>
        <item m="1" x="4133"/>
        <item m="1" x="5876"/>
        <item m="1" x="270"/>
        <item m="1" x="4722"/>
        <item m="1" x="1702"/>
        <item m="1" x="6006"/>
        <item m="1" x="6392"/>
        <item m="1" x="5117"/>
        <item m="1" x="2145"/>
        <item m="1" x="6411"/>
        <item m="1" x="6514"/>
        <item m="1" x="7089"/>
        <item m="1" x="6854"/>
        <item m="1" x="1418"/>
        <item m="1" x="2823"/>
        <item m="1" x="6980"/>
        <item m="1" x="6134"/>
        <item m="1" x="3220"/>
        <item m="1" x="7354"/>
        <item m="1" x="88"/>
        <item m="1" x="4590"/>
        <item m="1" x="1564"/>
        <item m="1" x="5879"/>
        <item m="1" x="6273"/>
        <item m="1" x="6012"/>
        <item m="1" x="7601"/>
        <item m="1" x="415"/>
        <item m="1" x="4859"/>
        <item m="1" x="3599"/>
        <item m="1" x="562"/>
        <item m="1" x="4986"/>
        <item m="1" x="2009"/>
        <item m="1" x="6414"/>
        <item m="1" x="6716"/>
        <item m="1" x="3875"/>
        <item m="1" x="6840"/>
        <item m="1" x="4013"/>
        <item m="1" x="2424"/>
        <item m="1" x="6633"/>
        <item m="1" x="6968"/>
        <item m="1" x="4144"/>
        <item m="1" x="2685"/>
        <item m="1" x="6858"/>
        <item m="1" x="4436"/>
        <item m="1" x="2828"/>
        <item m="1" x="6985"/>
        <item m="1" x="6144"/>
        <item m="1" x="1569"/>
        <item m="1" x="6280"/>
        <item m="1" x="284"/>
        <item m="1" x="1719"/>
        <item m="1" x="6023"/>
        <item m="1" x="6406"/>
        <item m="1" x="2013"/>
        <item m="1" x="6303"/>
        <item m="1" x="3720"/>
        <item m="1" x="721"/>
        <item m="1" x="5130"/>
        <item m="1" x="1018"/>
        <item m="1" x="6637"/>
        <item m="1" x="6977"/>
        <item m="1" x="4148"/>
        <item m="1" x="1140"/>
        <item m="1" x="5495"/>
        <item m="1" x="4442"/>
        <item m="1" x="5752"/>
        <item m="1" x="6150"/>
        <item m="1" x="7360"/>
        <item m="1" x="98"/>
        <item m="1" x="1577"/>
        <item m="1" x="6290"/>
        <item m="1" x="3359"/>
        <item m="1" x="7488"/>
        <item m="1" x="293"/>
        <item m="1" x="430"/>
        <item m="1" x="4871"/>
        <item m="1" x="1862"/>
        <item m="1" x="6167"/>
        <item m="1" x="575"/>
        <item m="1" x="6306"/>
        <item m="1" x="6626"/>
        <item m="1" x="3726"/>
        <item m="1" x="730"/>
        <item m="1" x="5136"/>
        <item m="1" x="2159"/>
        <item m="1" x="6419"/>
        <item m="1" x="3885"/>
        <item m="1" x="881"/>
        <item m="1" x="5271"/>
        <item m="1" x="6516"/>
        <item m="1" x="1285"/>
        <item m="1" x="5624"/>
        <item m="1" x="2838"/>
        <item m="1" x="6994"/>
        <item m="1" x="6152"/>
        <item m="1" x="1584"/>
        <item m="1" x="6298"/>
        <item m="1" x="3368"/>
        <item m="1" x="5412"/>
        <item m="1" x="6828"/>
        <item m="1" x="2472"/>
        <item m="1" x="4000"/>
        <item m="1" x="2860"/>
        <item m="1" x="7061"/>
        <item m="1" x="6151"/>
        <item m="1" x="7013"/>
        <item m="1" x="4255"/>
        <item m="1" x="6032"/>
        <item m="1" x="6413"/>
        <item m="1" x="1179"/>
        <item m="1" x="1598"/>
        <item m="1" x="5912"/>
        <item m="1" x="6041"/>
        <item m="1" x="7668"/>
        <item m="1" x="487"/>
        <item m="1" x="3124"/>
        <item m="1" x="4931"/>
        <item m="1" x="923"/>
        <item m="1" x="3497"/>
        <item m="1" x="5299"/>
        <item m="1" x="7632"/>
        <item m="1" x="7732"/>
        <item m="1" x="5003"/>
        <item m="1" x="2021"/>
        <item m="1" x="6311"/>
        <item m="1" x="3730"/>
        <item m="1" x="734"/>
        <item m="1" x="5141"/>
        <item m="1" x="2166"/>
        <item m="1" x="6423"/>
        <item m="1" x="3486"/>
        <item m="1" x="2363"/>
        <item m="1" x="3316"/>
        <item m="1" x="3868"/>
        <item m="1" x="1618"/>
        <item m="1" x="6924"/>
        <item m="1" x="60"/>
        <item m="1" x="6669"/>
        <item m="1" x="4570"/>
        <item m="1" x="3808"/>
        <item m="1" x="1547"/>
        <item m="1" x="5433"/>
        <item m="1" x="5863"/>
        <item m="1" x="781"/>
        <item m="1" x="4387"/>
        <item m="1" x="5457"/>
        <item m="1" x="4029"/>
        <item m="1" x="6983"/>
        <item m="1" x="4157"/>
        <item m="1" x="5505"/>
        <item m="1" x="2554"/>
        <item m="1" x="6754"/>
        <item m="1" x="7108"/>
        <item m="1" x="4300"/>
        <item m="1" x="1290"/>
        <item m="1" x="2693"/>
        <item m="1" x="6866"/>
        <item m="1" x="4449"/>
        <item m="1" x="1434"/>
        <item m="1" x="5759"/>
        <item m="1" x="2842"/>
        <item m="1" x="6158"/>
        <item m="1" x="3237"/>
        <item m="1" x="7365"/>
        <item m="1" x="1588"/>
        <item m="1" x="3372"/>
        <item m="1" x="304"/>
        <item m="1" x="4753"/>
        <item m="1" x="1732"/>
        <item m="1" x="6039"/>
        <item m="1" x="7626"/>
        <item m="1" x="4881"/>
        <item m="1" x="3528"/>
        <item m="1" x="7659"/>
        <item m="1" x="3615"/>
        <item m="1" x="7737"/>
        <item m="1" x="591"/>
        <item m="1" x="5009"/>
        <item m="1" x="2029"/>
        <item m="1" x="6316"/>
        <item m="1" x="3913"/>
        <item m="1" x="6048"/>
        <item m="1" x="5078"/>
        <item m="1" x="4582"/>
        <item m="1" x="4042"/>
        <item m="1" x="3538"/>
        <item m="1" x="3041"/>
        <item m="1" x="5674"/>
        <item m="1" x="1958"/>
        <item m="1" x="1426"/>
        <item m="1" x="907"/>
        <item m="1" x="349"/>
        <item m="1" x="4119"/>
        <item m="1" x="3608"/>
        <item m="1" x="3133"/>
        <item m="1" x="2612"/>
        <item m="1" x="5990"/>
        <item m="1" x="1111"/>
        <item m="1" x="581"/>
        <item m="1" x="395"/>
        <item m="1" x="7067"/>
        <item m="1" x="6629"/>
        <item m="1" x="6190"/>
        <item m="1" x="5679"/>
        <item m="1" x="5212"/>
        <item m="1" x="4718"/>
        <item m="1" x="4184"/>
        <item m="1" x="3643"/>
        <item m="1" x="3176"/>
        <item m="1" x="2656"/>
        <item m="1" x="7669"/>
        <item m="1" x="7189"/>
        <item m="1" x="6722"/>
        <item m="1" x="6318"/>
        <item m="1" x="5813"/>
        <item m="1" x="3568"/>
        <item m="1" x="1212"/>
        <item m="1" x="6938"/>
        <item m="1" x="4281"/>
        <item m="1" x="3656"/>
        <item m="1" x="7664"/>
        <item m="1" x="1115"/>
        <item m="1" x="482"/>
        <item m="1" x="5469"/>
        <item m="1" x="2522"/>
        <item m="1" x="1914"/>
        <item m="1" x="6715"/>
        <item m="1" x="2251"/>
        <item m="1" x="2666"/>
        <item m="1" x="6838"/>
        <item m="1" x="3579"/>
        <item m="1" x="4011"/>
        <item m="1" x="3418"/>
        <item m="1" x="7345"/>
        <item m="1" x="5467"/>
        <item m="1" x="79"/>
        <item m="1" x="2695"/>
        <item m="1" x="4584"/>
        <item m="1" x="2520"/>
        <item m="1" x="6868"/>
        <item m="1" x="6709"/>
        <item m="1" x="1561"/>
        <item m="1" x="4039"/>
        <item m="1" x="7071"/>
        <item m="1" x="1969"/>
        <item m="1" x="4452"/>
        <item m="1" x="6265"/>
        <item m="1" x="3335"/>
        <item m="1" x="2742"/>
        <item m="1" x="1566"/>
        <item m="1" x="7054"/>
        <item m="1" x="6404"/>
        <item m="1" x="3473"/>
        <item m="1" x="2892"/>
        <item m="1" x="2407"/>
        <item m="1" x="6619"/>
        <item m="1" x="5544"/>
        <item m="1" x="1717"/>
        <item m="1" x="1082"/>
        <item m="1" x="2594"/>
        <item m="1" x="6019"/>
        <item m="1" x="6781"/>
        <item m="1" x="3111"/>
        <item m="1" x="2496"/>
        <item m="1" x="3928"/>
        <item m="1" x="7244"/>
        <item m="1" x="4464"/>
        <item m="1" x="3846"/>
        <item m="1" x="1081"/>
        <item m="1" x="7744"/>
        <item m="1" x="7117"/>
        <item m="1" x="1568"/>
        <item m="1" x="1386"/>
        <item m="1" x="5713"/>
        <item m="1" x="2430"/>
        <item m="1" x="1803"/>
        <item m="1" x="3530"/>
        <item m="1" x="7660"/>
        <item m="1" x="475"/>
        <item m="1" x="4916"/>
        <item m="1" x="1284"/>
        <item m="1" x="5621"/>
        <item m="1" x="3284"/>
        <item m="1" x="6649"/>
        <item m="1" x="2834"/>
        <item m="1" x="3641"/>
        <item m="1" x="7764"/>
        <item m="1" x="1138"/>
        <item m="1" x="2046"/>
        <item m="1" x="5494"/>
        <item m="1" x="6330"/>
        <item m="1" x="2545"/>
        <item m="1" x="3398"/>
        <item m="1" x="3474"/>
        <item m="1" x="3894"/>
        <item m="1" x="7607"/>
        <item m="1" x="422"/>
        <item m="1" x="894"/>
        <item m="1" x="4865"/>
        <item m="1" x="5280"/>
        <item m="1" x="843"/>
        <item m="1" x="1281"/>
        <item m="1" x="5240"/>
        <item m="1" x="5619"/>
        <item m="1" x="5859"/>
        <item m="1" x="3282"/>
        <item m="1" x="7406"/>
        <item m="1" x="6504"/>
        <item m="1" x="2944"/>
        <item m="1" x="179"/>
        <item m="1" x="7097"/>
        <item m="1" x="566"/>
        <item m="1" x="4989"/>
        <item m="1" x="1901"/>
        <item m="1" x="999"/>
        <item m="1" x="5365"/>
        <item m="1" x="2328"/>
        <item m="1" x="3083"/>
        <item m="1" x="6468"/>
        <item m="1" x="7225"/>
        <item m="1" x="3562"/>
        <item m="1" x="4439"/>
        <item m="1" x="7690"/>
        <item m="1" x="2876"/>
        <item m="1" x="7040"/>
        <item m="1" x="1671"/>
        <item m="1" x="5972"/>
        <item m="1" x="892"/>
        <item m="1" x="965"/>
        <item m="1" x="5343"/>
        <item m="1" x="4577"/>
        <item m="1" x="1555"/>
        <item m="1" x="5871"/>
        <item m="1" x="2416"/>
        <item m="1" x="1343"/>
        <item m="1" x="4666"/>
        <item m="1" x="7275"/>
        <item m="1" x="7674"/>
        <item m="1" x="493"/>
        <item m="1" x="1492"/>
        <item m="1" x="1930"/>
        <item m="1" x="4268"/>
        <item m="1" x="4683"/>
        <item m="1" x="4170"/>
        <item m="1" x="3567"/>
        <item m="1" x="1833"/>
        <item m="1" x="5328"/>
        <item m="1" x="6135"/>
        <item m="1" x="2369"/>
        <item m="1" x="6234"/>
        <item m="1" x="4234"/>
        <item m="1" x="2350"/>
        <item m="1" x="160"/>
        <item m="1" x="6553"/>
        <item m="1" x="4649"/>
        <item m="1" x="3655"/>
        <item m="1" x="1627"/>
        <item m="1" x="7775"/>
        <item m="1" x="5941"/>
        <item m="1" x="644"/>
        <item m="1" x="2174"/>
        <item m="1" x="5057"/>
        <item m="1" x="6428"/>
        <item m="1" x="2086"/>
        <item m="1" x="3511"/>
        <item m="1" x="6354"/>
        <item m="1" x="7649"/>
        <item m="1" x="2482"/>
        <item m="1" x="3897"/>
        <item m="1" x="5897"/>
        <item m="1" x="580"/>
        <item m="1" x="5001"/>
        <item m="1" x="2017"/>
        <item m="1" x="3102"/>
        <item m="1" x="7237"/>
        <item m="1" x="5975"/>
        <item m="1" x="570"/>
        <item m="1" x="5168"/>
        <item m="1" x="1158"/>
        <item m="1" x="1005"/>
        <item m="1" x="5518"/>
        <item m="1" x="6347"/>
        <item m="1" x="2573"/>
        <item m="1" x="3415"/>
        <item m="1" x="3252"/>
        <item m="1" x="2644"/>
        <item m="1" x="6826"/>
        <item m="1" x="3991"/>
        <item m="1" x="995"/>
        <item m="1" x="2796"/>
        <item m="1" x="6956"/>
        <item m="1" x="4138"/>
        <item m="1" x="36"/>
        <item m="1" x="4557"/>
        <item m="1" x="6294"/>
        <item m="1" x="6643"/>
        <item m="1" x="3363"/>
        <item m="1" x="3753"/>
        <item m="1" x="4768"/>
        <item m="1" x="1170"/>
        <item m="1" x="5531"/>
        <item m="1" x="2582"/>
        <item m="1" x="6773"/>
        <item m="1" x="3510"/>
        <item m="1" x="7646"/>
        <item m="1" x="5219"/>
        <item m="1" x="4551"/>
        <item m="1" x="7771"/>
        <item m="1" x="6559"/>
        <item m="1" x="2918"/>
        <item m="1" x="3741"/>
        <item m="1" x="738"/>
        <item m="1" x="4194"/>
        <item m="1" x="2460"/>
        <item m="1" x="7045"/>
        <item m="1" x="4140"/>
        <item m="1" x="3545"/>
        <item m="1" x="6947"/>
        <item m="1" x="7400"/>
        <item m="1" x="4562"/>
        <item m="1" x="1276"/>
        <item m="1" x="169"/>
        <item m="1" x="3657"/>
        <item m="1" x="7777"/>
        <item m="1" x="2728"/>
        <item m="1" x="6907"/>
        <item m="1" x="7138"/>
        <item m="1" x="7524"/>
        <item m="1" x="2625"/>
        <item m="1" x="6814"/>
        <item m="1" x="4337"/>
        <item m="1" x="2499"/>
        <item m="1" x="6692"/>
        <item m="1" x="5163"/>
        <item m="1" x="7169"/>
        <item m="1" x="2193"/>
        <item m="1" x="6445"/>
        <item m="1" x="4374"/>
        <item m="1" x="3526"/>
        <item m="1" x="1363"/>
        <item m="1" x="7656"/>
        <item m="1" x="5694"/>
        <item m="1" x="471"/>
        <item m="1" x="4544"/>
        <item m="1" x="2864"/>
        <item m="1" x="7016"/>
        <item m="1" x="1529"/>
        <item m="1" x="2550"/>
        <item m="1" x="6750"/>
        <item m="1" x="5039"/>
        <item m="1" x="1051"/>
        <item m="1" x="4592"/>
        <item m="1" x="7791"/>
        <item m="1" x="5409"/>
        <item m="1" x="672"/>
        <item m="1" x="5084"/>
        <item m="1" x="3480"/>
        <item m="1" x="5253"/>
        <item m="1" x="3861"/>
        <item m="1" x="4964"/>
        <item m="1" x="7558"/>
        <item m="1" x="369"/>
        <item m="1" x="1974"/>
        <item m="1" x="4821"/>
        <item m="1" x="6213"/>
        <item m="1" x="1606"/>
        <item m="1" x="5923"/>
        <item m="1" x="3279"/>
        <item m="1" x="3339"/>
        <item m="1" x="3370"/>
        <item m="1" x="3757"/>
        <item m="1" x="7493"/>
        <item m="1" x="3710"/>
        <item m="1" x="3557"/>
        <item m="1" x="7688"/>
        <item m="1" x="2322"/>
        <item m="1" x="1678"/>
        <item m="1" x="6537"/>
        <item m="1" x="5982"/>
        <item m="1" x="3078"/>
        <item m="1" x="3906"/>
        <item m="1" x="7223"/>
        <item m="1" x="4306"/>
        <item m="1" x="7579"/>
        <item m="1" x="383"/>
        <item m="1" x="1294"/>
        <item m="1" x="5076"/>
        <item m="1" x="2100"/>
        <item m="1" x="6374"/>
        <item m="1" x="4045"/>
        <item m="1" x="2018"/>
        <item m="1" x="6310"/>
        <item m="1" x="4453"/>
        <item m="1" x="2418"/>
        <item m="1" x="6628"/>
        <item m="1" x="1436"/>
        <item m="1" x="2422"/>
        <item m="1" x="2845"/>
        <item m="1" x="6631"/>
        <item m="1" x="7001"/>
        <item m="1" x="4185"/>
        <item m="1" x="2533"/>
        <item m="1" x="3971"/>
        <item m="1" x="6735"/>
        <item m="1" x="958"/>
        <item m="1" x="3888"/>
        <item m="1" x="5341"/>
        <item m="1" x="887"/>
        <item m="1" x="2379"/>
        <item m="1" x="6584"/>
        <item m="1" x="3690"/>
        <item m="1" x="5808"/>
        <item m="1" x="2784"/>
        <item m="1" x="7109"/>
        <item m="1" x="6946"/>
        <item m="1" x="2871"/>
        <item m="1" x="4303"/>
        <item m="1" x="7032"/>
        <item m="1" x="4121"/>
        <item m="1" x="1291"/>
        <item m="1" x="6223"/>
        <item m="1" x="4225"/>
        <item m="1" x="5632"/>
        <item m="1" x="5073"/>
        <item m="1" x="3289"/>
        <item m="1" x="1193"/>
        <item m="1" x="2696"/>
        <item m="1" x="2097"/>
        <item m="1" x="7415"/>
        <item m="1" x="5557"/>
        <item m="1" x="6869"/>
        <item m="1" x="6371"/>
        <item m="1" x="3645"/>
        <item m="1" x="1620"/>
        <item m="1" x="3099"/>
        <item m="1" x="2486"/>
        <item m="1" x="7767"/>
        <item m="1" x="5933"/>
        <item m="1" x="7234"/>
        <item m="1" x="6680"/>
        <item m="1" x="6191"/>
        <item m="1" x="3837"/>
        <item m="1" x="3257"/>
        <item m="1" x="7386"/>
        <item m="1" x="804"/>
        <item m="1" x="150"/>
        <item m="1" x="5208"/>
        <item m="1" x="4639"/>
        <item m="1" x="6734"/>
        <item m="1" x="1132"/>
        <item m="1" x="1575"/>
        <item m="1" x="5490"/>
        <item m="1" x="5887"/>
        <item m="1" x="3887"/>
        <item m="1" x="2986"/>
        <item m="1" x="6389"/>
        <item m="1" x="7125"/>
        <item m="1" x="3357"/>
        <item m="1" x="6694"/>
        <item m="1" x="7486"/>
        <item m="1" x="289"/>
        <item m="1" x="3851"/>
        <item m="1" x="4740"/>
        <item m="1" x="2353"/>
        <item m="1" x="6558"/>
        <item m="1" x="3663"/>
        <item m="1" x="7527"/>
        <item m="1" x="341"/>
        <item m="1" x="1219"/>
        <item m="1" x="4793"/>
        <item m="1" x="5581"/>
        <item m="1" x="1777"/>
        <item m="1" x="2632"/>
        <item m="1" x="2292"/>
        <item m="1" x="5721"/>
        <item m="1" x="6611"/>
        <item m="1" x="7376"/>
        <item m="1" x="119"/>
        <item m="1" x="1338"/>
        <item m="1" x="5677"/>
        <item m="1" x="7127"/>
        <item m="1" x="1128"/>
        <item m="1" x="1032"/>
        <item m="1" x="5485"/>
        <item m="1" x="3466"/>
        <item m="1" x="5394"/>
        <item m="1" x="4321"/>
        <item m="1" x="7594"/>
        <item m="1" x="7712"/>
        <item m="1" x="1949"/>
        <item m="1" x="7143"/>
        <item m="1" x="6249"/>
        <item m="1" x="2965"/>
        <item m="1" x="3706"/>
        <item m="1" x="7113"/>
        <item m="1" x="3164"/>
        <item m="1" x="7284"/>
        <item m="1" x="4308"/>
        <item m="1" x="4998"/>
        <item m="1" x="6308"/>
        <item m="1" x="6708"/>
        <item m="1" x="7502"/>
        <item m="1" x="312"/>
        <item m="1" x="3859"/>
        <item m="1" x="7581"/>
        <item m="1" x="7409"/>
        <item m="1" x="384"/>
        <item m="1" x="855"/>
        <item m="1" x="180"/>
        <item m="1" x="7765"/>
        <item m="1" x="1240"/>
        <item m="1" x="629"/>
        <item m="1" x="5211"/>
        <item m="1" x="5597"/>
        <item m="1" x="6832"/>
        <item m="1" x="6345"/>
        <item m="1" x="351"/>
        <item m="1" x="763"/>
        <item m="1" x="5723"/>
        <item m="1" x="2209"/>
        <item m="1" x="6454"/>
        <item m="1" x="3544"/>
        <item m="1" x="7673"/>
        <item m="1" x="492"/>
        <item m="1" x="927"/>
        <item m="1" x="5852"/>
        <item m="1" x="2928"/>
        <item m="1" x="1990"/>
        <item m="1" x="6285"/>
        <item m="1" x="4166"/>
        <item m="1" x="1148"/>
        <item m="1" x="5513"/>
        <item m="1" x="2561"/>
        <item m="1" x="1444"/>
        <item m="1" x="5774"/>
        <item m="1" x="2850"/>
        <item m="1" x="2623"/>
        <item m="1" x="6811"/>
        <item m="1" x="2884"/>
        <item m="1" x="4750"/>
        <item m="1" x="6106"/>
        <item m="1" x="4826"/>
        <item m="1" x="1729"/>
        <item m="1" x="6035"/>
        <item m="1" x="1817"/>
        <item m="1" x="6108"/>
        <item m="1" x="3122"/>
        <item m="1" x="2768"/>
        <item m="1" x="4211"/>
        <item m="1" x="6933"/>
        <item m="1" x="1188"/>
        <item m="1" x="50"/>
        <item m="1" x="4103"/>
        <item m="1" x="4094"/>
        <item m="1" x="4099"/>
        <item m="1" x="353"/>
        <item m="1" x="4513"/>
        <item m="1" x="4520"/>
        <item m="1" x="3794"/>
        <item m="1" x="3223"/>
        <item m="1" x="7355"/>
        <item m="1" x="2290"/>
        <item m="1" x="4461"/>
        <item m="1" x="2555"/>
        <item m="1" x="1451"/>
        <item m="1" x="6755"/>
        <item m="1" x="5778"/>
        <item m="1" x="3583"/>
        <item m="1" x="3702"/>
        <item m="1" x="2717"/>
        <item m="1" x="6894"/>
        <item m="1" x="6803"/>
        <item m="1" x="40"/>
        <item m="1" x="4559"/>
        <item m="1" x="1459"/>
        <item m="1" x="5220"/>
        <item m="1" x="1353"/>
        <item m="1" x="2257"/>
        <item m="1" x="5686"/>
        <item m="1" x="6488"/>
        <item m="1" x="3349"/>
        <item m="1" x="3195"/>
        <item m="1" x="7481"/>
        <item m="1" x="7317"/>
        <item m="1" x="285"/>
        <item m="1" x="4608"/>
        <item m="1" x="5901"/>
        <item m="1" x="3126"/>
        <item m="1" x="7259"/>
        <item m="1" x="258"/>
        <item m="1" x="1787"/>
        <item m="1" x="4710"/>
        <item m="1" x="6086"/>
        <item m="1" x="7294"/>
        <item m="1" x="3231"/>
        <item m="1" x="2036"/>
        <item m="1" x="2041"/>
        <item m="1" x="6324"/>
        <item m="1" x="3393"/>
        <item m="1" x="3048"/>
        <item m="1" x="7188"/>
        <item m="1" x="6140"/>
        <item m="1" x="5147"/>
        <item m="1" x="3271"/>
        <item m="1" x="7650"/>
        <item m="1" x="461"/>
        <item m="1" x="7728"/>
        <item m="1" x="576"/>
        <item m="1" x="5861"/>
        <item m="1" x="4907"/>
        <item m="1" x="6571"/>
        <item m="1" x="4125"/>
        <item m="1" x="1924"/>
        <item m="1" x="4468"/>
        <item m="1" x="2441"/>
        <item m="1" x="6640"/>
        <item m="1" x="265"/>
        <item m="1" x="1087"/>
        <item m="1" x="4713"/>
        <item m="1" x="3639"/>
        <item m="1" x="5446"/>
        <item m="1" x="3660"/>
        <item m="1" x="109"/>
        <item m="1" x="2551"/>
        <item m="1" x="1579"/>
        <item m="1" x="959"/>
        <item m="1" x="2233"/>
        <item m="1" x="5570"/>
        <item m="1" x="2770"/>
        <item m="1" x="1796"/>
        <item m="1" x="3675"/>
        <item m="1" x="1085"/>
        <item m="1" x="1372"/>
        <item m="1" x="2905"/>
        <item m="1" x="1657"/>
        <item m="1" x="3046"/>
        <item m="1" x="7185"/>
        <item m="1" x="7547"/>
        <item m="1" x="1806"/>
        <item m="1" x="6094"/>
        <item m="1" x="7681"/>
        <item m="1" x="508"/>
        <item m="1" x="1937"/>
        <item m="1" x="2099"/>
        <item m="1" x="6373"/>
        <item m="1" x="6682"/>
        <item m="1" x="5209"/>
        <item m="1" x="4244"/>
        <item m="1" x="1220"/>
        <item m="1" x="5582"/>
        <item m="1" x="6820"/>
        <item m="1" x="7177"/>
        <item m="1" x="2777"/>
        <item m="1" x="6941"/>
        <item m="1" x="1515"/>
        <item m="1" x="2910"/>
        <item m="1" x="363"/>
        <item m="1" x="963"/>
        <item m="1" x="4247"/>
        <item m="1" x="1226"/>
        <item m="1" x="5584"/>
        <item m="1" x="4386"/>
        <item m="1" x="1381"/>
        <item m="1" x="5709"/>
        <item m="1" x="2781"/>
        <item m="1" x="7427"/>
        <item m="1" x="7554"/>
        <item m="1" x="367"/>
        <item m="1" x="4819"/>
        <item m="1" x="1812"/>
        <item m="1" x="6101"/>
        <item m="1" x="4250"/>
        <item m="1" x="4397"/>
        <item m="1" x="241"/>
        <item m="1" x="6579"/>
        <item m="1" x="675"/>
        <item m="1" x="4110"/>
        <item m="1" x="1102"/>
        <item m="1" x="5459"/>
        <item m="1" x="4254"/>
        <item m="1" x="1819"/>
        <item m="1" x="6111"/>
        <item m="1" x="6696"/>
        <item m="1" x="6822"/>
        <item m="1" x="7441"/>
        <item m="1" x="4685"/>
        <item m="1" x="4831"/>
        <item m="1" x="6116"/>
        <item m="1" x="7334"/>
        <item m="1" x="63"/>
        <item m="1" x="7697"/>
        <item m="1" x="2116"/>
        <item m="1" x="6391"/>
        <item m="1" x="6699"/>
        <item m="1" x="3852"/>
        <item m="1" x="825"/>
        <item m="1" x="5228"/>
        <item m="1" x="2265"/>
        <item m="1" x="6495"/>
        <item m="1" x="2396"/>
        <item m="1" x="6944"/>
        <item m="1" x="1248"/>
        <item m="1" x="5599"/>
        <item m="1" x="4412"/>
        <item m="1" x="1403"/>
        <item m="1" x="5725"/>
        <item m="1" x="2797"/>
        <item m="1" x="6957"/>
        <item m="1" x="7321"/>
        <item m="1" x="41"/>
        <item m="1" x="5856"/>
        <item m="1" x="2935"/>
        <item m="1" x="7445"/>
        <item m="1" x="4690"/>
        <item m="1" x="3074"/>
        <item m="1" x="1825"/>
        <item m="1" x="7339"/>
        <item m="1" x="71"/>
        <item m="1" x="7700"/>
        <item m="1" x="536"/>
        <item m="1" x="4958"/>
        <item m="1" x="1963"/>
        <item m="1" x="6260"/>
        <item m="1" x="3329"/>
        <item m="1" x="7463"/>
        <item m="1" x="263"/>
        <item m="1" x="6598"/>
        <item m="1" x="5098"/>
        <item m="1" x="6397"/>
        <item m="1" x="6701"/>
        <item m="1" x="3854"/>
        <item m="1" x="830"/>
        <item m="1" x="5234"/>
        <item m="1" x="6825"/>
        <item m="1" x="3990"/>
        <item m="1" x="2401"/>
        <item m="1" x="6614"/>
        <item m="1" x="6951"/>
        <item m="1" x="1406"/>
        <item m="1" x="7094"/>
        <item m="1" x="7449"/>
        <item m="1" x="4696"/>
        <item m="1" x="7467"/>
        <item m="1" x="1001"/>
        <item m="1" x="5367"/>
        <item m="1" x="2408"/>
        <item m="1" x="6621"/>
        <item m="1" x="4129"/>
        <item m="1" x="1121"/>
        <item m="1" x="5478"/>
        <item m="1" x="2527"/>
        <item m="1" x="7076"/>
        <item m="1" x="4267"/>
        <item m="1" x="1261"/>
        <item m="1" x="5608"/>
        <item m="1" x="6843"/>
        <item m="1" x="7212"/>
        <item m="1" x="4422"/>
        <item m="1" x="1412"/>
        <item m="1" x="5737"/>
        <item m="1" x="7331"/>
        <item m="1" x="55"/>
        <item m="1" x="4569"/>
        <item m="1" x="1546"/>
        <item m="1" x="5862"/>
        <item m="1" x="7098"/>
        <item m="1" x="7457"/>
        <item m="1" x="252"/>
        <item m="1" x="4701"/>
        <item m="1" x="1681"/>
        <item m="1" x="5987"/>
        <item m="1" x="3085"/>
        <item m="1" x="7227"/>
        <item m="1" x="7590"/>
        <item m="1" x="392"/>
        <item m="1" x="4845"/>
        <item m="1" x="7351"/>
        <item m="1" x="85"/>
        <item m="1" x="7705"/>
        <item m="1" x="541"/>
        <item m="1" x="4967"/>
        <item m="1" x="1978"/>
        <item m="1" x="6270"/>
        <item m="1" x="3340"/>
        <item m="1" x="7471"/>
        <item m="1" x="274"/>
        <item m="1" x="6112"/>
        <item m="1" x="3202"/>
        <item m="1" x="7329"/>
        <item m="1" x="53"/>
        <item m="1" x="4568"/>
        <item m="1" x="1543"/>
        <item m="1" x="5860"/>
        <item m="1" x="6253"/>
        <item m="1" x="3317"/>
        <item m="1" x="7454"/>
        <item m="1" x="249"/>
        <item m="1" x="4699"/>
        <item m="1" x="1679"/>
        <item m="1" x="5985"/>
        <item m="1" x="6382"/>
        <item m="1" x="3453"/>
        <item m="1" x="7588"/>
        <item m="1" x="391"/>
        <item m="1" x="4844"/>
        <item m="1" x="6128"/>
        <item m="1" x="3577"/>
        <item m="1" x="7703"/>
        <item m="1" x="539"/>
        <item m="1" x="4966"/>
        <item m="1" x="1976"/>
        <item m="1" x="6268"/>
        <item m="1" x="6592"/>
        <item m="1" x="3697"/>
        <item m="1" x="684"/>
        <item m="1" x="5095"/>
        <item m="1" x="2120"/>
        <item m="1" x="6395"/>
        <item m="1" x="1571"/>
        <item m="1" x="2069"/>
        <item m="1" x="6344"/>
        <item m="1" x="2981"/>
        <item m="1" x="3410"/>
        <item m="1" x="7122"/>
        <item m="1" x="7537"/>
        <item m="1" x="350"/>
        <item m="1" x="302"/>
        <item m="1" x="4749"/>
        <item m="1" x="3576"/>
        <item m="1" x="3978"/>
        <item m="1" x="2147"/>
        <item m="1" x="6719"/>
        <item m="1" x="3543"/>
        <item m="1" x="7670"/>
        <item m="1" x="3877"/>
        <item m="1" x="490"/>
        <item m="1" x="4932"/>
        <item m="1" x="870"/>
        <item m="1" x="5261"/>
        <item m="1" x="2602"/>
        <item m="1" x="3049"/>
        <item m="1" x="3002"/>
        <item m="1" x="3424"/>
        <item m="1" x="7144"/>
        <item m="1" x="7549"/>
        <item m="1" x="362"/>
        <item m="1" x="4350"/>
        <item m="1" x="2098"/>
        <item m="1" x="5468"/>
        <item m="1" x="2521"/>
        <item m="1" x="6712"/>
        <item m="1" x="1252"/>
        <item m="1" x="5602"/>
        <item m="1" x="2659"/>
        <item m="1" x="7202"/>
        <item m="1" x="4416"/>
        <item m="1" x="5727"/>
        <item m="1" x="2802"/>
        <item m="1" x="6960"/>
        <item m="1" x="6117"/>
        <item m="1" x="3208"/>
        <item m="1" x="7335"/>
        <item m="1" x="64"/>
        <item m="1" x="4572"/>
        <item m="1" x="6258"/>
        <item m="1" x="7461"/>
        <item m="1" x="256"/>
        <item m="1" x="4708"/>
        <item m="1" x="1690"/>
        <item m="1" x="5992"/>
        <item m="1" x="6384"/>
        <item m="1" x="3460"/>
        <item m="1" x="399"/>
        <item m="1" x="4849"/>
        <item m="1" x="1835"/>
        <item m="1" x="6138"/>
        <item m="1" x="6484"/>
        <item m="1" x="3582"/>
        <item m="1" x="7706"/>
        <item m="1" x="543"/>
        <item m="1" x="4970"/>
        <item m="1" x="1983"/>
        <item m="1" x="6275"/>
        <item m="1" x="6601"/>
        <item m="1" x="690"/>
        <item m="1" x="5104"/>
        <item m="1" x="2134"/>
        <item m="1" x="6402"/>
        <item m="1" x="6702"/>
        <item m="1" x="3856"/>
        <item m="1" x="837"/>
        <item m="1" x="5238"/>
        <item m="1" x="2271"/>
        <item m="1" x="6502"/>
        <item m="1" x="6827"/>
        <item m="1" x="3996"/>
        <item m="1" x="996"/>
        <item m="1" x="2404"/>
        <item m="1" x="6616"/>
        <item m="1" x="1117"/>
        <item m="1" x="5472"/>
        <item m="1" x="2523"/>
        <item m="1" x="6717"/>
        <item m="1" x="7075"/>
        <item m="1" x="4264"/>
        <item m="1" x="1257"/>
        <item m="1" x="5606"/>
        <item m="1" x="2667"/>
        <item m="1" x="6841"/>
        <item m="1" x="7208"/>
        <item m="1" x="4418"/>
        <item m="1" x="1408"/>
        <item m="1" x="5733"/>
        <item m="1" x="2810"/>
        <item m="1" x="6970"/>
        <item m="1" x="6120"/>
        <item m="1" x="3211"/>
        <item m="1" x="7340"/>
        <item m="1" x="72"/>
        <item m="1" x="4576"/>
        <item m="1" x="1552"/>
        <item m="1" x="5868"/>
        <item m="1" x="6261"/>
        <item m="1" x="3330"/>
        <item m="1" x="7464"/>
        <item m="1" x="264"/>
        <item m="1" x="5997"/>
        <item m="1" x="6388"/>
        <item m="1" x="1841"/>
        <item m="1" x="6146"/>
        <item m="1" x="6491"/>
        <item m="1" x="3586"/>
        <item m="1" x="7710"/>
        <item m="1" x="547"/>
        <item m="1" x="4976"/>
        <item m="1" x="1988"/>
        <item m="1" x="6284"/>
        <item m="1" x="6607"/>
        <item m="1" x="3704"/>
        <item m="1" x="697"/>
        <item m="1" x="5112"/>
        <item m="1" x="2139"/>
        <item m="1" x="3857"/>
        <item m="1" x="850"/>
        <item m="1" x="5245"/>
        <item m="1" x="2274"/>
        <item m="1" x="6506"/>
        <item m="1" x="6829"/>
        <item m="1" x="4001"/>
        <item m="1" x="1003"/>
        <item m="1" x="5371"/>
        <item m="1" x="2413"/>
        <item m="1" x="6623"/>
        <item m="1" x="6954"/>
        <item m="1" x="4131"/>
        <item m="1" x="1122"/>
        <item m="1" x="5481"/>
        <item m="1" x="2530"/>
        <item m="1" x="6727"/>
        <item m="1" x="7078"/>
        <item m="1" x="4270"/>
        <item m="1" x="1264"/>
        <item m="1" x="5609"/>
        <item m="1" x="2674"/>
        <item m="1" x="7216"/>
        <item m="1" x="4424"/>
        <item m="1" x="1415"/>
        <item m="1" x="5740"/>
        <item m="1" x="2815"/>
        <item m="1" x="3137"/>
        <item m="1" x="2615"/>
        <item m="1" x="4392"/>
        <item m="1" x="3869"/>
        <item m="1" x="6914"/>
        <item m="1" x="6474"/>
        <item m="1" x="5994"/>
        <item m="1" x="1113"/>
        <item m="1" x="5021"/>
        <item m="1" x="4523"/>
        <item m="1" x="3982"/>
        <item m="1" x="3477"/>
        <item m="1" x="6788"/>
        <item m="1" x="2049"/>
        <item m="1" x="1501"/>
        <item m="1" x="977"/>
        <item m="1" x="425"/>
        <item m="1" x="5815"/>
        <item m="1" x="4348"/>
        <item m="1" x="3823"/>
        <item m="1" x="3315"/>
        <item m="1" x="2827"/>
        <item m="1" x="6535"/>
        <item m="1" x="6079"/>
        <item m="1" x="5585"/>
        <item m="1" x="5116"/>
        <item m="1" x="4617"/>
        <item m="1" x="4074"/>
        <item m="1" x="5218"/>
        <item m="1" x="4733"/>
        <item m="1" x="4199"/>
        <item m="1" x="3652"/>
        <item m="1" x="3187"/>
        <item m="1" x="2673"/>
        <item m="1" x="2175"/>
        <item m="1" x="1625"/>
        <item m="1" x="1086"/>
        <item m="1" x="544"/>
        <item m="1" x="7203"/>
        <item m="1" x="6739"/>
        <item m="1" x="6321"/>
        <item m="1" x="5820"/>
        <item m="1" x="5344"/>
        <item m="1" x="4853"/>
        <item m="1" x="4322"/>
        <item m="1" x="3798"/>
        <item m="1" x="3297"/>
        <item m="1" x="2800"/>
        <item m="1" x="7772"/>
        <item m="1" x="7306"/>
        <item m="1" x="6845"/>
        <item m="1" x="5937"/>
        <item m="1" x="5443"/>
        <item m="1" x="4971"/>
        <item m="1" x="7429"/>
        <item m="1" x="6958"/>
        <item m="1" x="2254"/>
        <item m="1" x="1715"/>
        <item m="1" x="1178"/>
        <item m="1" x="641"/>
        <item m="1" x="30"/>
        <item m="1" x="3890"/>
        <item m="1" x="2383"/>
        <item m="1" x="5540"/>
        <item m="1" x="4548"/>
        <item m="1" x="5400"/>
        <item m="1" x="4922"/>
        <item m="1" x="4390"/>
        <item m="1" x="3865"/>
        <item m="1" x="3376"/>
        <item m="1" x="2870"/>
        <item m="1" x="7562"/>
        <item m="1" x="6403"/>
        <item m="1" x="1541"/>
        <item m="1" x="1024"/>
        <item m="1" x="469"/>
        <item m="1" x="7356"/>
        <item m="1" x="2449"/>
        <item m="1" x="5548"/>
        <item m="1" x="4982"/>
        <item m="1" x="2601"/>
        <item m="1" x="2000"/>
        <item m="1" x="6789"/>
        <item m="1" x="6291"/>
        <item m="1" x="3934"/>
        <item m="1" x="3360"/>
        <item m="1" x="7489"/>
        <item m="1" x="938"/>
        <item m="1" x="295"/>
        <item m="1" x="7153"/>
        <item m="1" x="6620"/>
        <item m="1" x="5301"/>
        <item m="1" x="1573"/>
        <item m="1" x="1391"/>
        <item m="1" x="5886"/>
        <item m="1" x="5719"/>
        <item m="1" x="2983"/>
        <item m="1" x="2789"/>
        <item m="1" x="7123"/>
        <item m="1" x="6953"/>
        <item m="1" x="3355"/>
        <item m="1" x="3748"/>
        <item m="1" x="7483"/>
        <item m="1" x="287"/>
        <item m="1" x="744"/>
        <item m="1" x="4738"/>
        <item m="1" x="5148"/>
        <item m="1" x="1722"/>
        <item m="1" x="2178"/>
        <item m="1" x="1991"/>
        <item m="1" x="6286"/>
        <item m="1" x="3352"/>
        <item m="1" x="699"/>
        <item m="1" x="5113"/>
        <item m="1" x="5974"/>
        <item m="1" x="3064"/>
        <item m="1" x="7213"/>
        <item m="1" x="2104"/>
        <item m="1" x="3448"/>
        <item m="1" x="7582"/>
        <item m="1" x="385"/>
        <item m="1" x="5007"/>
        <item m="1" x="7266"/>
        <item m="1" x="2027"/>
        <item m="1" x="4498"/>
        <item m="1" x="6314"/>
        <item m="1" x="2426"/>
        <item m="1" x="4896"/>
        <item m="1" x="6634"/>
        <item m="1" x="1878"/>
        <item m="1" x="6193"/>
        <item m="1" x="3259"/>
        <item m="1" x="5144"/>
        <item m="1" x="5532"/>
        <item m="1" x="2172"/>
        <item m="1" x="2583"/>
        <item m="1" x="6427"/>
        <item m="1" x="6774"/>
        <item m="1" x="2541"/>
        <item m="1" x="2990"/>
        <item m="1" x="6743"/>
        <item m="1" x="7129"/>
        <item m="1" x="6886"/>
        <item m="1" x="2989"/>
        <item m="1" x="3115"/>
        <item m="1" x="7250"/>
        <item m="1" x="3361"/>
        <item m="1" x="4475"/>
        <item m="1" x="1466"/>
        <item m="1" x="1726"/>
        <item m="1" x="6029"/>
        <item m="1" x="7011"/>
        <item m="1" x="3114"/>
        <item m="1" x="3244"/>
        <item m="1" x="2636"/>
        <item m="1" x="4527"/>
        <item m="1" x="1508"/>
        <item m="1" x="1292"/>
        <item m="1" x="5633"/>
        <item m="1" x="6870"/>
        <item m="1" x="6437"/>
        <item m="1" x="3988"/>
        <item m="1" x="1154"/>
        <item m="1" x="993"/>
        <item m="1" x="5517"/>
        <item m="1" x="5357"/>
        <item m="1" x="2564"/>
        <item m="1" x="2398"/>
        <item m="1" x="6762"/>
        <item m="1" x="6612"/>
        <item m="1" x="2973"/>
        <item m="1" x="2785"/>
        <item m="1" x="4229"/>
        <item m="1" x="2465"/>
        <item m="1" x="1198"/>
        <item m="1" x="6660"/>
        <item m="1" x="5560"/>
        <item m="1" x="3791"/>
        <item m="1" x="2619"/>
        <item m="1" x="6095"/>
        <item m="1" x="3107"/>
        <item m="1" x="2220"/>
        <item m="1" x="6460"/>
        <item m="1" x="3470"/>
        <item m="1" x="7599"/>
        <item m="1" x="3551"/>
        <item m="1" x="410"/>
        <item m="1" x="589"/>
        <item m="1" x="2042"/>
        <item m="1" x="5008"/>
        <item m="1" x="6325"/>
        <item m="1" x="2028"/>
        <item m="1" x="3394"/>
        <item m="1" x="6315"/>
        <item m="1" x="7521"/>
        <item m="1" x="4030"/>
        <item m="1" x="7325"/>
        <item m="1" x="46"/>
        <item m="1" x="1025"/>
        <item m="1" x="4563"/>
        <item m="1" x="5389"/>
        <item m="1" x="1540"/>
        <item m="1" x="7374"/>
        <item m="1" x="1869"/>
        <item m="1" x="116"/>
        <item m="1" x="6178"/>
        <item m="1" x="4620"/>
        <item m="1" x="3249"/>
        <item m="1" x="1599"/>
        <item m="1" x="4975"/>
        <item m="1" x="6518"/>
        <item m="1" x="3620"/>
        <item m="1" x="3459"/>
        <item m="1" x="7592"/>
        <item m="1" x="603"/>
        <item m="1" x="397"/>
        <item m="1" x="4848"/>
        <item m="1" x="2432"/>
        <item m="1" x="3746"/>
        <item m="1" x="4100"/>
        <item m="1" x="4521"/>
        <item m="1" x="1500"/>
        <item m="1" x="7684"/>
        <item m="1" x="514"/>
        <item m="1" x="4945"/>
        <item m="1" x="1941"/>
        <item m="1" x="2357"/>
        <item m="1" x="6563"/>
        <item m="1" x="2195"/>
        <item m="1" x="6446"/>
        <item m="1" x="3527"/>
        <item m="1" x="7657"/>
        <item m="1" x="3912"/>
        <item m="1" x="902"/>
        <item m="1" x="5290"/>
        <item m="1" x="2769"/>
        <item m="1" x="6934"/>
        <item m="1" x="4104"/>
        <item m="1" x="1987"/>
        <item m="1" x="6281"/>
        <item m="1" x="2392"/>
        <item m="1" x="6605"/>
        <item m="1" x="3703"/>
        <item m="1" x="1320"/>
        <item m="1" x="696"/>
        <item m="1" x="5668"/>
        <item m="1" x="5110"/>
        <item m="1" x="2721"/>
        <item m="1" x="2138"/>
        <item m="1" x="1480"/>
        <item m="1" x="849"/>
        <item m="1" x="5803"/>
        <item m="1" x="5244"/>
        <item m="1" x="2867"/>
        <item m="1" x="2273"/>
        <item m="1" x="4113"/>
        <item m="1" x="1517"/>
        <item m="1" x="5842"/>
        <item m="1" x="1614"/>
        <item m="1" x="1002"/>
        <item m="1" x="5928"/>
        <item m="1" x="2913"/>
        <item m="1" x="5370"/>
        <item m="1" x="7063"/>
        <item m="1" x="3016"/>
        <item m="1" x="2411"/>
        <item m="1" x="7155"/>
        <item m="1" x="3387"/>
        <item m="1" x="7514"/>
        <item m="1" x="329"/>
        <item m="1" x="4779"/>
        <item m="1" x="1760"/>
        <item m="1" x="6056"/>
        <item m="1" x="6809"/>
        <item m="1" x="7193"/>
        <item m="1" x="3973"/>
        <item m="1" x="4406"/>
        <item m="1" x="364"/>
        <item m="1" x="4373"/>
        <item m="1" x="4815"/>
        <item m="1" x="2595"/>
        <item m="1" x="1361"/>
        <item m="1" x="6782"/>
        <item m="1" x="5692"/>
        <item m="1" x="3929"/>
        <item m="1" x="2762"/>
        <item m="1" x="6931"/>
        <item m="1" x="929"/>
        <item m="1" x="2858"/>
        <item m="1" x="7007"/>
        <item m="1" x="6844"/>
        <item m="1" x="3239"/>
        <item m="1" x="3065"/>
        <item m="1" x="7368"/>
        <item m="1" x="7214"/>
        <item m="1" x="111"/>
        <item m="1" x="4611"/>
        <item m="1" x="4423"/>
        <item m="1" x="4769"/>
        <item m="1" x="4580"/>
        <item m="1" x="1753"/>
        <item m="1" x="1560"/>
        <item m="1" x="6052"/>
        <item m="1" x="5872"/>
        <item m="1" x="3140"/>
        <item m="1" x="2957"/>
        <item m="1" x="4399"/>
        <item m="1" x="7110"/>
        <item m="1" x="357"/>
        <item m="1" x="3333"/>
        <item m="1" x="4807"/>
        <item m="1" x="7466"/>
        <item m="1" x="267"/>
        <item m="1" x="3844"/>
        <item m="1" x="4717"/>
        <item m="1" x="6092"/>
        <item m="1" x="2839"/>
        <item m="1" x="6618"/>
        <item m="1" x="6996"/>
        <item m="1" x="3716"/>
        <item m="1" x="4176"/>
        <item m="1" x="716"/>
        <item m="1" x="6099"/>
        <item m="1" x="3193"/>
        <item m="1" x="7312"/>
        <item m="1" x="32"/>
        <item m="1" x="4555"/>
        <item m="1" x="7755"/>
        <item m="1" x="617"/>
        <item m="1" x="5025"/>
        <item m="1" x="7277"/>
        <item m="1" x="2590"/>
        <item m="1" x="2084"/>
        <item m="1" x="1531"/>
        <item m="1" x="5671"/>
        <item m="1" x="2726"/>
        <item m="1" x="6905"/>
        <item m="1" x="5425"/>
        <item m="1" x="5559"/>
        <item m="1" x="900"/>
        <item m="1" x="242"/>
        <item m="1" x="5289"/>
        <item m="1" x="3248"/>
        <item m="1" x="4695"/>
        <item m="1" x="7377"/>
        <item m="1" x="5641"/>
        <item m="1" x="3610"/>
        <item m="1" x="5080"/>
        <item m="1" x="7735"/>
        <item m="1" x="588"/>
        <item m="1" x="2108"/>
        <item m="1" x="6874"/>
        <item m="1" x="5005"/>
        <item m="1" x="6379"/>
        <item m="1" x="7491"/>
        <item m="1" x="4479"/>
        <item m="1" x="298"/>
        <item m="1" x="4746"/>
        <item m="1" x="1339"/>
        <item m="1" x="2227"/>
        <item m="1" x="4197"/>
        <item m="1" x="1177"/>
        <item m="1" x="5537"/>
        <item m="1" x="5896"/>
        <item m="1" x="2994"/>
        <item m="1" x="7136"/>
        <item m="1" x="4332"/>
        <item m="1" x="1313"/>
        <item m="1" x="3821"/>
        <item m="1" x="7503"/>
        <item m="1" x="313"/>
        <item m="1" x="6997"/>
        <item m="1" x="3324"/>
        <item m="1" x="6810"/>
        <item m="1" x="3145"/>
        <item m="1" x="7273"/>
        <item m="1" x="7651"/>
        <item m="1" x="462"/>
        <item m="1" x="3666"/>
        <item m="1" x="1023"/>
        <item m="1" x="5388"/>
        <item m="1" x="7008"/>
        <item m="1" x="7711"/>
        <item m="1" x="1182"/>
        <item m="1" x="3960"/>
        <item m="1" x="7440"/>
        <item m="1" x="3673"/>
        <item m="1" x="7783"/>
        <item m="1" x="656"/>
        <item m="1" x="5071"/>
        <item m="1" x="3186"/>
        <item m="1" x="2587"/>
        <item m="1" x="3766"/>
        <item m="1" x="753"/>
        <item m="1" x="5164"/>
        <item m="1" x="4663"/>
        <item m="1" x="1654"/>
        <item m="1" x="2741"/>
        <item m="1" x="5818"/>
        <item m="1" x="93"/>
        <item m="1" x="4973"/>
        <item m="1" x="930"/>
        <item m="1" x="5666"/>
        <item m="1" x="2719"/>
        <item m="1" x="6898"/>
        <item m="1" x="4070"/>
        <item m="1" x="1377"/>
        <item m="1" x="5707"/>
        <item m="1" x="2780"/>
        <item m="1" x="3546"/>
        <item m="1" x="7677"/>
        <item m="1" x="1337"/>
        <item m="1" x="717"/>
        <item m="1" x="5676"/>
        <item m="1" x="5126"/>
        <item m="1" x="5475"/>
        <item m="1" x="2525"/>
        <item m="1" x="7272"/>
        <item m="1" x="6720"/>
        <item m="1" x="4504"/>
        <item m="1" x="3878"/>
        <item m="1" x="1490"/>
        <item m="1" x="871"/>
        <item m="1" x="5816"/>
        <item m="1" x="5262"/>
        <item m="1" x="1370"/>
        <item m="1" x="4283"/>
        <item m="1" x="5700"/>
        <item m="1" x="4827"/>
        <item m="1" x="653"/>
        <item m="1" x="5068"/>
        <item m="1" x="1818"/>
        <item m="1" x="6109"/>
        <item m="1" x="2093"/>
        <item m="1" x="3832"/>
        <item m="1" x="4027"/>
        <item m="1" x="802"/>
        <item m="1" x="4433"/>
        <item m="1" x="2060"/>
        <item m="1" x="1419"/>
        <item m="1" x="6338"/>
        <item m="1" x="5747"/>
        <item m="1" x="3407"/>
        <item m="1" x="2825"/>
        <item m="1" x="7530"/>
        <item m="1" x="6982"/>
        <item m="1" x="343"/>
        <item m="1" x="4794"/>
        <item m="1" x="4155"/>
        <item m="1" x="5178"/>
        <item m="1" x="4578"/>
        <item m="1" x="7107"/>
        <item m="1" x="4040"/>
        <item m="1" x="4299"/>
        <item m="1" x="1042"/>
        <item m="1" x="4714"/>
        <item m="1" x="1435"/>
        <item m="1" x="5761"/>
        <item m="1" x="1695"/>
        <item m="1" x="6000"/>
        <item m="1" x="2844"/>
        <item m="1" x="7000"/>
        <item m="1" x="3096"/>
        <item m="1" x="1605"/>
        <item m="1" x="2063"/>
        <item m="1" x="5920"/>
        <item m="1" x="6339"/>
        <item m="1" x="5779"/>
        <item m="1" x="2592"/>
        <item m="1" x="2854"/>
        <item m="1" x="7006"/>
        <item m="1" x="4198"/>
        <item m="1" x="1481"/>
        <item m="1" x="7662"/>
        <item m="1" x="5804"/>
        <item m="1" x="2868"/>
        <item m="1" x="5127"/>
        <item m="1" x="1119"/>
        <item m="1" x="6576"/>
        <item m="1" x="5476"/>
        <item m="1" x="3685"/>
        <item m="1" x="2526"/>
        <item m="1" x="6721"/>
        <item m="1" x="673"/>
        <item m="1" x="4456"/>
        <item m="1" x="2504"/>
        <item m="1" x="6700"/>
        <item m="1" x="7055"/>
        <item m="1" x="4251"/>
        <item m="1" x="4369"/>
        <item m="1" x="3345"/>
        <item m="1" x="7005"/>
        <item m="1" x="7101"/>
        <item m="1" x="4169"/>
        <item m="1" x="4314"/>
        <item m="1" x="4459"/>
        <item m="1" x="4320"/>
        <item m="1" x="5984"/>
        <item m="1" x="6381"/>
        <item m="1" x="6114"/>
        <item m="1" x="4438"/>
        <item m="1" x="4587"/>
        <item m="1" x="4724"/>
        <item m="1" x="4855"/>
        <item m="1" x="3600"/>
        <item m="1" x="3722"/>
        <item m="1" x="1848"/>
        <item m="1" x="2002"/>
        <item m="1" x="2144"/>
        <item m="1" x="2285"/>
        <item m="1" x="2417"/>
        <item m="1" x="3771"/>
        <item m="1" x="4050"/>
        <item m="1" x="4331"/>
        <item m="1" x="2979"/>
        <item m="1" x="3238"/>
        <item m="1" x="3494"/>
        <item m="1" x="4501"/>
        <item m="1" x="4648"/>
        <item m="1" x="4787"/>
        <item m="1" x="3537"/>
        <item m="1" x="3797"/>
        <item m="1" x="3676"/>
        <item m="1" x="3834"/>
        <item m="1" x="3969"/>
        <item m="1" x="4098"/>
        <item m="1" x="4242"/>
        <item m="1" x="4378"/>
        <item m="1" x="3437"/>
        <item m="1" x="3563"/>
        <item m="1" x="3679"/>
        <item m="1" x="2631"/>
        <item m="1" x="1905"/>
        <item m="1" x="2070"/>
        <item m="1" x="2208"/>
        <item m="1" x="2347"/>
        <item m="1" x="2480"/>
        <item m="1" x="2733"/>
        <item m="1" x="5881"/>
        <item m="1" x="6014"/>
        <item m="1" x="6157"/>
        <item m="1" x="6024"/>
        <item m="1" x="5543"/>
        <item m="1" x="6163"/>
        <item m="1" x="5664"/>
        <item m="1" x="5004"/>
        <item m="1" x="4497"/>
        <item m="1" x="4642"/>
        <item m="1" x="7749"/>
        <item m="1" x="5279"/>
        <item m="1" x="1230"/>
        <item m="1" x="1528"/>
        <item m="1" x="1667"/>
        <item m="1" x="5795"/>
        <item m="1" x="5914"/>
        <item m="1" x="4775"/>
        <item m="1" x="4904"/>
        <item m="1" x="5797"/>
        <item m="1" x="5919"/>
        <item m="1" x="4780"/>
        <item m="1" x="4909"/>
        <item m="1" x="5654"/>
        <item m="1" x="5786"/>
        <item m="1" x="5907"/>
        <item m="1" x="6045"/>
        <item m="1" x="6189"/>
        <item m="1" x="4474"/>
        <item m="1" x="3937"/>
        <item m="1" x="4078"/>
        <item m="1" x="4224"/>
        <item m="1" x="4361"/>
        <item m="1" x="2346"/>
        <item m="1" x="5662"/>
        <item m="1" x="2479"/>
        <item m="1" x="4494"/>
        <item m="1" x="4634"/>
        <item m="1" x="1341"/>
        <item m="1" x="3938"/>
        <item m="1" x="3665"/>
        <item m="1" x="3998"/>
        <item m="1" x="4330"/>
        <item m="1" x="4393"/>
        <item m="1" x="3309"/>
        <item m="1" x="3689"/>
        <item m="1" x="3981"/>
        <item m="1" x="3447"/>
        <item m="1" x="5839"/>
        <item m="1" x="6210"/>
        <item m="1" x="5038"/>
        <item m="1" x="5812"/>
        <item m="1" x="5936"/>
        <item m="1" x="6066"/>
        <item m="1" x="6562"/>
        <item m="1" x="5706"/>
        <item m="1" x="6988"/>
        <item m="1" x="3500"/>
        <item m="1" x="2351"/>
        <item m="1" x="823"/>
        <item m="1" x="561"/>
        <item m="1" x="292"/>
        <item m="1" x="574"/>
        <item m="1" x="728"/>
        <item m="1" x="4729"/>
        <item m="1" x="1503"/>
        <item m="1" x="419"/>
        <item m="1" x="7288"/>
        <item m="1" x="5188"/>
        <item m="1" x="1083"/>
        <item m="1" x="4366"/>
        <item m="1" x="4246"/>
        <item m="1" x="4947"/>
        <item m="1" x="5451"/>
        <item m="1" x="4396"/>
        <item m="1" x="7258"/>
        <item m="1" x="6359"/>
        <item m="1" x="6122"/>
        <item m="1" x="4985"/>
        <item m="1" x="5488"/>
        <item m="1" x="953"/>
        <item m="1" x="960"/>
        <item m="1" x="4866"/>
        <item m="1" x="750"/>
        <item m="1" x="4156"/>
        <item m="1" x="3613"/>
        <item m="1" x="4033"/>
        <item m="1" x="3745"/>
        <item m="1" x="2790"/>
        <item m="1" x="2543"/>
        <item m="1" x="5062"/>
        <item m="1" x="5563"/>
        <item m="1" x="4427"/>
        <item m="1" x="5906"/>
        <item m="1" x="1700"/>
        <item m="1" x="606"/>
        <item m="1" x="1518"/>
        <item m="1" x="1669"/>
        <item m="1" x="4377"/>
        <item m="1" x="4660"/>
        <item m="1" x="2471"/>
        <item m="1" x="3263"/>
        <item m="1" x="2887"/>
        <item m="1" x="1926"/>
        <item m="1" x="2222"/>
        <item m="1" x="2356"/>
        <item m="1" x="2891"/>
        <item m="1" x="3034"/>
        <item m="1" x="3168"/>
        <item m="1" x="1781"/>
        <item m="1" x="2078"/>
        <item m="1" x="2221"/>
        <item m="1" x="2355"/>
        <item m="1" x="1147"/>
        <item m="1" x="7115"/>
        <item m="1" x="7734"/>
        <item m="1" x="7119"/>
        <item m="1" x="7643"/>
        <item m="1" x="4518"/>
        <item m="1" x="4675"/>
        <item m="1" x="3565"/>
        <item m="1" x="3683"/>
        <item m="1" x="4248"/>
        <item m="1" x="3060"/>
        <item m="1" x="3853"/>
        <item m="1" x="3987"/>
        <item m="1" x="4120"/>
        <item m="1" x="3068"/>
        <item m="1" x="3700"/>
        <item m="1" x="3855"/>
        <item m="1" x="3590"/>
        <item m="1" x="4004"/>
        <item m="1" x="3630"/>
        <item m="1" x="3385"/>
        <item m="1" x="3514"/>
        <item m="1" x="29"/>
        <item m="1" x="3640"/>
        <item m="1" x="3141"/>
        <item m="1" x="135"/>
        <item m="1" x="6332"/>
        <item m="1" x="1645"/>
        <item m="1" x="1792"/>
        <item m="1" x="1928"/>
        <item m="1" x="2224"/>
        <item m="1" x="4136"/>
        <item m="1" x="4505"/>
        <item m="1" x="6477"/>
        <item m="1" x="6583"/>
        <item m="1" x="414"/>
        <item m="1" x="6069"/>
        <item m="1" x="6197"/>
        <item m="1" x="5214"/>
        <item m="1" x="4191"/>
        <item m="1" x="1079"/>
        <item m="1" x="700"/>
        <item m="1" x="2569"/>
        <item m="1" x="2995"/>
        <item m="1" x="2708"/>
        <item m="1" x="2580"/>
        <item m="1" x="3131"/>
        <item m="1" x="2342"/>
        <item m="1" x="2872"/>
        <item m="1" x="3150"/>
        <item m="1" x="2481"/>
        <item m="1" x="3160"/>
        <item m="1" x="1489"/>
        <item m="1" x="1927"/>
        <item m="1" x="2223"/>
        <item m="1" x="5150"/>
        <item m="1" x="754"/>
        <item m="1" x="901"/>
        <item m="1" x="327"/>
        <item m="1" x="616"/>
        <item m="1" x="3245"/>
        <item m="1" x="6989"/>
        <item m="1" x="6753"/>
        <item m="1" x="6524"/>
        <item m="1" x="5690"/>
        <item m="1" x="7330"/>
        <item m="1" x="1852"/>
        <item m="1" x="893"/>
        <item m="1" x="1146"/>
        <item m="1" x="3588"/>
        <item m="1" x="4287"/>
        <item m="1" x="3882"/>
        <item m="1" x="3602"/>
        <item m="1" x="4593"/>
        <item m="1" x="3013"/>
        <item m="1" x="2111"/>
        <item m="1" x="5780"/>
        <item m="1" x="5916"/>
        <item m="1" x="2618"/>
        <item m="1" x="2752"/>
        <item m="1" x="3664"/>
        <item m="1" x="3506"/>
        <item m="1" x="5957"/>
        <item m="1" x="6818"/>
        <item m="1" x="2929"/>
        <item m="1" x="7056"/>
        <item m="1" x="5573"/>
        <item m="1" x="5702"/>
        <item m="1" x="5835"/>
        <item m="1" x="4767"/>
        <item m="1" x="5169"/>
        <item m="1" x="5411"/>
        <item m="1" x="5546"/>
        <item m="1" x="5667"/>
        <item m="1" x="4646"/>
        <item m="1" x="7609"/>
        <item m="1" x="7720"/>
        <item m="1" x="7490"/>
        <item m="1" x="7021"/>
        <item m="1" x="2217"/>
        <item m="1" x="818"/>
        <item m="1" x="352"/>
        <item m="1" x="7178"/>
        <item m="1" x="6064"/>
        <item m="1" x="4796"/>
        <item m="1" x="4929"/>
        <item m="1" x="3817"/>
        <item m="1" x="4375"/>
        <item m="1" x="3953"/>
        <item m="1" x="3183"/>
        <item m="1" x="1038"/>
        <item m="1" x="1329"/>
        <item m="1" x="1"/>
        <item m="1" x="5445"/>
        <item m="1" x="5932"/>
        <item m="1" x="5945"/>
        <item m="1" x="4930"/>
        <item m="1" x="6328"/>
        <item m="1" x="1741"/>
        <item m="1" x="1875"/>
        <item m="1" x="7025"/>
        <item m="1" x="7413"/>
        <item m="1" x="6462"/>
        <item m="1" x="2739"/>
        <item m="1" x="1782"/>
        <item m="1" x="1920"/>
        <item m="1" x="7545"/>
        <item m="1" x="5823"/>
        <item m="1" x="6089"/>
        <item m="1" x="2113"/>
        <item m="1" x="5332"/>
        <item m="1" x="1243"/>
        <item m="1" x="5199"/>
        <item m="1" x="5435"/>
        <item m="1" x="5566"/>
        <item m="1" x="4667"/>
        <item m="1" x="4811"/>
        <item m="1" x="4944"/>
        <item m="1" x="5070"/>
        <item m="1" x="5205"/>
        <item m="1" x="5329"/>
        <item m="1" x="5840"/>
        <item m="1" x="4571"/>
        <item m="1" x="5233"/>
        <item m="1" x="5360"/>
        <item m="1" x="4745"/>
        <item m="1" x="4874"/>
        <item m="1" x="3743"/>
        <item m="1" x="4034"/>
        <item m="1" x="4173"/>
        <item m="1" x="4462"/>
        <item m="1" x="4605"/>
        <item m="1" x="4754"/>
        <item m="1" x="7399"/>
        <item m="1" x="6250"/>
        <item m="1" x="6839"/>
        <item m="1" x="7096"/>
        <item m="1" x="247"/>
        <item m="1" x="390"/>
        <item m="1" x="682"/>
        <item m="1" x="828"/>
        <item m="1" x="991"/>
        <item m="1" x="54"/>
        <item m="1" x="259"/>
        <item m="1" x="6165"/>
        <item m="1" x="4638"/>
        <item m="1" x="4643"/>
        <item m="1" x="3260"/>
        <item m="1" x="1491"/>
        <item m="1" x="7648"/>
        <item m="1" x="6466"/>
        <item m="1" x="5030"/>
        <item m="1" x="5034"/>
        <item m="1" x="5037"/>
        <item m="1" x="4503"/>
        <item m="1" x="4510"/>
        <item m="1" x="4525"/>
        <item m="1" x="4529"/>
        <item m="1" x="7468"/>
        <item m="1" x="6856"/>
        <item m="1" x="4885"/>
        <item m="1" x="5644"/>
        <item m="1" x="4814"/>
        <item m="1" x="6457"/>
        <item m="1" x="7593"/>
        <item m="1" x="1033"/>
        <item m="1" x="7596"/>
        <item m="1" x="7608"/>
        <item m="1" x="7617"/>
        <item m="1" x="5962"/>
        <item m="1" x="7631"/>
        <item m="1" x="5971"/>
        <item m="1" x="7637"/>
        <item m="1" x="2947"/>
        <item m="1" x="2955"/>
        <item m="1" x="2960"/>
        <item m="1" x="1883"/>
        <item m="1" x="1887"/>
        <item m="1" x="1894"/>
        <item m="1" x="1898"/>
        <item m="1" x="1900"/>
        <item m="1" x="1904"/>
        <item m="1" x="808"/>
        <item m="1" x="814"/>
        <item m="1" x="822"/>
        <item m="1" x="827"/>
        <item m="1" x="833"/>
        <item m="1" x="1192"/>
        <item m="1" x="275"/>
        <item m="1" x="288"/>
        <item m="1" x="300"/>
        <item m="1" x="5225"/>
        <item m="1" x="5086"/>
        <item m="1" x="5088"/>
        <item m="1" x="3461"/>
        <item m="1" x="5093"/>
        <item m="1" x="5102"/>
        <item m="1" x="5108"/>
        <item m="1" x="6534"/>
        <item m="1" x="6541"/>
        <item m="1" x="5561"/>
        <item m="1" x="5083"/>
        <item m="1" x="4079"/>
        <item m="1" x="7431"/>
        <item m="1" x="7566"/>
        <item m="1" x="7689"/>
        <item m="1" x="7787"/>
        <item m="1" x="7219"/>
        <item m="1" x="6761"/>
        <item m="1" x="913"/>
        <item m="1" x="918"/>
        <item m="1" x="925"/>
        <item m="1" x="928"/>
        <item m="1" x="1062"/>
        <item m="1" x="6301"/>
        <item m="1" x="5296"/>
        <item m="1" x="2735"/>
        <item m="1" x="1731"/>
        <item m="1" x="6400"/>
        <item m="1" x="6409"/>
        <item m="1" x="5995"/>
        <item m="1" x="7048"/>
        <item m="1" x="7051"/>
        <item m="1" x="7747"/>
        <item m="1" x="7292"/>
        <item m="1" x="5048"/>
        <item m="1" x="2079"/>
        <item m="1" x="776"/>
        <item m="1" x="5556"/>
        <item m="1" x="4662"/>
        <item m="1" x="4671"/>
        <item m="1" x="4678"/>
        <item m="1" x="5756"/>
        <item m="1" x="7264"/>
        <item m="1" x="4991"/>
        <item m="1" x="2801"/>
        <item m="1" x="5908"/>
        <item m="1" x="7405"/>
        <item m="1" x="6940"/>
        <item m="1" x="6503"/>
        <item m="1" x="1145"/>
        <item m="1" x="1822"/>
        <item m="1" x="756"/>
        <item m="1" x="6971"/>
        <item m="1" x="5224"/>
        <item m="1" x="4737"/>
        <item m="1" x="4201"/>
        <item m="1" x="7313"/>
        <item m="1" x="6431"/>
        <item m="1" x="507"/>
        <item m="1" x="2760"/>
        <item m="1" x="646"/>
        <item m="1" x="6952"/>
        <item m="1" x="4588"/>
        <item m="1" x="3045"/>
        <item m="1" x="3612"/>
        <item m="1" x="3139"/>
        <item m="1" x="2617"/>
        <item m="1" x="3328"/>
        <item m="1" x="2840"/>
        <item m="1" x="2334"/>
        <item m="1" x="727"/>
        <item m="1" x="7017"/>
        <item m="1" x="5617"/>
        <item m="1" x="5160"/>
        <item m="1" x="4654"/>
        <item m="1" x="4106"/>
        <item m="1" x="3597"/>
        <item m="1" x="3121"/>
        <item m="1" x="2603"/>
        <item m="1" x="7614"/>
        <item m="1" x="7140"/>
        <item m="1" x="6672"/>
        <item m="1" x="6245"/>
        <item m="1" x="5742"/>
        <item m="1" x="5286"/>
        <item m="1" x="7719"/>
        <item m="1" x="7254"/>
        <item m="1" x="6790"/>
        <item m="1" x="2050"/>
        <item m="1" x="1502"/>
        <item m="1" x="981"/>
        <item m="1" x="427"/>
        <item m="1" x="4210"/>
        <item m="1" x="3667"/>
        <item m="1" x="3200"/>
        <item m="1" x="2687"/>
        <item m="1" x="2192"/>
        <item m="1" x="1637"/>
        <item m="1" x="1098"/>
        <item m="1" x="557"/>
        <item m="1" x="6333"/>
        <item m="1" x="5351"/>
        <item m="1" x="4868"/>
        <item m="1" x="3308"/>
        <item m="1" x="2819"/>
        <item m="1" x="2312"/>
        <item m="1" x="1771"/>
        <item m="1" x="7780"/>
        <item m="1" x="7328"/>
        <item m="1" x="4484"/>
        <item m="1" x="3939"/>
        <item m="1" x="7194"/>
        <item m="1" x="6730"/>
        <item m="1" x="5817"/>
        <item m="1" x="5337"/>
        <item m="1" x="4850"/>
        <item m="1" x="5149"/>
        <item m="1" x="5157"/>
        <item m="1" x="49"/>
        <item m="1" x="62"/>
        <item m="1" x="68"/>
        <item m="1" x="77"/>
        <item m="1" x="83"/>
        <item m="1" x="89"/>
        <item m="1" x="94"/>
        <item m="1" x="99"/>
        <item m="1" x="102"/>
        <item m="1" x="106"/>
        <item m="1" x="2333"/>
        <item m="1" x="1794"/>
        <item m="1" x="1237"/>
        <item m="1" x="724"/>
        <item m="1" x="136"/>
        <item m="1" x="3963"/>
        <item m="1" x="3451"/>
        <item m="1" x="2963"/>
        <item m="1" x="2462"/>
        <item m="1" x="1916"/>
        <item m="1" x="1384"/>
        <item m="1" x="862"/>
        <item m="1" x="316"/>
        <item m="1" x="6543"/>
        <item m="1" x="6087"/>
        <item m="1" x="5595"/>
        <item m="1" x="5133"/>
        <item m="1" x="4629"/>
        <item m="1" x="4088"/>
        <item m="1" x="3570"/>
        <item m="1" x="3093"/>
        <item m="1" x="2574"/>
        <item m="1" x="2071"/>
        <item m="1" x="7587"/>
        <item m="1" x="7112"/>
        <item m="1" x="6656"/>
        <item m="1" x="6224"/>
        <item m="1" x="5711"/>
        <item m="1" x="5819"/>
        <item m="1" x="5825"/>
        <item m="1" x="5831"/>
        <item m="1" x="5314"/>
        <item m="1" x="5317"/>
        <item m="1" x="5321"/>
        <item m="1" x="5323"/>
        <item m="1" x="5325"/>
        <item m="1" x="5330"/>
        <item m="1" x="5338"/>
        <item m="1" x="5342"/>
        <item m="1" x="6769"/>
        <item m="1" x="6346"/>
        <item m="1" x="3642"/>
        <item m="1" x="3173"/>
        <item m="1" x="2651"/>
        <item m="1" x="2156"/>
        <item m="1" x="1609"/>
        <item m="1" x="1070"/>
        <item m="1" x="532"/>
        <item m="1" x="5579"/>
        <item m="1" x="7564"/>
        <item m="1" x="7092"/>
        <item m="1" x="2393"/>
        <item m="1" x="1860"/>
        <item m="1" x="1316"/>
        <item m="1" x="788"/>
        <item m="1" x="231"/>
        <item m="1" x="4031"/>
        <item m="1" x="3031"/>
        <item m="1" x="2004"/>
        <item m="1" x="1469"/>
        <item m="1" x="939"/>
        <item m="1" x="373"/>
        <item m="1" x="6606"/>
        <item m="1" x="6164"/>
        <item m="1" x="5195"/>
        <item m="1" x="4686"/>
        <item m="1" x="3162"/>
        <item m="1" x="2630"/>
        <item m="1" x="2135"/>
        <item m="1" x="7654"/>
        <item m="1" x="7172"/>
        <item m="1" x="6296"/>
        <item m="1" x="5793"/>
        <item m="1" x="5313"/>
        <item m="1" x="4286"/>
        <item m="1" x="971"/>
        <item m="1" x="3331"/>
        <item m="1" x="3403"/>
        <item m="1" x="2984"/>
        <item m="1" x="2474"/>
        <item m="1" x="882"/>
        <item m="1" x="330"/>
        <item m="1" x="7725"/>
        <item m="1" x="7260"/>
        <item m="1" x="6799"/>
        <item m="1" x="6372"/>
        <item m="1" x="5867"/>
        <item m="1" x="5396"/>
        <item m="1" x="4917"/>
        <item m="1" x="7380"/>
        <item m="1" x="6906"/>
        <item m="1" x="2200"/>
        <item m="1" x="1647"/>
        <item m="1" x="1108"/>
        <item m="1" x="573"/>
        <item m="1" x="4352"/>
        <item m="1" x="3829"/>
        <item m="1" x="3319"/>
        <item m="1" x="2831"/>
        <item m="1" x="2325"/>
        <item m="1" x="1784"/>
        <item m="1" x="1231"/>
        <item m="1" x="715"/>
        <item m="1" x="123"/>
        <item m="1" x="6449"/>
        <item m="1" x="5950"/>
        <item m="1" x="5464"/>
        <item m="1" x="4995"/>
        <item m="1" x="3958"/>
        <item m="1" x="1909"/>
        <item m="1" x="7455"/>
        <item m="1" x="6083"/>
        <item m="1" x="5123"/>
        <item m="1" x="4624"/>
        <item m="1" x="4082"/>
        <item m="1" x="7578"/>
        <item m="1" x="7105"/>
        <item m="1" x="6220"/>
        <item m="1" x="3534"/>
        <item m="1" x="3037"/>
        <item m="1" x="2514"/>
        <item m="1" x="2015"/>
        <item m="1" x="1482"/>
        <item m="1" x="946"/>
        <item m="1" x="381"/>
        <item m="1" x="7209"/>
        <item m="1" x="6745"/>
        <item m="1" x="6327"/>
        <item m="1" x="5827"/>
        <item m="1" x="5349"/>
        <item m="1" x="4857"/>
        <item m="1" x="4329"/>
        <item m="1" x="3803"/>
        <item m="1" x="3302"/>
        <item m="1" x="2808"/>
        <item m="1" x="7778"/>
        <item m="1" x="7318"/>
        <item m="1" x="6850"/>
        <item m="1" x="6433"/>
        <item m="1" x="5944"/>
        <item m="1" x="4977"/>
        <item m="1" x="7434"/>
        <item m="1" x="6969"/>
        <item m="1" x="7009"/>
        <item m="1" x="6557"/>
        <item m="1" x="6105"/>
        <item m="1" x="5614"/>
        <item m="1" x="3826"/>
        <item m="1" x="6665"/>
        <item m="1" x="5268"/>
        <item m="1" x="521"/>
        <item m="1" x="2775"/>
        <item m="1" x="6939"/>
        <item m="1" x="6482"/>
        <item m="1" x="6009"/>
        <item m="1" x="1127"/>
        <item m="1" x="605"/>
        <item m="1" x="2852"/>
        <item m="1" x="2344"/>
        <item m="1" x="1807"/>
        <item m="1" x="1259"/>
        <item m="1" x="737"/>
        <item m="1" x="154"/>
        <item m="1" x="7027"/>
        <item m="1" x="5626"/>
        <item m="1" x="4115"/>
        <item m="1" x="3601"/>
        <item m="1" x="3127"/>
        <item m="1" x="2610"/>
        <item m="1" x="3804"/>
        <item m="1" x="3303"/>
        <item m="1" x="2809"/>
        <item m="1" x="2298"/>
        <item m="1" x="5724"/>
        <item m="1" x="6963"/>
        <item m="1" x="6060"/>
        <item m="1" x="5568"/>
        <item m="1" x="5092"/>
        <item m="1" x="4598"/>
        <item m="1" x="4056"/>
        <item m="1" x="3548"/>
        <item m="1" x="3058"/>
        <item m="1" x="2538"/>
        <item m="1" x="6864"/>
        <item m="1" x="661"/>
        <item m="1" x="7708"/>
        <item m="1" x="6162"/>
        <item m="1" x="1828"/>
        <item m="1" x="1971"/>
        <item m="1" x="1548"/>
        <item m="1" x="1687"/>
        <item m="1" x="1979"/>
        <item m="1" x="2124"/>
        <item m="1" x="2399"/>
        <item m="1" x="2664"/>
        <item m="1" x="1880"/>
        <item m="1" x="2804"/>
        <item m="1" x="6239"/>
        <item m="1" x="4784"/>
        <item m="1" x="3695"/>
        <item m="1" x="6458"/>
        <item m="1" x="281"/>
        <item m="1" x="966"/>
        <item m="1" x="404"/>
        <item m="1" x="5688"/>
        <item m="1" x="5221"/>
        <item m="1" x="4736"/>
        <item m="1" x="4200"/>
        <item m="1" x="3654"/>
        <item m="1" x="3189"/>
        <item m="1" x="2675"/>
        <item m="1" x="2177"/>
        <item m="1" x="1626"/>
        <item m="1" x="1088"/>
        <item m="1" x="7680"/>
        <item m="1" x="7205"/>
        <item m="1" x="6741"/>
        <item m="1" x="6323"/>
        <item m="1" x="5822"/>
        <item m="1" x="5346"/>
        <item m="1" x="4854"/>
        <item m="1" x="4323"/>
        <item m="1" x="3799"/>
        <item m="1" x="3298"/>
        <item m="1" x="7774"/>
        <item m="1" x="7308"/>
        <item m="1" x="6847"/>
        <item m="1" x="6429"/>
        <item m="1" x="5940"/>
        <item m="1" x="5447"/>
        <item m="1" x="504"/>
        <item m="1" x="4911"/>
        <item m="1" x="2306"/>
        <item m="1" x="1769"/>
        <item m="1" x="1216"/>
        <item m="1" x="5607"/>
        <item m="1" x="5121"/>
        <item m="1" x="2559"/>
        <item m="1" x="3321"/>
        <item m="1" x="3456"/>
        <item m="1" x="869"/>
        <item m="1" x="4258"/>
        <item m="1" x="6539"/>
        <item m="1" x="6659"/>
        <item m="1" x="6776"/>
        <item m="1" x="6888"/>
        <item m="1" x="7014"/>
        <item m="1" x="7263"/>
        <item m="1" x="7388"/>
        <item m="1" x="7519"/>
        <item m="1" x="6542"/>
        <item m="1" x="6663"/>
        <item m="1" x="6892"/>
        <item m="1" x="7020"/>
        <item m="1" x="7147"/>
        <item m="1" x="7268"/>
        <item m="1" x="7391"/>
        <item m="1" x="7522"/>
        <item m="1" x="6448"/>
        <item m="1" x="6544"/>
        <item m="1" x="6666"/>
        <item m="1" x="6780"/>
        <item m="1" x="6896"/>
        <item m="1" x="7024"/>
        <item m="1" x="7152"/>
        <item m="1" x="7271"/>
        <item m="1" x="7395"/>
        <item m="1" x="7525"/>
        <item m="1" x="6104"/>
        <item m="1" x="4656"/>
        <item m="1" x="5681"/>
        <item m="1" x="4834"/>
        <item m="1" x="4956"/>
        <item m="1" x="7563"/>
        <item m="1" x="1365"/>
        <item m="1" x="7638"/>
        <item m="1" x="4830"/>
        <item m="1" x="5111"/>
        <item m="1" x="5276"/>
        <item m="1" x="5510"/>
        <item m="1" x="533"/>
        <item m="1" x="676"/>
        <item m="1" x="1104"/>
        <item m="1" x="254"/>
        <item m="1" x="396"/>
        <item m="1" x="6813"/>
        <item m="1" x="5699"/>
        <item m="1" x="2420"/>
        <item m="1" x="2196"/>
        <item m="1" x="2331"/>
        <item m="1" x="2469"/>
        <item m="1" x="1184"/>
        <item m="1" x="658"/>
        <item m="1" x="7077"/>
        <item m="1" x="3483"/>
        <item m="1" x="3607"/>
        <item m="1" x="3820"/>
        <item m="1" x="3684"/>
        <item m="1" x="3192"/>
        <item m="1" x="3353"/>
        <item m="1" x="1595"/>
        <item m="1" x="1743"/>
        <item m="1" x="5554"/>
        <item m="1" x="7482"/>
        <item m="1" x="5611"/>
        <item m="1" x="2037"/>
        <item m="1" x="2184"/>
        <item m="1" x="2313"/>
        <item m="1" x="1330"/>
        <item m="1" x="2477"/>
        <item m="1" x="2068"/>
        <item m="1" x="1640"/>
        <item m="1" x="1783"/>
        <item m="1" x="1921"/>
        <item m="1" x="1075"/>
        <item m="1" x="1203"/>
        <item m="1" x="797"/>
        <item m="1" x="1215"/>
        <item m="1" x="666"/>
        <item m="1" x="411"/>
        <item m="1" x="872"/>
        <item m="1" x="1030"/>
        <item m="1" x="112"/>
        <item m="1" x="445"/>
        <item m="1" x="897"/>
        <item m="1" x="1036"/>
        <item m="1" x="6602"/>
        <item m="1" x="5809"/>
        <item m="1" x="6061"/>
        <item m="1" x="6336"/>
        <item m="1" x="5675"/>
        <item m="1" x="5576"/>
        <item m="1" x="5454"/>
        <item m="1" x="5109"/>
        <item m="1" x="5242"/>
        <item m="1" x="4490"/>
        <item m="1" x="3024"/>
        <item m="1" x="838"/>
        <item m="1" x="7162"/>
        <item m="1" x="2267"/>
        <item m="1" x="3079"/>
        <item m="1" x="435"/>
        <item m="1" x="6807"/>
        <item m="1" x="1982"/>
        <item m="1" x="5837"/>
        <item m="1" x="5955"/>
        <item m="1" x="5082"/>
        <item m="1" x="4962"/>
        <item m="1" x="5857"/>
        <item m="1" x="5236"/>
        <item m="1" x="3891"/>
        <item m="1" x="7350"/>
        <item m="1" x="6871"/>
        <item m="1" x="1536"/>
        <item m="1" x="1725"/>
        <item m="1" x="2296"/>
        <item m="1" x="2442"/>
        <item m="1" x="791"/>
        <item m="1" x="236"/>
        <item m="1" x="4233"/>
        <item m="1" x="5324"/>
        <item m="1" x="2783"/>
        <item m="1" x="5387"/>
        <item m="1" x="5528"/>
        <item m="1" x="5652"/>
        <item m="1" x="4311"/>
        <item m="1" x="3380"/>
        <item m="1" x="6627"/>
        <item m="1" x="6450"/>
        <item m="1" x="3535"/>
        <item m="1" x="3038"/>
        <item m="1" x="2515"/>
        <item m="1" x="5256"/>
        <item m="1" x="1933"/>
        <item m="1" x="6352"/>
        <item m="1" x="5847"/>
        <item m="1" x="5380"/>
        <item m="1" x="4900"/>
        <item m="1" x="4367"/>
        <item m="1" x="1761"/>
        <item m="1" x="677"/>
        <item m="1" x="5935"/>
        <item m="1" x="7151"/>
        <item m="1" x="4800"/>
        <item m="1" x="5368"/>
        <item m="1" x="4883"/>
        <item m="1" x="4355"/>
        <item m="1" x="3833"/>
        <item m="1" x="3323"/>
        <item m="1" x="2835"/>
        <item m="1" x="2329"/>
        <item m="1" x="1789"/>
        <item m="1" x="1233"/>
        <item m="1" x="718"/>
        <item m="1" x="7604"/>
        <item m="1" x="1366"/>
        <item m="1" x="297"/>
        <item m="1" x="4065"/>
        <item m="1" x="3554"/>
        <item m="1" x="3067"/>
        <item m="1" x="2548"/>
        <item m="1" x="2047"/>
        <item m="1" x="1499"/>
        <item m="1" x="973"/>
        <item m="1" x="418"/>
        <item m="1" x="6209"/>
        <item m="1" x="5697"/>
        <item m="1" x="5227"/>
        <item m="1" x="4744"/>
        <item m="1" x="4206"/>
        <item m="1" x="3662"/>
        <item m="1" x="3197"/>
        <item m="1" x="2683"/>
        <item m="1" x="2190"/>
        <item m="1" x="1634"/>
        <item m="1" x="7683"/>
        <item m="1" x="7215"/>
        <item m="1" x="6749"/>
        <item m="1" x="6331"/>
        <item m="1" x="5832"/>
        <item m="1" x="5350"/>
        <item m="1" x="4864"/>
        <item m="1" x="4334"/>
        <item m="1" x="3812"/>
        <item m="1" x="6051"/>
        <item m="1" x="7635"/>
        <item m="1" x="444"/>
        <item m="1" x="3010"/>
        <item m="1" x="1961"/>
        <item m="1" x="2699"/>
        <item m="1" x="7265"/>
        <item m="1" x="1874"/>
        <item m="1" x="2837"/>
        <item m="1" x="7611"/>
        <item m="1" x="978"/>
        <item m="1" x="3278"/>
        <item m="1" x="3400"/>
        <item m="1" x="787"/>
        <item m="1" x="1567"/>
        <item m="1" x="3258"/>
        <item m="1" x="6004"/>
        <item m="1" x="2847"/>
        <item m="1" x="1798"/>
        <item m="1" x="6322"/>
        <item m="1" x="5821"/>
        <item m="1" x="5345"/>
        <item m="1" x="7773"/>
        <item m="1" x="2117"/>
        <item m="1" x="1582"/>
        <item m="1" x="503"/>
        <item m="1" x="4272"/>
        <item m="1" x="3747"/>
        <item m="1" x="3267"/>
        <item m="1" x="7419"/>
        <item m="1" x="7639"/>
        <item m="1" x="7064"/>
        <item m="1" x="446"/>
        <item m="1" x="2701"/>
        <item m="1" x="5643"/>
        <item m="1" x="4889"/>
        <item m="1" x="6877"/>
        <item m="1" x="5232"/>
        <item m="1" x="1478"/>
        <item m="1" x="1849"/>
        <item m="1" x="137"/>
        <item m="1" x="7443"/>
        <item m="1" x="2898"/>
        <item m="1" x="1395"/>
        <item m="1" x="1622"/>
        <item m="1" x="2216"/>
        <item m="1" x="4902"/>
        <item m="1" x="1432"/>
        <item m="1" x="449"/>
        <item m="1" x="4357"/>
        <item m="1" x="3838"/>
        <item m="1" x="835"/>
        <item m="1" x="3558"/>
        <item m="1" x="3075"/>
        <item m="1" x="2552"/>
        <item m="1" x="2054"/>
        <item m="1" x="983"/>
        <item m="1" x="428"/>
        <item m="1" x="3669"/>
        <item m="1" x="2688"/>
        <item m="1" x="2194"/>
        <item m="1" x="6335"/>
        <item m="1" x="3818"/>
        <item m="1" x="6861"/>
        <item m="1" x="1065"/>
        <item m="1" x="2774"/>
        <item m="1" x="2270"/>
        <item m="1" x="1190"/>
        <item m="1" x="655"/>
        <item m="1" x="4950"/>
        <item m="1" x="4431"/>
        <item m="1" x="3902"/>
        <item m="1" x="3404"/>
        <item m="1" x="2901"/>
        <item m="1" x="1321"/>
        <item m="1" x="6199"/>
        <item m="1" x="5684"/>
        <item m="1" x="5216"/>
        <item m="1" x="4727"/>
        <item m="1" x="7676"/>
        <item m="1" x="7197"/>
        <item m="1" x="6733"/>
        <item m="1" x="1446"/>
        <item m="1" x="361"/>
        <item m="1" x="4139"/>
        <item m="1" x="3622"/>
        <item m="1" x="3147"/>
        <item m="1" x="2621"/>
        <item m="1" x="499"/>
        <item m="1" x="6272"/>
        <item m="1" x="5775"/>
        <item m="1" x="5300"/>
        <item m="1" x="4809"/>
        <item m="1" x="4265"/>
        <item m="1" x="7319"/>
        <item m="1" x="6851"/>
        <item m="1" x="2129"/>
        <item m="1" x="1586"/>
        <item m="1" x="1058"/>
        <item m="1" x="509"/>
        <item m="1" x="4279"/>
        <item m="1" x="3750"/>
        <item m="1" x="3274"/>
        <item m="1" x="2764"/>
        <item m="1" x="2260"/>
        <item m="1" x="1723"/>
        <item m="1" x="1181"/>
        <item m="1" x="38"/>
        <item m="1" x="5894"/>
        <item m="1" x="5416"/>
        <item m="1" x="4940"/>
        <item m="1" x="3893"/>
        <item m="1" x="3396"/>
        <item m="1" x="2890"/>
        <item m="1" x="2388"/>
        <item m="1" x="1854"/>
        <item m="1" x="7398"/>
        <item m="1" x="6932"/>
        <item m="1" x="6494"/>
        <item m="1" x="6026"/>
        <item m="1" x="5545"/>
        <item m="1" x="5059"/>
        <item m="1" x="4558"/>
        <item m="1" x="4023"/>
        <item m="1" x="7523"/>
        <item m="1" x="7050"/>
        <item m="1" x="6596"/>
        <item m="1" x="1271"/>
        <item m="1" x="749"/>
        <item m="1" x="164"/>
        <item m="1" x="7421"/>
        <item m="1" x="3731"/>
        <item m="1" x="6386"/>
        <item m="1" x="600"/>
        <item m="1" x="5378"/>
        <item m="1" x="4897"/>
        <item m="1" x="4365"/>
        <item m="1" x="3843"/>
        <item m="1" x="3338"/>
        <item m="1" x="2848"/>
        <item m="1" x="1799"/>
        <item m="1" x="3944"/>
        <item m="1" x="7179"/>
        <item m="1" x="1557"/>
        <item m="1" x="2235"/>
        <item m="1" x="6569"/>
        <item m="1" x="7363"/>
        <item m="1" x="6890"/>
        <item m="1" x="1632"/>
        <item m="1" x="1095"/>
        <item m="1" x="4124"/>
        <item m="1" x="3138"/>
        <item m="1" x="2109"/>
        <item m="1" x="1045"/>
        <item m="1" x="6237"/>
        <item m="1" x="5275"/>
        <item m="1" x="4236"/>
        <item m="1" x="1839"/>
        <item m="1" x="7043"/>
        <item m="1" x="5339"/>
        <item m="1" x="3294"/>
        <item m="1" x="2291"/>
        <item m="1" x="7478"/>
        <item m="1" x="7310"/>
        <item m="1" x="5452"/>
        <item m="1" x="1943"/>
        <item m="1" x="961"/>
        <item m="1" x="1939"/>
        <item m="1" x="7533"/>
        <item m="1" x="6613"/>
        <item m="1" x="4997"/>
        <item m="1" x="5197"/>
        <item m="1" x="4150"/>
        <item m="1" x="78"/>
        <item m="1" x="5250"/>
        <item m="1" x="6512"/>
        <item m="1" x="6044"/>
        <item m="1" x="5805"/>
        <item m="1" x="4298"/>
        <item m="1" x="7293"/>
        <item m="1" x="5918"/>
        <item m="1" x="478"/>
        <item m="1" x="7665"/>
        <item m="1" x="5741"/>
        <item m="1" x="7073"/>
        <item m="1" x="6630"/>
        <item m="1" x="6387"/>
        <item m="1" x="4403"/>
        <item m="1" x="6796"/>
        <item m="1" x="7372"/>
        <item m="1" x="4349"/>
        <item m="1" x="3824"/>
        <item m="1" x="3443"/>
        <item m="1" x="2450"/>
        <item m="1" x="6080"/>
        <item m="1" x="7575"/>
        <item m="1" x="1475"/>
        <item m="1" x="7678"/>
        <item m="1" x="6740"/>
        <item m="1" x="7257"/>
        <item m="1" x="6147"/>
        <item m="1" x="6508"/>
        <item m="1" x="5874"/>
        <item m="1" x="5882"/>
        <item m="1" x="6160"/>
        <item m="1" x="5134"/>
        <item m="1" x="5143"/>
        <item m="1" x="5636"/>
        <item m="1" x="5763"/>
        <item m="1" x="5773"/>
        <item m="1" x="6317"/>
        <item m="1" x="5402"/>
        <item m="1" x="5796"/>
        <item m="1" x="5917"/>
        <item m="1" x="5541"/>
        <item m="1" x="5663"/>
        <item m="1" x="5799"/>
        <item m="1" x="6235"/>
        <item m="1" x="6554"/>
        <item m="1" x="6464"/>
        <item m="1" x="6797"/>
        <item m="1" x="6916"/>
        <item m="1" x="5571"/>
        <item m="1" x="202"/>
        <item m="1" x="5717"/>
        <item m="1" x="3650"/>
        <item m="1" x="6815"/>
        <item m="1" x="3810"/>
        <item m="1" x="4942"/>
        <item m="1" x="1940"/>
        <item m="1" x="6161"/>
        <item m="1" x="6182"/>
        <item m="1" x="6435"/>
        <item m="1" x="6440"/>
        <item m="1" x="6443"/>
        <item m="1" x="5655"/>
        <item m="1" x="6478"/>
        <item m="1" x="5993"/>
        <item m="1" x="6530"/>
        <item m="1" x="6070"/>
        <item m="1" x="5577"/>
        <item m="1" x="5105"/>
        <item m="1" x="4064"/>
        <item m="1" x="5888"/>
        <item m="1" x="6168"/>
        <item m="1" x="5768"/>
        <item m="1" x="5890"/>
        <item m="1" x="6033"/>
        <item m="1" x="6174"/>
        <item m="1" x="6648"/>
        <item m="1" x="6219"/>
        <item m="1" x="4943"/>
        <item m="1" x="2893"/>
        <item m="1" x="6766"/>
        <item m="1" x="6879"/>
        <item m="1" x="7004"/>
        <item m="1" x="3190"/>
        <item m="1" x="2676"/>
        <item m="1" x="3299"/>
        <item m="1" x="1208"/>
        <item m="1" x="5448"/>
        <item m="1" x="4466"/>
        <item m="1" x="7081"/>
        <item m="1" x="2385"/>
        <item m="1" x="1985"/>
        <item m="1" x="3626"/>
        <item m="1" x="3253"/>
        <item m="1" x="1691"/>
        <item m="1" x="630"/>
        <item m="1" x="2365"/>
        <item m="1" x="5519"/>
        <item m="1" x="5040"/>
        <item m="1" x="7033"/>
        <item m="1" x="6125"/>
        <item m="1" x="5637"/>
        <item m="1" x="863"/>
        <item m="1" x="4630"/>
        <item m="1" x="6225"/>
        <item m="1" x="4765"/>
        <item m="1" x="5976"/>
        <item m="1" x="2818"/>
        <item m="1" x="1218"/>
        <item m="1" x="693"/>
        <item m="1" x="3434"/>
        <item m="1" x="1367"/>
        <item m="1" x="7444"/>
        <item m="1" x="3069"/>
        <item m="1" x="6645"/>
        <item m="1" x="6211"/>
        <item m="1" x="232"/>
        <item m="1" x="7685"/>
        <item m="1" x="7217"/>
        <item m="1" x="2503"/>
        <item m="1" x="1470"/>
        <item m="1" x="940"/>
        <item m="1" x="2136"/>
        <item m="1" x="1061"/>
        <item m="1" x="515"/>
        <item m="1" x="6297"/>
        <item m="1" x="5794"/>
        <item m="1" x="3758"/>
        <item m="1" x="1171"/>
        <item m="1" x="2879"/>
        <item m="1" x="2374"/>
        <item m="1" x="764"/>
        <item m="1" x="204"/>
        <item m="1" x="5533"/>
        <item m="1" x="4009"/>
        <item m="1" x="3504"/>
        <item m="1" x="2491"/>
        <item m="1" x="1970"/>
        <item m="1" x="7041"/>
        <item m="1" x="6580"/>
        <item m="1" x="4669"/>
        <item m="1" x="7644"/>
        <item m="1" x="6266"/>
        <item m="1" x="5764"/>
        <item m="1" x="5294"/>
        <item m="1" x="325"/>
        <item m="1" x="2076"/>
        <item m="1" x="454"/>
        <item m="1" x="4773"/>
        <item m="1" x="2210"/>
        <item m="1" x="65"/>
        <item m="1" x="73"/>
        <item m="1" x="80"/>
        <item m="1" x="6775"/>
        <item m="1" x="6351"/>
        <item m="1" x="5846"/>
        <item m="1" x="5377"/>
        <item m="1" x="4895"/>
        <item m="1" x="4363"/>
        <item m="1" x="3842"/>
        <item m="1" x="3336"/>
        <item m="1" x="2846"/>
        <item m="1" x="2339"/>
        <item m="1" x="7498"/>
        <item m="1" x="7022"/>
        <item m="1" x="6564"/>
        <item m="1" x="6115"/>
        <item m="1" x="1228"/>
        <item m="1" x="708"/>
        <item m="1" x="117"/>
        <item m="1" x="3444"/>
        <item m="1" x="2952"/>
        <item m="1" x="2454"/>
        <item m="1" x="1903"/>
        <item m="1" x="1375"/>
        <item m="1" x="845"/>
        <item m="1" x="305"/>
        <item m="1" x="5587"/>
        <item m="1" x="5119"/>
        <item m="1" x="4621"/>
        <item m="1" x="4075"/>
        <item m="1" x="3561"/>
        <item m="1" x="3081"/>
        <item m="1" x="2059"/>
        <item m="1" x="1507"/>
        <item m="1" x="990"/>
        <item m="1" x="7577"/>
        <item m="1" x="7102"/>
        <item m="1" x="5704"/>
        <item m="1" x="5241"/>
        <item m="1" x="4755"/>
        <item m="1" x="3196"/>
        <item m="1" x="1629"/>
        <item m="1" x="3805"/>
        <item m="1" x="3304"/>
        <item m="1" x="2299"/>
        <item m="1" x="1766"/>
        <item m="1" x="7320"/>
        <item m="1" x="4978"/>
        <item m="1" x="1992"/>
        <item m="1" x="931"/>
        <item m="1" x="365"/>
        <item m="1" x="6597"/>
        <item m="1" x="6155"/>
        <item m="1" x="5194"/>
        <item m="1" x="4682"/>
        <item m="1" x="6784"/>
        <item m="1" x="5855"/>
        <item m="1" x="4560"/>
        <item m="1" x="6600"/>
        <item m="1" x="4401"/>
        <item m="1" x="2874"/>
        <item m="1" x="1297"/>
        <item m="1" x="6920"/>
        <item m="1" x="5042"/>
        <item m="1" x="4532"/>
        <item m="1" x="3017"/>
        <item m="1" x="7508"/>
        <item m="1" x="7038"/>
        <item m="1" x="6131"/>
        <item m="1" x="5645"/>
        <item m="1" x="7156"/>
        <item m="1" x="1387"/>
        <item m="1" x="867"/>
        <item m="1" x="321"/>
        <item m="1" x="4636"/>
        <item m="1" x="4092"/>
        <item m="1" x="3573"/>
        <item m="1" x="2577"/>
        <item m="1" x="2072"/>
        <item m="1" x="1520"/>
        <item m="1" x="1008"/>
        <item m="1" x="447"/>
        <item m="1" x="6662"/>
        <item m="1" x="6231"/>
        <item m="1" x="5714"/>
        <item m="1" x="5259"/>
        <item m="1" x="4770"/>
        <item m="1" x="3217"/>
        <item m="1" x="2702"/>
        <item m="1" x="7369"/>
        <item m="1" x="6899"/>
        <item m="1" x="6465"/>
        <item m="1" x="5979"/>
        <item m="1" x="1100"/>
        <item m="1" x="3311"/>
        <item m="1" x="2821"/>
        <item m="1" x="2316"/>
        <item m="1" x="1774"/>
        <item m="1" x="1222"/>
        <item m="1" x="702"/>
        <item m="1" x="5458"/>
        <item m="1" x="4987"/>
        <item m="1" x="3945"/>
        <item m="1" x="3440"/>
        <item m="1" x="2946"/>
        <item m="1" x="6786"/>
        <item m="1" x="2684"/>
        <item m="1" x="1635"/>
        <item m="1" x="3814"/>
        <item m="1" x="47"/>
        <item m="1" x="937"/>
        <item m="1" x="6835"/>
        <item m="1" x="635"/>
        <item m="1" x="1299"/>
        <item m="1" x="7387"/>
        <item m="1" x="6479"/>
        <item m="1" x="3502"/>
        <item m="1" x="3018"/>
        <item m="1" x="6578"/>
        <item m="1" x="6136"/>
        <item m="1" x="874"/>
        <item m="1" x="2074"/>
        <item m="1" x="5264"/>
        <item m="1" x="2207"/>
        <item m="1" x="2826"/>
        <item m="1" x="2320"/>
        <item m="1" x="1778"/>
        <item m="1" x="1227"/>
        <item m="1" x="6984"/>
        <item m="1" x="7574"/>
        <item m="1" x="5239"/>
        <item m="1" x="377"/>
        <item m="1" x="522"/>
        <item m="1" x="6703"/>
        <item m="1" x="639"/>
        <item m="1" x="3391"/>
        <item m="1" x="1845"/>
        <item m="1" x="1307"/>
        <item m="1" x="5538"/>
        <item m="1" x="5054"/>
        <item m="1" x="4545"/>
        <item m="1" x="4017"/>
        <item m="1" x="3023"/>
        <item m="1" x="1981"/>
        <item m="1" x="1448"/>
        <item m="1" x="924"/>
        <item m="1" x="5653"/>
        <item m="1" x="5187"/>
        <item m="1" x="4679"/>
        <item m="1" x="3148"/>
        <item m="1" x="7647"/>
        <item m="1" x="7165"/>
        <item m="1" x="6691"/>
        <item m="1" x="6274"/>
        <item m="1" x="5302"/>
        <item m="1" x="4782"/>
        <item m="1" x="4238"/>
        <item m="1" x="3694"/>
        <item m="1" x="3230"/>
        <item m="1" x="1129"/>
        <item m="1" x="6778"/>
        <item m="1" x="5849"/>
        <item m="1" x="5382"/>
        <item m="1" x="4370"/>
        <item m="1" x="3346"/>
        <item m="1" x="719"/>
        <item m="1" x="131"/>
        <item m="1" x="3449"/>
        <item m="1" x="2958"/>
        <item m="1" x="2459"/>
        <item m="1" x="1912"/>
        <item m="1" x="860"/>
        <item m="1" x="314"/>
        <item m="1" x="5593"/>
        <item m="1" x="5128"/>
        <item m="1" x="4086"/>
        <item m="1" x="3089"/>
        <item m="1" x="2565"/>
        <item m="1" x="2067"/>
        <item m="1" x="1512"/>
        <item m="1" x="997"/>
        <item m="1" x="7583"/>
        <item m="1" x="7111"/>
        <item m="1" x="6654"/>
        <item m="1" x="6222"/>
        <item m="1" x="3677"/>
        <item m="1" x="7695"/>
        <item m="1" x="7230"/>
        <item m="1" x="6763"/>
        <item m="1" x="6343"/>
        <item m="1" x="5838"/>
        <item m="1" x="5363"/>
        <item m="1" x="386"/>
        <item m="1" x="7785"/>
        <item m="1" x="7341"/>
        <item m="1" x="2646"/>
        <item m="1" x="2153"/>
        <item m="1" x="1607"/>
        <item m="1" x="1068"/>
        <item m="1" x="529"/>
        <item m="1" x="4839"/>
        <item m="1" x="4304"/>
        <item m="1" x="3287"/>
        <item m="1" x="2782"/>
        <item m="1" x="2282"/>
        <item m="1" x="1745"/>
        <item m="1" x="6416"/>
        <item m="1" x="5924"/>
        <item m="1" x="5428"/>
        <item m="1" x="2406"/>
        <item m="1" x="4341"/>
        <item m="1" x="694"/>
        <item m="1" x="6857"/>
        <item m="1" x="5948"/>
        <item m="1" x="4480"/>
        <item m="1" x="3935"/>
        <item m="1" x="3435"/>
        <item m="1" x="6532"/>
        <item m="1" x="6072"/>
        <item m="1" x="5107"/>
        <item m="1" x="7093"/>
        <item m="1" x="2394"/>
        <item m="1" x="1861"/>
        <item m="1" x="789"/>
        <item m="1" x="233"/>
        <item m="1" x="7255"/>
        <item m="1" x="4342"/>
        <item m="1" x="1772"/>
        <item m="1" x="6860"/>
        <item m="1" x="3438"/>
        <item m="1" x="6978"/>
        <item m="1" x="5583"/>
        <item m="1" x="1319"/>
        <item m="1" x="2007"/>
        <item m="1" x="6608"/>
        <item m="1" x="6166"/>
        <item m="1" x="6426"/>
        <item m="1" x="1053"/>
        <item m="1" x="1705"/>
        <item m="1" x="4936"/>
        <item m="1" x="3884"/>
        <item m="1" x="2324"/>
        <item m="1" x="4489"/>
        <item m="1" x="3956"/>
        <item m="1" x="7452"/>
        <item m="1" x="6081"/>
        <item m="1" x="248"/>
        <item m="1" x="1479"/>
        <item m="1" x="945"/>
        <item m="1" x="2643"/>
        <item m="1" x="6707"/>
        <item m="1" x="7432"/>
        <item m="1" x="1180"/>
        <item m="1" x="1850"/>
        <item m="1" x="221"/>
        <item m="1" x="5058"/>
        <item m="1" x="3517"/>
        <item m="1" x="5190"/>
        <item m="1" x="7166"/>
        <item m="1" x="6282"/>
        <item m="1" x="2088"/>
        <item m="1" x="1534"/>
        <item m="1" x="4241"/>
        <item m="1" x="3234"/>
        <item m="1" x="2712"/>
        <item m="1" x="2219"/>
        <item m="1" x="1668"/>
        <item m="1" x="610"/>
        <item m="1" x="6783"/>
        <item m="1" x="5853"/>
        <item m="1" x="3848"/>
        <item m="1" x="3350"/>
        <item m="1" x="2857"/>
        <item m="1" x="7505"/>
        <item m="1" x="7034"/>
        <item m="1" x="6573"/>
        <item m="1" x="6126"/>
        <item m="1" x="139"/>
        <item m="1" x="2966"/>
        <item m="1" x="1918"/>
        <item m="1" x="317"/>
        <item m="1" x="5596"/>
        <item m="1" x="1516"/>
        <item m="1" x="6657"/>
        <item m="1" x="6226"/>
        <item m="1" x="5254"/>
        <item m="1" x="4766"/>
        <item m="1" x="4226"/>
        <item m="1" x="3680"/>
        <item m="1" x="7789"/>
        <item m="1" x="7346"/>
        <item m="1" x="2652"/>
        <item m="1" x="2157"/>
        <item m="1" x="1611"/>
        <item m="1" x="1072"/>
        <item m="1" x="534"/>
        <item m="1" x="4843"/>
        <item m="1" x="4309"/>
        <item m="1" x="3789"/>
        <item m="1" x="2786"/>
        <item m="1" x="2288"/>
        <item m="1" x="1750"/>
        <item m="1" x="5926"/>
        <item m="1" x="5432"/>
        <item m="1" x="4954"/>
        <item m="1" x="4447"/>
        <item m="1" x="3412"/>
        <item m="1" x="2911"/>
        <item m="1" x="2414"/>
        <item m="1" x="3314"/>
        <item m="1" x="3949"/>
        <item m="1" x="3442"/>
        <item m="1" x="2950"/>
        <item m="1" x="2927"/>
        <item m="1" x="2435"/>
        <item m="1" x="7709"/>
        <item m="1" x="6353"/>
        <item m="1" x="1090"/>
        <item m="1" x="5449"/>
        <item m="1" x="2925"/>
        <item m="1" x="1454"/>
        <item m="1" x="4141"/>
        <item m="1" x="3627"/>
        <item m="1" x="3149"/>
        <item m="1" x="2310"/>
        <item m="1" x="1770"/>
        <item m="1" x="4481"/>
        <item m="1" x="3936"/>
        <item m="1" x="3436"/>
        <item m="1" x="6073"/>
        <item m="1" x="5580"/>
        <item m="1" x="7565"/>
        <item m="1" x="7362"/>
        <item m="1" x="2680"/>
        <item m="1" x="2183"/>
        <item m="1" x="1630"/>
        <item m="1" x="1093"/>
        <item m="1" x="550"/>
        <item m="1" x="7364"/>
        <item m="1" x="2681"/>
        <item m="1" x="2188"/>
        <item m="1" x="1633"/>
        <item m="1" x="1096"/>
        <item m="1" x="552"/>
        <item m="1" x="4862"/>
        <item m="1" x="4333"/>
        <item m="1" x="3809"/>
        <item m="1" x="3306"/>
        <item m="1" x="2812"/>
        <item m="1" x="2301"/>
        <item m="1" x="1767"/>
        <item m="1" x="1213"/>
        <item m="1" x="689"/>
        <item m="1" x="104"/>
        <item m="1" x="6853"/>
        <item m="1" x="6438"/>
        <item m="1" x="5946"/>
        <item m="1" x="5453"/>
        <item m="1" x="4980"/>
        <item m="1" x="4472"/>
        <item m="1" x="3931"/>
        <item m="1" x="3429"/>
        <item m="1" x="2934"/>
        <item m="1" x="2443"/>
        <item m="1" x="7438"/>
        <item m="1" x="6973"/>
        <item m="1" x="6526"/>
        <item m="1" x="6067"/>
        <item m="1" x="5574"/>
        <item m="1" x="5101"/>
        <item m="1" x="4603"/>
        <item m="1" x="7556"/>
        <item m="1" x="7085"/>
        <item m="1" x="6641"/>
        <item m="1" x="1856"/>
        <item m="1" x="1314"/>
        <item m="1" x="784"/>
        <item m="1" x="225"/>
        <item m="1" x="4024"/>
        <item m="1" x="3522"/>
        <item m="1" x="3027"/>
        <item m="1" x="2501"/>
        <item m="1" x="1996"/>
        <item m="1" x="1461"/>
        <item m="1" x="934"/>
        <item m="1" x="368"/>
        <item m="1" x="3300"/>
        <item m="1" x="2297"/>
        <item m="1" x="100"/>
        <item m="1" x="5450"/>
        <item m="1" x="4974"/>
        <item m="1" x="4467"/>
        <item m="1" x="3927"/>
        <item m="1" x="7480"/>
        <item m="1" x="6096"/>
        <item m="1" x="775"/>
        <item m="1" x="2616"/>
        <item m="1" x="4923"/>
        <item m="1" x="722"/>
        <item m="1" x="134"/>
        <item m="1" x="2451"/>
        <item m="1" x="943"/>
        <item m="1" x="5444"/>
        <item m="1" x="4972"/>
        <item m="1" x="4460"/>
        <item m="1" x="3923"/>
        <item m="1" x="6959"/>
        <item m="1" x="4549"/>
        <item m="1" x="6472"/>
        <item m="1" x="5036"/>
        <item m="1" x="7029"/>
        <item m="1" x="6570"/>
        <item m="1" x="1000"/>
        <item m="1" x="7585"/>
        <item m="1" x="6767"/>
        <item m="1" x="5366"/>
        <item m="1" x="7344"/>
        <item m="1" x="2648"/>
        <item m="1" x="2154"/>
        <item m="1" x="1069"/>
        <item m="1" x="530"/>
        <item m="1" x="2286"/>
        <item m="1" x="1747"/>
        <item m="1" x="786"/>
        <item m="1" x="229"/>
        <item m="1" x="3161"/>
        <item m="1" x="2628"/>
        <item m="1" x="1060"/>
        <item m="1" x="5788"/>
        <item m="1" x="5309"/>
        <item m="1" x="3755"/>
        <item m="1" x="2715"/>
        <item m="1" x="1673"/>
        <item m="1" x="614"/>
        <item m="1" x="4912"/>
        <item m="1" x="3362"/>
        <item m="1" x="1815"/>
        <item m="1" x="1274"/>
        <item m="1" x="167"/>
        <item m="1" x="6137"/>
        <item m="1" x="5647"/>
        <item m="1" x="4128"/>
        <item m="1" x="7642"/>
        <item m="1" x="7159"/>
        <item m="1" x="6684"/>
        <item m="1" x="6264"/>
        <item m="1" x="1392"/>
        <item m="1" x="323"/>
        <item m="1" x="3575"/>
        <item m="1" x="3100"/>
        <item m="1" x="2579"/>
        <item m="1" x="2075"/>
        <item m="1" x="1525"/>
        <item m="1" x="1010"/>
        <item m="1" x="451"/>
        <item m="1" x="5720"/>
        <item m="1" x="5265"/>
        <item m="1" x="4771"/>
        <item m="1" x="4232"/>
        <item m="1" x="3687"/>
        <item m="1" x="3224"/>
        <item m="1" x="2704"/>
        <item m="1" x="1660"/>
        <item m="1" x="1120"/>
        <item m="1" x="7702"/>
        <item m="1" x="7235"/>
        <item m="1" x="6772"/>
        <item m="1" x="6350"/>
        <item m="1" x="5845"/>
        <item m="1" x="5376"/>
        <item m="1" x="4893"/>
        <item m="1" x="4360"/>
        <item m="1" x="3841"/>
        <item m="1" x="3334"/>
        <item m="1" x="7357"/>
        <item m="1" x="6880"/>
        <item m="1" x="6453"/>
        <item m="1" x="5961"/>
        <item m="1" x="5477"/>
        <item m="1" x="537"/>
        <item m="1" x="7598"/>
        <item m="1" x="6744"/>
        <item m="1" x="5826"/>
        <item m="1" x="5348"/>
        <item m="1" x="290"/>
        <item m="1" x="1631"/>
        <item m="1" x="5615"/>
        <item m="1" x="5159"/>
        <item m="1" x="4652"/>
        <item m="1" x="4102"/>
        <item m="1" x="3592"/>
        <item m="1" x="7605"/>
        <item m="1" x="7137"/>
        <item m="1" x="6671"/>
        <item m="1" x="5739"/>
        <item m="1" x="7086"/>
        <item m="1" x="6148"/>
        <item m="1" x="1591"/>
        <item m="1" x="3605"/>
        <item m="1" x="2101"/>
        <item m="1" x="904"/>
        <item m="1" x="346"/>
        <item m="1" x="5869"/>
        <item m="1" x="5465"/>
        <item m="1" x="4491"/>
        <item m="1" x="1910"/>
        <item m="1" x="6243"/>
        <item m="1" x="1497"/>
        <item m="1" x="972"/>
        <item m="1" x="5226"/>
        <item m="1" x="551"/>
        <item m="1" x="7211"/>
        <item m="1" x="6747"/>
        <item m="1" x="6329"/>
        <item m="1" x="5828"/>
        <item m="1" x="4003"/>
        <item m="1" x="1006"/>
        <item m="1" x="4134"/>
        <item m="1" x="7536"/>
        <item m="1" x="1810"/>
        <item m="1" x="2372"/>
        <item m="1" x="2497"/>
        <item m="1" x="5429"/>
        <item m="1" x="2143"/>
        <item m="1" x="6410"/>
        <item m="1" x="7540"/>
        <item m="1" x="6622"/>
        <item m="1" x="6625"/>
        <item m="1" x="840"/>
        <item m="1" x="198"/>
        <item m="1" x="1966"/>
        <item m="1" x="1433"/>
        <item m="1" x="911"/>
        <item m="1" x="354"/>
        <item m="1" x="4804"/>
        <item m="1" x="4257"/>
        <item m="1" x="3728"/>
        <item m="1" x="7738"/>
        <item m="1" x="7269"/>
        <item m="1" x="593"/>
        <item m="1" x="5959"/>
        <item m="1" x="5473"/>
        <item m="1" x="5010"/>
        <item m="1" x="4499"/>
        <item m="1" x="3966"/>
        <item m="1" x="3454"/>
        <item m="1" x="2969"/>
        <item m="1" x="2466"/>
        <item m="1" x="1923"/>
        <item m="1" x="7060"/>
        <item m="1" x="1441"/>
        <item m="1" x="920"/>
        <item m="1" x="358"/>
        <item m="1" x="4674"/>
        <item m="1" x="4135"/>
        <item m="1" x="3146"/>
        <item m="1" x="1572"/>
        <item m="1" x="1052"/>
        <item m="1" x="7163"/>
        <item m="1" x="6269"/>
        <item m="1" x="5772"/>
        <item m="1" x="5297"/>
        <item m="1" x="4261"/>
        <item m="1" x="7389"/>
        <item m="1" x="6926"/>
        <item m="1" x="2212"/>
        <item m="1" x="1662"/>
        <item m="1" x="5965"/>
        <item m="1" x="5482"/>
        <item m="1" x="5016"/>
        <item m="1" x="4507"/>
        <item m="1" x="3464"/>
        <item m="1" x="2982"/>
        <item m="1" x="2473"/>
        <item m="1" x="1932"/>
        <item m="1" x="7622"/>
        <item m="1" x="7145"/>
        <item m="1" x="6675"/>
        <item m="1" x="6252"/>
        <item m="1" x="5750"/>
        <item m="1" x="853"/>
        <item m="1" x="309"/>
        <item m="1" x="2558"/>
        <item m="1" x="2064"/>
        <item m="1" x="6760"/>
        <item m="1" x="5834"/>
        <item m="1" x="5359"/>
        <item m="1" x="5461"/>
        <item m="1" x="4993"/>
        <item m="1" x="6987"/>
        <item m="1" x="1739"/>
        <item m="1" x="663"/>
        <item m="1" x="3909"/>
        <item m="1" x="2904"/>
        <item m="1" x="1867"/>
        <item m="1" x="796"/>
        <item m="1" x="6326"/>
        <item m="1" x="3156"/>
        <item m="1" x="2122"/>
        <item m="1" x="6200"/>
        <item m="1" x="5685"/>
        <item m="1" x="6204"/>
        <item m="1" x="7628"/>
        <item m="1" x="7150"/>
        <item m="1" x="6257"/>
        <item m="1" x="762"/>
        <item m="1" x="194"/>
        <item m="1" x="5427"/>
        <item m="1" x="7615"/>
        <item m="1" x="271"/>
        <item m="1" x="7529"/>
        <item m="1" x="2915"/>
        <item m="1" x="2352"/>
        <item m="1" x="2980"/>
        <item m="1" x="4591"/>
        <item m="1" x="2524"/>
        <item m="1" x="7353"/>
        <item m="1" x="6688"/>
        <item m="1" x="861"/>
        <item m="1" x="4160"/>
        <item m="1" x="5273"/>
        <item m="1" x="4222"/>
        <item m="1" x="3542"/>
        <item m="1" x="3649"/>
        <item m="1" x="4083"/>
        <item m="1" x="4228"/>
        <item m="1" x="3019"/>
        <item m="1" x="3905"/>
        <item m="1" x="4043"/>
        <item m="1" x="4668"/>
        <item m="1" x="4249"/>
        <item m="1" x="2581"/>
        <item m="1" x="4469"/>
        <item m="1" x="4610"/>
        <item m="1" x="4756"/>
        <item m="1" x="4887"/>
        <item m="1" x="5014"/>
        <item m="1" x="5151"/>
        <item m="1" x="4324"/>
        <item m="1" x="4339"/>
        <item m="1" x="1734"/>
        <item m="1" x="2563"/>
        <item m="1" x="1225"/>
        <item m="1" x="1380"/>
        <item m="1" x="1523"/>
        <item m="1" x="2241"/>
        <item m="1" x="1692"/>
        <item m="1" x="1159"/>
        <item m="1" x="631"/>
        <item m="1" x="4924"/>
        <item m="1" x="4395"/>
        <item m="1" x="3871"/>
        <item m="1" x="3379"/>
        <item m="1" x="5520"/>
        <item m="1" x="5638"/>
        <item m="1" x="15"/>
        <item m="1" x="2880"/>
        <item m="1" x="2375"/>
        <item m="1" x="1837"/>
        <item m="1" x="4757"/>
        <item m="1" x="3136"/>
        <item m="1" x="6049"/>
        <item m="1" x="5930"/>
        <item m="1" x="1164"/>
        <item m="1" x="633"/>
        <item m="1" x="5524"/>
        <item m="1" x="5043"/>
        <item m="1" x="4533"/>
        <item m="1" x="4005"/>
        <item m="1" x="3499"/>
        <item m="1" x="1521"/>
        <item m="1" x="4230"/>
        <item m="1" x="2206"/>
        <item m="1" x="1655"/>
        <item m="1" x="5502"/>
        <item m="1" x="7494"/>
        <item m="1" x="2822"/>
        <item m="1" x="5307"/>
        <item m="1" x="4818"/>
        <item m="1" x="4277"/>
        <item m="1" x="5044"/>
        <item m="1" x="4536"/>
        <item m="1" x="7160"/>
        <item m="1" x="6685"/>
        <item m="1" x="1925"/>
        <item m="1" x="1393"/>
        <item m="1" x="324"/>
        <item m="1" x="7302"/>
        <item m="1" x="497"/>
        <item m="1" x="7424"/>
        <item m="1" x="2751"/>
        <item m="1" x="1706"/>
        <item m="1" x="1174"/>
        <item m="1" x="1303"/>
        <item m="1" x="768"/>
        <item m="1" x="206"/>
        <item m="1" x="3509"/>
        <item m="1" x="7516"/>
        <item m="1" x="6689"/>
        <item m="1" x="1397"/>
        <item m="1" x="3578"/>
        <item m="1" x="457"/>
        <item m="1" x="7378"/>
        <item m="1" x="6904"/>
        <item m="1" x="6469"/>
        <item m="1" x="5509"/>
        <item m="1" x="572"/>
        <item m="1" x="1229"/>
        <item m="1" x="4994"/>
        <item m="1" x="1376"/>
        <item m="1" x="5120"/>
        <item m="1" x="6759"/>
        <item m="1" x="1067"/>
        <item m="1" x="525"/>
        <item m="1" x="5801"/>
        <item m="1" x="2779"/>
        <item m="1" x="2275"/>
        <item m="1" x="1736"/>
        <item m="1" x="7433"/>
        <item m="1" x="6966"/>
        <item m="1" x="6523"/>
        <item m="1" x="6063"/>
        <item m="1" x="5569"/>
        <item m="1" x="647"/>
        <item m="1" x="33"/>
        <item m="1" x="7553"/>
        <item m="1" x="2888"/>
        <item m="1" x="2386"/>
        <item m="1" x="1851"/>
        <item m="1" x="1311"/>
        <item m="1" x="777"/>
        <item m="1" x="1456"/>
        <item m="1" x="7049"/>
        <item m="1" x="6593"/>
        <item m="1" x="6153"/>
        <item m="1" x="5657"/>
        <item m="1" x="5191"/>
        <item m="1" x="4680"/>
        <item m="1" x="4143"/>
        <item m="1" x="3628"/>
        <item m="1" x="3154"/>
        <item m="1" x="6283"/>
        <item m="1" x="5782"/>
        <item m="1" x="5305"/>
        <item m="1" x="4816"/>
        <item m="1" x="6812"/>
        <item m="1" x="1535"/>
        <item m="1" x="1020"/>
        <item m="1" x="3699"/>
        <item m="1" x="611"/>
        <item m="1" x="6356"/>
        <item m="1" x="5854"/>
        <item m="1" x="4372"/>
        <item m="1" x="3849"/>
        <item m="1" x="3351"/>
        <item m="1" x="7035"/>
        <item m="1" x="5639"/>
        <item m="1" x="140"/>
        <item m="1" x="7633"/>
        <item m="1" x="2967"/>
        <item m="1" x="2464"/>
        <item m="1" x="1919"/>
        <item m="1" x="1385"/>
        <item m="1" x="318"/>
        <item m="1" x="5135"/>
        <item m="1" x="4632"/>
        <item m="1" x="4089"/>
        <item m="1" x="3571"/>
        <item m="1" x="3094"/>
        <item m="1" x="2575"/>
        <item m="1" x="1004"/>
        <item m="1" x="7114"/>
        <item m="1" x="6658"/>
        <item m="1" x="6227"/>
        <item m="1" x="5255"/>
        <item m="1" x="4227"/>
        <item m="1" x="3681"/>
        <item m="1" x="3215"/>
        <item m="1" x="2698"/>
        <item m="1" x="7698"/>
        <item m="1" x="5372"/>
        <item m="1" x="7347"/>
        <item m="1" x="6873"/>
        <item m="1" x="2158"/>
        <item m="1" x="1612"/>
        <item m="1" x="1073"/>
        <item m="1" x="4310"/>
        <item m="1" x="3790"/>
        <item m="1" x="3290"/>
        <item m="1" x="2787"/>
        <item m="1" x="2289"/>
        <item m="1" x="1751"/>
        <item m="1" x="1195"/>
        <item m="1" x="669"/>
        <item m="1" x="6418"/>
        <item m="1" x="5927"/>
        <item m="1" x="4955"/>
        <item m="1" x="4448"/>
        <item m="1" x="3915"/>
        <item m="1" x="3413"/>
        <item m="1" x="2912"/>
        <item m="1" x="7567"/>
        <item m="1" x="7095"/>
        <item m="1" x="6647"/>
        <item m="1" x="6212"/>
        <item m="1" x="790"/>
        <item m="1" x="5196"/>
        <item m="1" x="171"/>
        <item m="1" x="2436"/>
        <item m="1" x="1888"/>
        <item m="1" x="1357"/>
        <item m="1" x="817"/>
        <item m="1" x="282"/>
        <item m="1" x="6936"/>
        <item m="1" x="6496"/>
        <item m="1" x="3367"/>
        <item m="1" x="2862"/>
        <item m="1" x="2354"/>
        <item m="1" x="1816"/>
        <item m="1" x="1277"/>
        <item m="1" x="752"/>
        <item m="1" x="170"/>
        <item m="1" x="5439"/>
        <item m="1" x="500"/>
        <item m="1" x="2252"/>
        <item m="1" x="1175"/>
        <item m="1" x="21"/>
        <item m="1" x="3389"/>
        <item m="1" x="2882"/>
        <item m="1" x="1304"/>
        <item m="1" x="771"/>
        <item m="1" x="1714"/>
        <item m="1" x="640"/>
        <item m="1" x="28"/>
        <item m="1" x="3889"/>
        <item m="1" x="2885"/>
        <item m="1" x="2382"/>
        <item m="1" x="1846"/>
        <item m="1" x="774"/>
        <item m="1" x="214"/>
        <item m="1" x="6929"/>
        <item m="1" x="6485"/>
        <item m="1" x="6017"/>
        <item m="1" x="5539"/>
        <item m="1" x="4783"/>
        <item m="1" x="4239"/>
        <item m="1" x="7383"/>
        <item m="1" x="6910"/>
        <item m="1" x="6471"/>
        <item m="1" x="582"/>
        <item m="1" x="2330"/>
        <item m="1" x="720"/>
        <item m="1" x="3450"/>
        <item m="1" x="315"/>
        <item m="1" x="6992"/>
        <item m="1" x="2566"/>
        <item m="1" x="4762"/>
        <item m="1" x="7696"/>
        <item m="1" x="6764"/>
        <item m="1" x="2019"/>
        <item m="1" x="1483"/>
        <item m="1" x="947"/>
        <item m="1" x="4168"/>
        <item m="1" x="3170"/>
        <item m="1" x="3784"/>
        <item m="1" x="2283"/>
        <item m="1" x="1746"/>
        <item m="1" x="6529"/>
        <item m="1" x="7560"/>
        <item m="1" x="2896"/>
        <item m="1" x="2390"/>
        <item m="1" x="1857"/>
        <item m="1" x="1315"/>
        <item m="1" x="785"/>
        <item m="1" x="228"/>
        <item m="1" x="5061"/>
        <item m="1" x="4564"/>
        <item m="1" x="4028"/>
        <item m="1" x="6697"/>
        <item m="1" x="6292"/>
        <item m="1" x="5785"/>
        <item m="1" x="6752"/>
        <item m="1" x="5833"/>
        <item m="1" x="5353"/>
        <item m="1" x="4870"/>
        <item m="1" x="4343"/>
        <item m="1" x="3819"/>
        <item m="1" x="3310"/>
        <item m="1" x="7446"/>
        <item m="1" x="657"/>
        <item m="1" x="1580"/>
        <item m="1" x="5413"/>
        <item m="1" x="4262"/>
        <item m="1" x="601"/>
        <item m="1" x="3845"/>
        <item m="1" x="3430"/>
        <item m="1" x="5020"/>
        <item m="1" x="299"/>
        <item m="1" x="1263"/>
        <item m="1" x="742"/>
        <item m="1" x="4514"/>
        <item m="1" x="2571"/>
        <item m="1" x="1514"/>
        <item m="1" x="2943"/>
        <item m="1" x="308"/>
        <item m="1" x="6206"/>
        <item m="1" x="7634"/>
        <item m="1" x="3414"/>
        <item m="1" x="516"/>
        <item m="1" x="3478"/>
        <item m="1" x="896"/>
        <item m="1" x="3119"/>
        <item m="1" x="5410"/>
        <item m="1" x="5552"/>
        <item m="1" x="2245"/>
        <item m="1" x="1697"/>
        <item m="1" x="1298"/>
        <item m="1" x="2487"/>
        <item m="1" x="5260"/>
        <item m="1" x="3218"/>
        <item m="1" x="6467"/>
        <item m="1" x="2056"/>
        <item m="1" x="5534"/>
        <item m="1" x="5046"/>
        <item m="1" x="877"/>
        <item m="1" x="1526"/>
        <item m="1" x="3225"/>
        <item m="1" x="5029"/>
        <item m="1" x="4216"/>
        <item m="1" x="3880"/>
        <item m="1" x="3616"/>
        <item m="1" x="528"/>
        <item m="1" x="1955"/>
        <item m="1" x="6254"/>
        <item m="1" x="1683"/>
        <item m="1" x="4441"/>
        <item m="1" x="4165"/>
        <item m="1" x="3900"/>
        <item m="1" x="3635"/>
        <item m="1" x="4444"/>
        <item m="1" x="4175"/>
        <item m="1" x="3904"/>
        <item m="1" x="3637"/>
        <item m="1" x="4037"/>
        <item m="1" x="3780"/>
        <item m="1" x="4182"/>
        <item m="1" x="3919"/>
        <item m="1" x="1844"/>
        <item m="1" x="6149"/>
        <item m="1" x="4471"/>
        <item m="1" x="4203"/>
        <item m="1" x="4748"/>
        <item m="1" x="4478"/>
        <item m="1" x="4208"/>
        <item m="1" x="4619"/>
        <item m="1" x="4347"/>
        <item m="1" x="584"/>
        <item m="1" x="4488"/>
        <item m="1" x="4214"/>
        <item m="1" x="3776"/>
        <item m="1" x="3531"/>
        <item m="1" x="4340"/>
        <item m="1" x="4069"/>
        <item m="1" x="4502"/>
        <item m="1" x="3638"/>
        <item m="1" x="4485"/>
        <item m="1" x="4209"/>
        <item m="1" x="3787"/>
        <item m="1" x="3539"/>
        <item m="1" x="6172"/>
        <item m="1" x="4616"/>
        <item m="1" x="4066"/>
        <item m="1" x="3815"/>
        <item m="1" x="4777"/>
        <item m="1" x="4506"/>
        <item m="1" x="4235"/>
        <item m="1" x="4221"/>
        <item m="1" x="4781"/>
        <item m="1" x="4512"/>
        <item m="1" x="4237"/>
        <item m="1" x="3943"/>
        <item m="1" x="3668"/>
        <item m="1" x="921"/>
        <item m="1" x="4059"/>
        <item m="1" x="3801"/>
        <item m="1" x="3550"/>
        <item m="1" x="3651"/>
        <item m="1" x="3425"/>
        <item m="1" x="5027"/>
        <item m="1" x="3032"/>
        <item m="1" x="2771"/>
        <item m="1" x="2756"/>
        <item m="1" x="2498"/>
        <item m="1" x="5180"/>
        <item m="1" x="3540"/>
        <item m="1" x="4081"/>
        <item m="1" x="3827"/>
        <item m="1" x="3564"/>
        <item m="1" x="3167"/>
        <item m="1" x="2903"/>
        <item m="1" x="2642"/>
        <item m="1" x="3433"/>
        <item m="1" x="3198"/>
        <item m="1" x="5340"/>
        <item m="1" x="5963"/>
        <item m="1" x="3052"/>
        <item m="1" x="5322"/>
        <item m="1" x="662"/>
        <item m="1" x="3452"/>
        <item m="1" x="3216"/>
        <item m="1" x="2264"/>
        <item m="1" x="7715"/>
        <item m="1" x="3040"/>
        <item m="1" x="4388"/>
        <item m="1" x="5466"/>
        <item m="1" x="2517"/>
        <item m="1" x="2281"/>
        <item m="1" x="4676"/>
        <item m="1" x="3054"/>
        <item m="1" x="3327"/>
        <item m="1" x="3095"/>
        <item m="1" x="2268"/>
        <item m="1" x="2005"/>
        <item m="1" x="2663"/>
        <item m="1" x="2421"/>
        <item m="1" x="3467"/>
        <item m="1" x="2568"/>
        <item m="1" x="2669"/>
        <item m="1" x="2428"/>
        <item m="1" x="2811"/>
        <item m="1" x="2544"/>
        <item m="1" x="3347"/>
        <item m="1" x="3110"/>
        <item m="1" x="1689"/>
        <item m="1" x="1425"/>
        <item m="1" x="2114"/>
        <item m="1" x="1832"/>
        <item m="1" x="1565"/>
        <item m="1" x="3199"/>
        <item m="1" x="2941"/>
        <item m="1" x="2686"/>
        <item m="1" x="1694"/>
        <item m="1" x="1429"/>
        <item m="1" x="2672"/>
        <item m="1" x="2431"/>
        <item m="1" x="2415"/>
        <item m="1" x="2160"/>
        <item m="1" x="4408"/>
        <item m="1" x="2794"/>
        <item m="1" x="2931"/>
        <item m="1" x="2678"/>
        <item m="1" x="2438"/>
        <item m="1" x="3698"/>
        <item m="1" x="2121"/>
        <item m="1" x="7361"/>
        <item m="1" x="1989"/>
        <item m="1" x="1720"/>
        <item m="1" x="1457"/>
        <item m="1" x="2509"/>
        <item m="1" x="1735"/>
        <item m="1" x="3593"/>
        <item m="1" x="7716"/>
        <item m="1" x="7248"/>
        <item m="1" x="4711"/>
        <item m="1" x="2453"/>
        <item m="1" x="2570"/>
        <item m="1" x="2705"/>
        <item m="1" x="2470"/>
        <item m="1" x="3712"/>
        <item m="1" x="2151"/>
        <item m="1" x="7382"/>
        <item m="1" x="2026"/>
        <item m="1" x="1752"/>
        <item m="1" x="1882"/>
        <item m="1" x="3227"/>
        <item m="1" x="7359"/>
        <item m="1" x="1570"/>
        <item m="1" x="6882"/>
        <item m="1" x="1167"/>
        <item m="1" x="914"/>
        <item m="1" x="1594"/>
        <item m="1" x="1323"/>
        <item m="1" x="2439"/>
        <item m="1" x="2181"/>
        <item m="1" x="1890"/>
        <item m="1" x="1440"/>
        <item m="1" x="1173"/>
        <item m="1" x="919"/>
        <item m="1" x="1585"/>
        <item m="1" x="1310"/>
        <item m="1" x="1056"/>
        <item m="1" x="1728"/>
        <item m="1" x="1471"/>
        <item m="1" x="1185"/>
        <item m="1" x="1865"/>
        <item m="1" x="1600"/>
        <item m="1" x="1327"/>
        <item m="1" x="2022"/>
        <item m="1" x="1748"/>
        <item m="1" x="1485"/>
        <item m="1" x="2319"/>
        <item m="1" x="2058"/>
        <item m="1" x="3375"/>
        <item m="1" x="7501"/>
        <item m="1" x="1744"/>
        <item m="1" x="7028"/>
        <item m="1" x="2205"/>
        <item m="1" x="1913"/>
        <item m="1" x="1872"/>
        <item m="1" x="2585"/>
        <item m="1" x="2340"/>
        <item m="1" x="2080"/>
        <item m="1" x="3125"/>
        <item m="1" x="6798"/>
        <item m="1" x="3761"/>
        <item m="1" x="2191"/>
        <item m="1" x="7401"/>
        <item m="1" x="767"/>
        <item m="1" x="496"/>
        <item m="1" x="2578"/>
        <item m="1" x="6771"/>
        <item m="1" x="6349"/>
        <item m="1" x="773"/>
        <item m="1" x="501"/>
        <item m="1" x="3001"/>
        <item m="1" x="7141"/>
        <item m="1" x="1324"/>
        <item m="1" x="6674"/>
        <item m="1" x="3255"/>
        <item m="1" x="7385"/>
        <item m="1" x="1616"/>
        <item m="1" x="6919"/>
        <item m="1" x="3388"/>
        <item m="1" x="7517"/>
        <item m="1" x="2863"/>
        <item m="1" x="7015"/>
        <item m="1" x="1186"/>
        <item m="1" x="6561"/>
        <item m="1" x="4362"/>
        <item m="1" x="1344"/>
        <item m="1" x="6923"/>
        <item m="1" x="1077"/>
        <item m="1" x="3781"/>
        <item m="1" x="2204"/>
        <item m="1" x="7412"/>
        <item m="1" x="3401"/>
        <item m="1" x="3159"/>
        <item m="1" x="7280"/>
        <item m="1" x="1211"/>
        <item m="1" x="6816"/>
        <item m="1" x="970"/>
        <item m="1" x="1089"/>
        <item m="1" x="816"/>
        <item m="1" x="1217"/>
        <item m="1" x="975"/>
        <item m="1" x="1643"/>
        <item m="1" x="1374"/>
        <item m="1" x="1105"/>
        <item m="1" x="7763"/>
        <item m="1" x="1788"/>
        <item m="1" x="199"/>
        <item m="1" x="799"/>
        <item m="1" x="526"/>
        <item m="1" x="1197"/>
        <item m="1" x="950"/>
        <item m="1" x="670"/>
        <item m="1" x="1080"/>
        <item m="1" x="810"/>
        <item m="1" x="1209"/>
        <item m="1" x="967"/>
        <item m="1" x="3427"/>
        <item m="1" x="6097"/>
        <item m="1" x="3555"/>
        <item m="1" x="6244"/>
        <item m="1" x="660"/>
        <item m="1" x="378"/>
        <item m="1" x="3835"/>
        <item m="1" x="6473"/>
        <item m="1" x="1659"/>
        <item m="1" x="3047"/>
        <item m="1" x="2877"/>
        <item m="1" x="7187"/>
        <item m="1" x="6139"/>
        <item m="1" x="1199"/>
        <item m="1" x="91"/>
        <item m="1" x="952"/>
        <item m="1" x="1301"/>
        <item m="1" x="674"/>
        <item m="1" x="211"/>
        <item m="1" x="523"/>
        <item m="1" x="243"/>
        <item m="1" x="668"/>
        <item m="1" x="387"/>
        <item m="1" x="531"/>
        <item m="1" x="260"/>
        <item m="1" x="1103"/>
        <item m="1" x="841"/>
        <item m="1" x="1389"/>
        <item m="1" x="1118"/>
        <item m="1" x="7561"/>
        <item m="1" x="1360"/>
        <item m="1" x="2761"/>
        <item m="1" x="831"/>
        <item m="1" x="559"/>
        <item m="1" x="994"/>
        <item m="1" x="713"/>
        <item m="1" x="3337"/>
        <item m="1" x="7469"/>
        <item m="1" x="1253"/>
        <item m="1" x="1013"/>
        <item m="1" x="6487"/>
        <item m="1" x="545"/>
        <item m="1" x="6279"/>
        <item m="1" x="280"/>
        <item m="1" x="976"/>
        <item m="1" x="692"/>
        <item m="1" x="423"/>
        <item m="1" x="844"/>
        <item m="1" x="567"/>
        <item m="1" x="2907"/>
        <item m="1" x="1262"/>
        <item m="1" x="1017"/>
        <item m="1" x="1414"/>
        <item m="1" x="24"/>
        <item m="1" x="968"/>
        <item m="1" x="685"/>
        <item m="1" x="408"/>
        <item m="1" x="6937"/>
        <item m="1" x="5230"/>
        <item m="1" x="556"/>
        <item m="1" x="803"/>
        <item m="1" x="257"/>
        <item m="1" x="691"/>
        <item m="1" x="417"/>
        <item m="1" x="839"/>
        <item m="1" x="565"/>
        <item m="1" x="1945"/>
        <item m="1" x="6248"/>
        <item m="1" x="5745"/>
        <item m="1" x="819"/>
        <item m="1" x="548"/>
        <item m="1" x="286"/>
        <item m="1" x="2633"/>
        <item m="1" x="6821"/>
        <item m="1" x="979"/>
        <item m="1" x="698"/>
        <item m="1" x="6407"/>
        <item m="1" x="426"/>
        <item m="1" x="1106"/>
        <item m="1" x="851"/>
        <item m="1" x="569"/>
        <item m="1" x="5748"/>
        <item m="1" x="1110"/>
        <item m="1" x="859"/>
        <item m="1" x="579"/>
        <item m="1" x="2959"/>
        <item m="1" x="864"/>
        <item m="1" x="587"/>
        <item m="1" x="1823"/>
        <item m="1" x="6118"/>
        <item m="1" x="3723"/>
        <item m="1" x="726"/>
        <item m="1" x="6417"/>
        <item m="1" x="443"/>
        <item m="1" x="2657"/>
        <item m="1" x="6833"/>
        <item m="1" x="1009"/>
        <item m="1" x="6420"/>
        <item m="1" x="1544"/>
        <item m="1" x="1829"/>
        <item m="1" x="6129"/>
        <item m="1" x="84"/>
        <item m="1" x="5642"/>
        <item m="1" x="2976"/>
        <item m="1" x="1279"/>
        <item m="1" x="1139"/>
        <item m="1" x="5019"/>
        <item m="1" x="7620"/>
        <item m="1" x="5810"/>
        <item m="1" x="7036"/>
        <item m="1" x="4067"/>
        <item m="1" x="158"/>
        <item m="1" x="481"/>
        <item m="1" x="190"/>
        <item m="1" x="2335"/>
        <item m="1" x="2593"/>
        <item m="1" x="1773"/>
        <item m="1" x="1908"/>
        <item m="1" x="1194"/>
        <item m="1" x="1346"/>
        <item m="1" x="1494"/>
        <item m="1" x="1780"/>
        <item m="1" x="1922"/>
        <item m="1" x="1644"/>
        <item m="1" x="1791"/>
        <item m="1" x="1205"/>
        <item m="1" x="1362"/>
        <item m="1" x="1505"/>
        <item m="1" x="215"/>
        <item m="1" x="370"/>
        <item m="1" x="520"/>
        <item m="1" x="1221"/>
        <item m="1" x="538"/>
        <item m="1" x="992"/>
        <item m="1" x="680"/>
        <item m="1" x="824"/>
        <item m="1" x="261"/>
        <item m="1" x="6834"/>
        <item m="1" x="413"/>
        <item m="1" x="560"/>
        <item m="1" x="714"/>
        <item m="1" x="865"/>
        <item m="1" x="2255"/>
        <item m="1" x="7479"/>
        <item m="1" x="2391"/>
        <item m="1" x="7610"/>
        <item m="1" x="2507"/>
        <item m="1" x="7721"/>
        <item m="1" x="2647"/>
        <item m="1" x="2788"/>
        <item m="1" x="2922"/>
        <item m="1" x="7069"/>
        <item m="1" x="1251"/>
        <item m="1" x="7200"/>
        <item m="1" x="1404"/>
        <item m="1" x="7323"/>
        <item m="1" x="1538"/>
        <item m="1" x="2711"/>
        <item m="1" x="6668"/>
        <item m="1" x="6456"/>
        <item m="1" x="6236"/>
        <item m="1" x="2727"/>
        <item m="1" x="2599"/>
        <item m="1" x="6103"/>
        <item m="1" x="5744"/>
        <item m="1" x="4730"/>
        <item m="1" x="3020"/>
        <item m="1" x="6686"/>
        <item m="1" x="6480"/>
        <item m="1" x="3277"/>
        <item m="1" x="6698"/>
        <item m="1" x="7776"/>
        <item m="1" x="5851"/>
        <item m="1" x="246"/>
        <item m="1" x="1776"/>
        <item m="1" x="2214"/>
        <item m="1" x="6247"/>
        <item m="1" x="5978"/>
        <item m="1" x="250"/>
        <item m="1" x="1800"/>
        <item m="1" x="5604"/>
        <item m="1" x="1814"/>
        <item m="1" x="5386"/>
        <item m="1" x="5173"/>
        <item m="1" x="7704"/>
        <item m="1" x="5769"/>
        <item m="1" x="5600"/>
        <item m="1" x="5900"/>
        <item m="1" x="4899"/>
        <item m="1" x="1125"/>
        <item m="1" x="6732"/>
        <item m="1" x="5270"/>
        <item m="1" x="7745"/>
        <item m="1" x="4778"/>
        <item m="1" x="1266"/>
        <item m="1" x="6849"/>
        <item m="1" x="5022"/>
        <item m="1" x="172"/>
        <item m="1" x="643"/>
        <item m="1" x="795"/>
        <item m="1" x="671"/>
        <item m="1" x="244"/>
        <item m="1" x="388"/>
        <item m="1" x="56"/>
        <item m="1" x="393"/>
        <item m="1" x="687"/>
        <item m="1" x="402"/>
        <item m="1" x="81"/>
        <item m="1" x="987"/>
        <item m="1" x="3482"/>
        <item m="1" x="70"/>
        <item m="1" x="1680"/>
        <item m="1" x="92"/>
        <item m="1" x="278"/>
        <item m="1" x="3423"/>
        <item m="1" x="3296"/>
        <item m="1" x="7291"/>
        <item m="1" x="3056"/>
        <item m="1" x="651"/>
        <item m="1" x="2256"/>
        <item m="1" x="4243"/>
        <item m="1" x="1968"/>
        <item m="1" x="1973"/>
        <item m="1" x="374"/>
        <item m="1" x="2942"/>
        <item m="1" x="4595"/>
        <item m="1" x="4409"/>
        <item m="1" x="2795"/>
        <item m="1" x="2532"/>
        <item m="1" x="3886"/>
        <item m="1" x="2294"/>
        <item m="1" x="3194"/>
        <item m="1" x="3518"/>
        <item m="1" x="2679"/>
        <item m="1" x="2440"/>
        <item m="1" x="1472"/>
        <item m="1" x="1137"/>
        <item m="1" x="5493"/>
        <item m="1" x="7751"/>
        <item m="1" x="272"/>
        <item m="1" x="4725"/>
        <item m="1" x="3106"/>
        <item m="1" x="2849"/>
        <item m="1" x="4192"/>
        <item m="1" x="2586"/>
        <item m="1" x="1143"/>
        <item m="1" x="2315"/>
        <item m="1" x="7757"/>
        <item m="1" x="303"/>
        <item m="1" x="4483"/>
        <item m="1" x="1712"/>
        <item m="1" x="926"/>
        <item m="1" x="7158"/>
        <item m="1" x="1342"/>
        <item m="1" x="2988"/>
        <item m="1" x="1463"/>
        <item m="1" x="1742"/>
        <item m="1" x="2182"/>
        <item m="1" x="3519"/>
        <item m="1" x="464"/>
        <item m="1" x="4905"/>
        <item m="1" x="1877"/>
        <item m="1" x="650"/>
        <item m="1" x="6362"/>
        <item m="1" x="371"/>
        <item m="1" x="4511"/>
        <item m="1" x="6808"/>
        <item m="1" x="1892"/>
        <item m="1" x="162"/>
        <item m="1" x="7168"/>
        <item m="1" x="2052"/>
        <item m="1" x="336"/>
        <item m="1" x="7285"/>
        <item m="1" x="2198"/>
        <item m="1" x="476"/>
        <item m="1" x="7411"/>
        <item m="1" x="1334"/>
        <item m="1" x="6470"/>
        <item m="1" x="638"/>
        <item m="1" x="5053"/>
        <item m="1" x="1348"/>
        <item m="1" x="7070"/>
        <item m="1" x="7201"/>
        <item m="1" x="7324"/>
        <item m="1" x="1539"/>
        <item m="1" x="1907"/>
        <item m="1" x="1345"/>
        <item m="1" x="4093"/>
        <item m="1" x="1351"/>
        <item m="1" x="4097"/>
        <item m="1" x="969"/>
        <item m="1" x="6594"/>
        <item m="1" x="688"/>
        <item m="1" x="1917"/>
        <item m="1" x="6949"/>
        <item m="1" x="2087"/>
        <item m="1" x="6355"/>
        <item m="1" x="6098"/>
        <item m="1" x="5716"/>
        <item m="1" x="2914"/>
        <item m="1" x="3050"/>
        <item m="1" x="1665"/>
        <item m="1" x="4414"/>
        <item m="1" x="6738"/>
        <item m="1" x="7090"/>
        <item m="1" x="10"/>
        <item m="1" x="2917"/>
        <item m="1" x="5375"/>
        <item m="1" x="1813"/>
        <item m="1" x="1946"/>
        <item m="1" x="2778"/>
        <item m="1" x="5246"/>
        <item m="1" x="220"/>
        <item m="1" x="5731"/>
        <item m="1" x="5858"/>
        <item m="1" x="1956"/>
        <item m="1" x="6255"/>
        <item m="1" x="5712"/>
        <item m="1" x="389"/>
        <item m="1" x="5875"/>
        <item m="1" x="1254"/>
        <item m="1" x="1699"/>
        <item m="1" x="6002"/>
        <item m="1" x="4318"/>
        <item m="1" x="1416"/>
        <item m="1" x="5284"/>
        <item m="1" x="5118"/>
        <item m="1" x="5251"/>
        <item m="1" x="1130"/>
        <item m="1" x="6520"/>
        <item m="1" x="607"/>
        <item m="1" x="5521"/>
        <item m="1" x="6305"/>
        <item m="1" x="4010"/>
        <item m="1" x="5499"/>
        <item m="1" x="5754"/>
        <item m="1" x="7759"/>
        <item m="1" x="7289"/>
        <item m="1" x="1506"/>
        <item m="1" x="5181"/>
        <item m="1" x="5934"/>
        <item m="1" x="5170"/>
        <item m="1" x="5183"/>
        <item m="1" x="5802"/>
        <item m="1" x="4888"/>
        <item m="1" x="5015"/>
        <item m="1" x="5154"/>
        <item m="1" x="5285"/>
        <item m="1" x="4048"/>
        <item m="1" x="4189"/>
        <item m="1" x="4326"/>
        <item m="1" x="5315"/>
        <item m="1" x="5023"/>
        <item m="1" x="4915"/>
        <item m="1" x="3779"/>
        <item m="1" x="5414"/>
        <item m="1" x="147"/>
        <item m="1" x="4637"/>
        <item m="1" x="5678"/>
        <item m="1" x="4926"/>
        <item m="1" x="5049"/>
        <item m="1" x="5189"/>
        <item m="1" x="7679"/>
        <item m="1" x="5312"/>
        <item m="1" x="477"/>
        <item m="1" x="5419"/>
        <item m="1" x="6567"/>
        <item m="1" x="1636"/>
        <item m="1" x="4105"/>
        <item m="1" x="5423"/>
        <item m="1" x="3802"/>
        <item m="1" x="778"/>
        <item m="1" x="3940"/>
        <item m="1" x="4080"/>
        <item m="1" x="7283"/>
        <item m="1" x="7408"/>
        <item m="1" x="4802"/>
        <item m="1" x="7672"/>
        <item m="1" x="4933"/>
        <item m="1" x="7425"/>
        <item m="1" x="4687"/>
        <item m="1" x="3033"/>
        <item m="1" x="3288"/>
        <item m="1" x="3419"/>
        <item m="1" x="7176"/>
        <item m="1" x="4963"/>
        <item m="1" x="4240"/>
        <item m="1" x="3036"/>
        <item m="1" x="3172"/>
        <item m="1" x="4389"/>
        <item m="1" x="4535"/>
        <item m="1" x="4677"/>
        <item m="1" x="7555"/>
        <item m="1" x="4820"/>
        <item m="1" x="7784"/>
        <item m="1" x="7699"/>
        <item m="1" x="3585"/>
        <item m="1" x="4398"/>
        <item m="1" x="4539"/>
        <item m="1" x="3840"/>
        <item m="1" x="7297"/>
        <item m="1" x="4719"/>
        <item m="1" x="4872"/>
        <item m="1" x="2395"/>
        <item m="1" x="3344"/>
        <item m="1" x="2132"/>
        <item m="1" x="2269"/>
        <item m="1" x="2402"/>
        <item m="1" x="3603"/>
        <item m="1" x="3727"/>
        <item m="1" x="4293"/>
        <item m="1" x="4445"/>
        <item m="1" x="4594"/>
        <item m="1" x="3369"/>
        <item m="1" x="4204"/>
        <item m="1" x="4345"/>
        <item m="1" x="4301"/>
        <item m="1" x="4450"/>
        <item m="1" x="3739"/>
        <item m="1" x="3765"/>
        <item m="1" x="3633"/>
        <item m="1" x="1578"/>
        <item m="1" x="1998"/>
        <item m="1" x="986"/>
        <item m="1" x="6169"/>
        <item m="1" x="6307"/>
        <item m="1" x="540"/>
        <item m="1" x="5770"/>
        <item m="1" x="852"/>
        <item m="1" x="1948"/>
        <item m="1" x="6054"/>
        <item m="1" x="7039"/>
        <item m="1" x="6201"/>
        <item m="1" x="7164"/>
        <item m="1" x="7281"/>
        <item m="1" x="6444"/>
        <item m="1" x="7402"/>
        <item m="1" x="5806"/>
        <item m="1" x="4220"/>
        <item m="1" x="6897"/>
        <item m="1" x="2225"/>
        <item m="1" x="1063"/>
        <item m="1" x="5420"/>
        <item m="1" x="3153"/>
        <item m="1" x="4517"/>
        <item m="1" x="7047"/>
        <item m="1" x="7544"/>
        <item m="1" x="1183"/>
        <item m="1" x="1642"/>
        <item m="1" x="6078"/>
        <item m="1" x="6348"/>
        <item m="1" x="5436"/>
        <item m="1" x="4381"/>
        <item m="1" x="4550"/>
        <item m="1" x="4271"/>
        <item m="1" x="4684"/>
        <item m="1" x="5318"/>
        <item m="1" x="3672"/>
        <item m="1" x="6228"/>
        <item m="1" x="1653"/>
        <item m="1" x="4806"/>
        <item m="1" x="1801"/>
        <item m="1" x="4260"/>
        <item m="1" x="5326"/>
        <item m="1" x="4109"/>
        <item m="1" x="4014"/>
        <item m="1" x="4417"/>
        <item m="1" x="1952"/>
        <item m="1" x="956"/>
        <item m="1" x="4712"/>
        <item m="1" x="5843"/>
        <item m="1" x="5966"/>
        <item m="1" x="4410"/>
        <item m="1" x="1399"/>
        <item m="1" x="4137"/>
        <item m="1" x="2932"/>
        <item m="1" x="4276"/>
        <item m="1" x="6246"/>
        <item m="1" x="4688"/>
        <item m="1" x="6370"/>
        <item m="1" x="4833"/>
        <item m="1" x="1486"/>
        <item m="1" x="2614"/>
        <item m="1" x="1619"/>
        <item m="1" x="2745"/>
        <item m="1" x="1763"/>
        <item m="1" x="2886"/>
        <item m="1" x="1897"/>
        <item m="1" x="3029"/>
        <item m="1" x="4693"/>
        <item m="1" x="4435"/>
        <item m="1" x="4159"/>
        <item m="1" x="4838"/>
        <item m="1" x="4579"/>
        <item m="1" x="4302"/>
        <item m="1" x="4960"/>
        <item m="1" x="4716"/>
        <item m="1" x="4451"/>
        <item m="1" x="4289"/>
        <item m="1" x="4455"/>
        <item m="1" x="1123"/>
        <item m="1" x="2128"/>
        <item m="1" x="5718"/>
        <item m="1" x="4130"/>
        <item m="1" x="3574"/>
        <item m="1" x="7701"/>
        <item m="1" x="4961"/>
        <item m="1" x="3098"/>
        <item m="1" x="5090"/>
        <item m="1" x="5977"/>
        <item m="1" x="4428"/>
        <item m="1" x="3898"/>
        <item m="1" x="2964"/>
        <item m="1" x="3104"/>
        <item m="1" x="3232"/>
        <item m="1" x="3365"/>
        <item m="1" x="3485"/>
        <item m="1" x="3867"/>
        <item m="1" x="3378"/>
        <item m="1" x="4007"/>
        <item m="1" x="3503"/>
        <item m="1" x="4415"/>
        <item m="1" x="3624"/>
        <item m="1" x="3754"/>
        <item m="1" x="3903"/>
        <item m="1" x="7367"/>
        <item m="1" x="5480"/>
        <item m="1" x="875"/>
        <item m="1" x="3384"/>
        <item m="1" x="3896"/>
        <item m="1" x="1550"/>
        <item m="1" x="4706"/>
        <item m="1" x="6183"/>
        <item m="1" x="3088"/>
        <item m="1" x="3591"/>
        <item m="1" x="7714"/>
        <item m="1" x="5155"/>
        <item m="1" x="1999"/>
        <item m="1" x="3374"/>
        <item m="1" x="3128"/>
        <item m="1" x="5373"/>
        <item m="1" x="5898"/>
        <item m="1" x="1039"/>
        <item m="1" x="4038"/>
        <item m="1" x="3782"/>
        <item m="1" x="1162"/>
        <item m="1" x="4183"/>
        <item m="1" x="5527"/>
        <item m="1" x="3920"/>
        <item m="1" x="4863"/>
        <item m="1" x="2996"/>
        <item m="1" x="2714"/>
        <item m="1" x="5258"/>
        <item m="1" x="3381"/>
        <item m="1" x="5877"/>
        <item m="1" x="4049"/>
        <item m="1" x="3788"/>
        <item m="1" x="1014"/>
        <item m="1" x="5379"/>
        <item m="1" x="2423"/>
        <item m="1" x="1135"/>
        <item m="1" x="5492"/>
        <item m="1" x="2540"/>
        <item m="1" x="7103"/>
        <item m="1" x="4294"/>
        <item m="1" x="1286"/>
        <item m="1" x="7233"/>
        <item m="1" x="4446"/>
        <item m="1" x="1428"/>
        <item m="1" x="2855"/>
        <item m="1" x="2591"/>
        <item m="1" x="2997"/>
        <item m="1" x="2716"/>
        <item m="1" x="1674"/>
        <item m="1" x="7722"/>
        <item m="1" x="4990"/>
        <item m="1" x="2012"/>
        <item m="1" x="4496"/>
        <item m="1" x="1929"/>
        <item m="1" x="3516"/>
        <item m="1" x="5943"/>
        <item m="1" x="2759"/>
        <item m="1" x="3634"/>
        <item m="1" x="5024"/>
        <item m="1" x="6075"/>
        <item m="1" x="3163"/>
        <item m="1" x="1951"/>
        <item m="1" x="2490"/>
        <item m="1" x="340"/>
        <item m="1" x="3811"/>
        <item m="1" x="3181"/>
        <item m="1" x="2921"/>
        <item m="1" x="1373"/>
        <item m="1" x="1101"/>
        <item m="1" x="3409"/>
        <item m="1" x="7535"/>
        <item m="1" x="1786"/>
        <item m="1" x="3541"/>
        <item m="1" x="7667"/>
        <item m="1" x="7186"/>
        <item m="1" x="3648"/>
        <item m="1" x="7770"/>
        <item m="1" x="7304"/>
        <item m="1" x="3807"/>
        <item m="1" x="7435"/>
        <item m="1" x="3942"/>
        <item m="1" x="7569"/>
        <item m="1" x="5201"/>
        <item m="1" x="2110"/>
        <item m="1" x="2493"/>
        <item m="1" x="2250"/>
        <item m="1" x="3285"/>
        <item m="1" x="7410"/>
        <item m="1" x="4382"/>
        <item m="1" x="3816"/>
        <item m="1" x="7298"/>
        <item m="1" x="1524"/>
        <item m="1" x="1246"/>
        <item m="1" x="5079"/>
        <item m="1" x="2106"/>
        <item m="1" x="6921"/>
        <item m="1" x="1076"/>
        <item m="1" x="1206"/>
        <item m="1" x="7170"/>
        <item m="1" x="6461"/>
        <item m="1" x="511"/>
        <item m="1" x="2637"/>
        <item m="1" x="3985"/>
        <item m="1" x="7065"/>
        <item m="1" x="1242"/>
        <item m="1" x="7196"/>
        <item m="1" x="1400"/>
        <item m="1" x="7315"/>
        <item m="1" x="1537"/>
        <item m="1" x="240"/>
        <item m="1" x="7580"/>
        <item m="1" x="7084"/>
        <item m="1" x="7462"/>
        <item m="1" x="7534"/>
        <item m="1" x="7059"/>
        <item m="1" x="6615"/>
        <item m="1" x="6184"/>
        <item m="1" x="5672"/>
        <item m="1" x="5204"/>
        <item m="1" x="4700"/>
        <item m="1" x="2102"/>
        <item m="1" x="1040"/>
        <item m="1" x="6908"/>
        <item m="1" x="7134"/>
        <item m="1" x="1094"/>
        <item m="1" x="5829"/>
        <item m="1" x="4858"/>
        <item m="1" x="69"/>
        <item m="1" x="262"/>
        <item m="1" x="90"/>
        <item m="1" x="2516"/>
        <item m="1" x="2654"/>
        <item m="1" x="2933"/>
        <item m="1" x="3209"/>
        <item m="1" x="3325"/>
        <item m="1" x="3463"/>
        <item m="1" x="3014"/>
        <item m="1" x="2737"/>
        <item m="1" x="743"/>
        <item m="1" x="1300"/>
        <item m="1" x="1449"/>
        <item m="1" x="4709"/>
        <item m="1" x="7707"/>
        <item m="1" x="3116"/>
        <item m="1" x="7251"/>
        <item m="1" x="4476"/>
        <item m="1" x="1467"/>
        <item m="1" x="5790"/>
        <item m="1" x="2506"/>
        <item m="1" x="2920"/>
        <item m="1" x="3318"/>
        <item m="1" x="2510"/>
        <item m="1" x="2709"/>
        <item m="1" x="2720"/>
        <item m="1" x="916"/>
        <item m="1" x="406"/>
        <item m="1" x="3191"/>
        <item m="1" x="2677"/>
        <item m="1" x="2179"/>
        <item m="1" x="1628"/>
        <item m="1" x="1091"/>
        <item m="1" x="546"/>
        <item m="1" x="5347"/>
        <item m="1" x="4856"/>
        <item m="1" x="4328"/>
        <item m="1" x="3800"/>
        <item m="1" x="3301"/>
        <item m="1" x="2803"/>
        <item m="1" x="681"/>
        <item m="1" x="6430"/>
        <item m="1" x="5942"/>
        <item m="1" x="2926"/>
        <item m="1" x="4022"/>
        <item m="1" x="3515"/>
        <item m="1" x="6591"/>
        <item m="1" x="2366"/>
        <item m="1" x="5406"/>
        <item m="1" x="7597"/>
        <item m="1" x="4600"/>
        <item m="1" x="5222"/>
        <item m="1" x="7309"/>
        <item m="1" x="2119"/>
        <item m="1" x="1583"/>
        <item m="1" x="505"/>
        <item m="1" x="4273"/>
        <item m="1" x="3269"/>
        <item m="1" x="2258"/>
        <item m="1" x="6394"/>
        <item m="1" x="7396"/>
        <item m="1" x="6490"/>
        <item m="1" x="6022"/>
        <item m="1" x="5542"/>
        <item m="1" x="5056"/>
        <item m="1" x="4552"/>
        <item m="1" x="4019"/>
        <item m="1" x="7666"/>
        <item m="1" x="3011"/>
        <item m="1" x="1962"/>
        <item m="1" x="1427"/>
        <item m="1" x="908"/>
        <item m="1" x="4291"/>
        <item m="1" x="4295"/>
        <item m="1" x="4305"/>
        <item m="1" x="3736"/>
        <item m="1" x="3772"/>
        <item m="1" x="3261"/>
        <item m="1" x="3281"/>
        <item m="1" x="2749"/>
        <item m="1" x="2276"/>
        <item m="1" x="2284"/>
        <item m="1" x="1172"/>
        <item m="1" x="1191"/>
        <item m="1" x="645"/>
        <item m="1" x="17"/>
        <item m="1" x="5777"/>
        <item m="1" x="3392"/>
        <item m="1" x="7520"/>
        <item m="1" x="1934"/>
        <item m="1" x="1864"/>
        <item m="1" x="2162"/>
        <item m="1" x="1450"/>
        <item m="1" x="1589"/>
        <item m="1" x="1590"/>
        <item m="1" x="4704"/>
        <item m="1" x="5097"/>
        <item m="1" x="5361"/>
        <item m="1" x="4284"/>
        <item m="1" x="1831"/>
        <item m="1" x="2125"/>
        <item m="1" x="2400"/>
        <item m="1" x="1131"/>
        <item m="1" x="1275"/>
        <item m="1" x="2016"/>
        <item m="1" x="4167"/>
        <item m="1" x="649"/>
        <item m="1" x="66"/>
        <item m="1" x="5391"/>
        <item m="1" x="885"/>
        <item m="1" x="6519"/>
        <item m="1" x="2360"/>
        <item m="1" x="2444"/>
        <item m="1" x="6642"/>
        <item m="1" x="1972"/>
        <item m="1" x="2118"/>
        <item m="1" x="2266"/>
        <item m="1" x="2397"/>
        <item m="1" x="2519"/>
        <item m="1" x="2658"/>
        <item m="1" x="2798"/>
        <item m="1" x="2936"/>
        <item m="1" x="3077"/>
        <item m="1" x="1980"/>
        <item m="1" x="2131"/>
        <item m="1" x="2807"/>
        <item m="1" x="3082"/>
        <item m="1" x="3214"/>
        <item m="1" x="1986"/>
        <item m="1" x="2137"/>
        <item m="1" x="2409"/>
        <item m="1" x="2529"/>
        <item m="1" x="2671"/>
        <item m="1" x="2814"/>
        <item m="1" x="2949"/>
        <item m="1" x="3087"/>
        <item m="1" x="1447"/>
        <item m="1" x="2040"/>
        <item m="1" x="1624"/>
        <item m="1" x="273"/>
        <item m="1" x="710"/>
        <item m="1" x="420"/>
        <item m="1" x="4426"/>
        <item m="1" x="3752"/>
        <item m="1" x="3759"/>
        <item m="1" x="3768"/>
        <item m="1" x="3773"/>
        <item m="1" x="3777"/>
        <item m="1" x="3786"/>
        <item m="1" x="3399"/>
        <item m="1" x="3417"/>
        <item m="1" x="3421"/>
        <item m="1" x="3428"/>
        <item m="1" x="7088"/>
        <item m="1" x="2908"/>
        <item m="1" x="2791"/>
        <item m="1" x="2923"/>
        <item m="1" x="3205"/>
        <item m="1" x="3458"/>
        <item m="1" x="2262"/>
        <item m="1" x="2410"/>
        <item m="1" x="2141"/>
        <item m="1" x="1716"/>
        <item m="1" x="1326"/>
        <item m="1" x="1332"/>
        <item m="1" x="1336"/>
        <item m="1" x="1350"/>
        <item m="1" x="1359"/>
        <item m="1" x="659"/>
        <item m="1" x="255"/>
        <item m="1" x="7276"/>
        <item m="1" x="4785"/>
        <item m="1" x="3708"/>
        <item m="1" x="3715"/>
        <item m="1" x="3733"/>
        <item m="1" x="1617"/>
        <item m="1" x="6173"/>
        <item m="1" x="6181"/>
        <item m="1" x="6186"/>
        <item m="1" x="6198"/>
        <item m="1" x="3496"/>
        <item m="1" x="3009"/>
        <item m="1" x="6091"/>
        <item m="1" x="437"/>
        <item m="1" x="2691"/>
        <item m="1" x="4876"/>
        <item m="1" x="6863"/>
        <item m="1" x="2757"/>
        <item m="1" x="2476"/>
        <item m="1" x="7130"/>
        <item m="1" x="585"/>
        <item m="1" x="2836"/>
        <item m="1" x="5002"/>
        <item m="1" x="6993"/>
        <item m="1" x="4171"/>
        <item m="1" x="7766"/>
        <item m="1" x="2897"/>
        <item m="1" x="5065"/>
        <item m="1" x="7053"/>
        <item m="1" x="2092"/>
        <item m="1" x="2977"/>
        <item m="1" x="5140"/>
        <item m="1" x="7120"/>
        <item m="1" x="2165"/>
        <item m="1" x="4315"/>
        <item m="1" x="1340"/>
        <item m="1" x="3035"/>
        <item m="1" x="5198"/>
        <item m="1" x="1826"/>
        <item m="1" x="3598"/>
        <item m="1" x="1967"/>
        <item m="1" x="2512"/>
        <item m="1" x="2653"/>
        <item m="1" x="2792"/>
        <item m="1" x="2024"/>
        <item m="1" x="652"/>
        <item m="1" x="667"/>
        <item m="1" x="2899"/>
        <item m="1" x="5066"/>
        <item m="1" x="1764"/>
        <item m="1" x="4607"/>
        <item m="1" x="6646"/>
        <item m="1" x="2622"/>
        <item m="1" x="4810"/>
        <item m="1" x="3974"/>
        <item m="1" x="1765"/>
        <item m="1" x="3174"/>
        <item m="1" x="7296"/>
        <item m="1" x="2367"/>
        <item m="1" x="4530"/>
        <item m="1" x="6575"/>
        <item m="1" x="4812"/>
        <item m="1" x="3977"/>
        <item m="1" x="442"/>
        <item m="1" x="2031"/>
        <item m="1" x="1165"/>
        <item m="1" x="3383"/>
        <item m="1" x="5525"/>
        <item m="1" x="7509"/>
        <item m="1" x="2096"/>
        <item m="1" x="4245"/>
        <item m="1" x="1223"/>
        <item m="1" x="3441"/>
        <item m="1" x="7572"/>
        <item m="1" x="1455"/>
        <item m="1" x="5904"/>
        <item m="1" x="2993"/>
        <item m="1" x="1656"/>
        <item m="1" x="3992"/>
        <item m="1" x="5958"/>
        <item m="1" x="806"/>
        <item m="1" x="3053"/>
        <item m="1" x="5210"/>
        <item m="1" x="7184"/>
        <item m="1" x="4313"/>
        <item m="1" x="4060"/>
        <item m="1" x="6421"/>
        <item m="1" x="3864"/>
        <item m="1" x="5991"/>
        <item m="1" x="3090"/>
        <item m="1" x="2567"/>
        <item m="1" x="2937"/>
        <item m="1" x="5103"/>
        <item m="1" x="2133"/>
        <item m="1" x="4282"/>
        <item m="1" x="6401"/>
        <item m="1" x="1496"/>
        <item m="1" x="648"/>
        <item m="1" x="2889"/>
        <item m="1" x="5422"/>
        <item m="1" x="1563"/>
        <item m="1" x="3724"/>
        <item m="1" x="1519"/>
        <item m="1" x="474"/>
        <item m="1" x="3044"/>
        <item m="1" x="5206"/>
        <item m="1" x="7182"/>
        <item m="1" x="3120"/>
        <item m="1" x="7253"/>
        <item m="1" x="2311"/>
        <item m="1" x="4482"/>
        <item m="1" x="954"/>
        <item m="1" x="5335"/>
        <item m="1" x="2377"/>
        <item m="1" x="1034"/>
        <item m="1" x="6651"/>
        <item m="1" x="519"/>
        <item m="1" x="604"/>
        <item m="1" x="665"/>
        <item m="1" x="7057"/>
        <item m="1" x="748"/>
        <item m="1" x="805"/>
        <item m="1" x="7183"/>
        <item m="1" x="2185"/>
        <item m="1" x="6434"/>
        <item m="1" x="6442"/>
        <item m="1" x="4380"/>
        <item m="1" x="4407"/>
        <item m="1" x="3560"/>
        <item m="1" x="3572"/>
        <item m="1" x="3072"/>
        <item m="1" x="7221"/>
        <item m="1" x="3625"/>
        <item m="1" x="1824"/>
        <item m="1" x="2576"/>
        <item m="1" x="6887"/>
        <item m="1" x="3701"/>
        <item m="1" x="3236"/>
        <item m="1" x="1055"/>
        <item m="1" x="3270"/>
        <item m="1" x="1558"/>
        <item m="1" x="1041"/>
        <item m="1" x="479"/>
        <item m="1" x="3717"/>
        <item m="1" x="3251"/>
        <item m="1" x="2731"/>
        <item m="1" x="2236"/>
        <item m="1" x="1684"/>
        <item m="1" x="1149"/>
        <item m="1" x="625"/>
        <item m="1" x="4384"/>
        <item m="1" x="627"/>
        <item m="1" x="1289"/>
        <item m="1" x="760"/>
        <item m="1" x="3997"/>
        <item m="1" x="3492"/>
        <item m="1" x="3006"/>
        <item m="1" x="2484"/>
        <item m="1" x="1423"/>
        <item m="1" x="905"/>
        <item m="1" x="6124"/>
        <item m="1" x="5630"/>
        <item m="1" x="5176"/>
        <item m="1" x="4659"/>
        <item m="1" x="4118"/>
        <item m="1" x="3606"/>
        <item m="1" x="3130"/>
        <item m="1" x="2611"/>
        <item m="1" x="2103"/>
        <item m="1" x="1554"/>
        <item m="1" x="7627"/>
        <item m="1" x="7149"/>
        <item m="1" x="5292"/>
        <item m="1" x="4798"/>
        <item m="1" x="4253"/>
        <item m="1" x="3714"/>
        <item m="1" x="7730"/>
        <item m="1" x="7261"/>
        <item m="1" x="6800"/>
        <item m="1" x="6376"/>
        <item m="1" x="5870"/>
        <item m="1" x="998"/>
        <item m="1" x="440"/>
        <item m="1" x="3213"/>
        <item m="1" x="1651"/>
        <item m="1" x="577"/>
        <item m="1" x="5364"/>
        <item m="1" x="4882"/>
        <item m="1" x="4354"/>
        <item m="1" x="3831"/>
        <item m="1" x="3320"/>
        <item m="1" x="2832"/>
        <item m="1" x="1785"/>
        <item m="1" x="1232"/>
        <item m="1" x="7342"/>
        <item m="1" x="6865"/>
        <item m="1" x="5952"/>
        <item m="1" x="4996"/>
        <item m="1" x="4492"/>
        <item m="1" x="3445"/>
        <item m="1" x="7459"/>
        <item m="1" x="6991"/>
        <item m="1" x="6540"/>
        <item m="1" x="6084"/>
        <item m="1" x="5591"/>
        <item m="1" x="1895"/>
        <item m="1" x="1364"/>
        <item m="1" x="291"/>
        <item m="1" x="4062"/>
        <item m="1" x="3552"/>
        <item m="1" x="3063"/>
        <item m="1" x="2043"/>
        <item m="1" x="1498"/>
        <item m="1" x="2732"/>
        <item m="1" x="2237"/>
        <item m="1" x="1685"/>
        <item m="1" x="1150"/>
        <item m="1" x="626"/>
        <item m="1" x="5397"/>
        <item m="1" x="1046"/>
        <item m="1" x="1049"/>
        <item m="1" x="488"/>
        <item m="1" x="974"/>
        <item m="1" x="6935"/>
        <item m="1" x="7420"/>
        <item m="1" x="6053"/>
        <item m="1" x="1863"/>
        <item m="1" x="793"/>
        <item m="1" x="5669"/>
        <item m="1" x="4152"/>
        <item m="1" x="7658"/>
        <item m="1" x="5316"/>
        <item m="1" x="4290"/>
        <item m="1" x="3767"/>
        <item m="1" x="7758"/>
        <item m="1" x="7287"/>
        <item m="1" x="6823"/>
        <item m="1" x="6408"/>
        <item m="1" x="5902"/>
        <item m="1" x="1029"/>
        <item m="1" x="472"/>
        <item m="1" x="3241"/>
        <item m="1" x="359"/>
        <item m="1" x="506"/>
        <item m="1" x="5800"/>
        <item m="1" x="1035"/>
        <item m="1" x="5384"/>
        <item m="1" x="4903"/>
        <item m="1" x="4371"/>
        <item m="1" x="3847"/>
        <item m="1" x="912"/>
        <item m="1" x="5182"/>
        <item m="1" x="1048"/>
        <item m="1" x="7641"/>
        <item m="1" x="7739"/>
        <item m="1" x="6383"/>
        <item m="1" x="5878"/>
        <item m="1" x="5407"/>
        <item m="1" x="450"/>
        <item m="1" x="1658"/>
        <item m="1" x="594"/>
        <item m="1" x="4892"/>
        <item m="1" x="4358"/>
        <item m="1" x="3839"/>
        <item m="1" x="3332"/>
        <item m="1" x="2841"/>
        <item m="1" x="2336"/>
        <item m="1" x="1795"/>
        <item m="1" x="1245"/>
        <item m="1" x="731"/>
        <item m="1" x="143"/>
        <item m="1" x="6878"/>
        <item m="1" x="6452"/>
        <item m="1" x="5960"/>
        <item m="1" x="5474"/>
        <item m="1" x="5011"/>
        <item m="1" x="4500"/>
        <item m="1" x="3967"/>
        <item m="1" x="3455"/>
        <item m="1" x="2970"/>
        <item m="1" x="2467"/>
        <item m="1" x="7465"/>
        <item m="1" x="6998"/>
        <item m="1" x="6546"/>
        <item m="1" x="5598"/>
        <item m="1" x="5138"/>
        <item m="1" x="4633"/>
        <item m="1" x="1371"/>
        <item m="1" x="836"/>
        <item m="1" x="3559"/>
        <item m="1" x="3076"/>
        <item m="1" x="2553"/>
        <item m="1" x="2055"/>
        <item m="1" x="984"/>
        <item m="1" x="429"/>
        <item m="1" x="5703"/>
        <item m="1" x="5237"/>
        <item m="1" x="4752"/>
        <item m="1" x="4215"/>
        <item m="1" x="3670"/>
        <item m="1" x="3203"/>
        <item m="1" x="2689"/>
        <item m="1" x="207"/>
        <item m="1" x="216"/>
        <item m="1" x="2238"/>
        <item m="1" x="1686"/>
        <item m="1" x="1151"/>
        <item m="1" x="4920"/>
        <item m="1" x="4385"/>
        <item m="1" x="3862"/>
        <item m="1" x="2359"/>
        <item m="1" x="182"/>
        <item m="1" x="5988"/>
        <item m="1" x="5514"/>
        <item m="1" x="5035"/>
        <item m="1" x="4528"/>
        <item m="1" x="3995"/>
        <item m="1" x="3490"/>
        <item m="1" x="3004"/>
        <item m="1" x="2483"/>
        <item m="1" x="6121"/>
        <item m="1" x="5627"/>
        <item m="1" x="5172"/>
        <item m="1" x="4658"/>
        <item m="1" x="7624"/>
        <item m="1" x="7146"/>
        <item m="1" x="6676"/>
        <item m="1" x="1911"/>
        <item m="1" x="311"/>
        <item m="1" x="4085"/>
        <item m="1" x="3086"/>
        <item m="1" x="2562"/>
        <item m="1" x="2066"/>
        <item m="1" x="1511"/>
        <item m="1" x="438"/>
        <item m="1" x="6221"/>
        <item m="1" x="5708"/>
        <item m="1" x="5249"/>
        <item m="1" x="4761"/>
        <item m="1" x="4219"/>
        <item m="1" x="3212"/>
        <item m="1" x="2692"/>
        <item m="1" x="2201"/>
        <item m="1" x="1648"/>
        <item m="1" x="7229"/>
        <item m="1" x="6341"/>
        <item m="1" x="4880"/>
        <item m="1" x="4353"/>
        <item m="1" x="3830"/>
        <item m="1" x="553"/>
        <item m="1" x="7484"/>
        <item m="1" x="2813"/>
        <item m="1" x="1768"/>
        <item m="1" x="1214"/>
        <item m="1" x="4981"/>
        <item m="1" x="4473"/>
        <item m="1" x="3932"/>
        <item m="1" x="3431"/>
        <item m="1" x="1893"/>
        <item m="1" x="821"/>
        <item m="1" x="6974"/>
        <item m="1" x="5575"/>
        <item m="1" x="3061"/>
        <item m="1" x="2542"/>
        <item m="1" x="7557"/>
        <item m="1" x="7087"/>
        <item m="1" x="5693"/>
        <item m="1" x="4739"/>
        <item m="1" x="7682"/>
        <item m="1" x="6746"/>
        <item m="1" x="1997"/>
        <item m="1" x="1462"/>
        <item m="1" x="935"/>
        <item m="1" x="4147"/>
        <item m="1" x="2627"/>
        <item m="1" x="2130"/>
        <item m="1" x="1587"/>
        <item m="1" x="1059"/>
        <item m="1" x="510"/>
        <item m="1" x="3751"/>
        <item m="1" x="3275"/>
        <item m="1" x="2765"/>
        <item m="1" x="2261"/>
        <item m="1" x="1724"/>
        <item m="1" x="7752"/>
        <item m="1" x="7282"/>
        <item m="1" x="6817"/>
        <item m="1" x="5417"/>
        <item m="1" x="4941"/>
        <item m="1" x="4419"/>
        <item m="1" x="634"/>
        <item m="1" x="5"/>
        <item m="1" x="7543"/>
        <item m="1" x="195"/>
        <item m="1" x="4534"/>
        <item m="1" x="4006"/>
        <item m="1" x="2488"/>
        <item m="1" x="1965"/>
        <item m="1" x="909"/>
        <item m="1" x="6577"/>
        <item m="1" x="6132"/>
        <item m="1" x="5179"/>
        <item m="1" x="4665"/>
        <item m="1" x="4126"/>
        <item m="1" x="7157"/>
        <item m="1" x="6683"/>
        <item m="1" x="7267"/>
        <item m="1" x="6802"/>
        <item m="1" x="2073"/>
        <item m="1" x="1522"/>
        <item m="1" x="448"/>
        <item m="1" x="3686"/>
        <item m="1" x="3219"/>
        <item m="1" x="2703"/>
        <item m="1" x="590"/>
        <item m="1" x="4890"/>
        <item m="1" x="5956"/>
        <item m="1" x="7616"/>
        <item m="1" x="832"/>
        <item m="1" x="4612"/>
        <item m="1" x="4072"/>
        <item m="1" x="3073"/>
        <item m="1" x="1504"/>
        <item m="1" x="982"/>
        <item m="1" x="5235"/>
        <item m="1" x="7222"/>
        <item m="1" x="6334"/>
        <item m="1" x="5352"/>
        <item m="1" x="4869"/>
        <item m="1" x="1593"/>
        <item m="1" x="1064"/>
        <item m="1" x="518"/>
        <item m="1" x="2773"/>
        <item m="1" x="1189"/>
        <item m="1" x="654"/>
        <item m="1" x="52"/>
        <item m="1" x="5903"/>
        <item m="1" x="5421"/>
        <item m="1" x="3901"/>
        <item m="1" x="3402"/>
        <item m="1" x="2900"/>
        <item m="1" x="7403"/>
        <item m="1" x="6501"/>
        <item m="1" x="6038"/>
        <item m="1" x="5549"/>
        <item m="1" x="5069"/>
        <item m="1" x="922"/>
        <item m="1" x="360"/>
        <item m="1" x="2341"/>
        <item m="1" x="1805"/>
        <item m="1" x="1256"/>
        <item m="1" x="6455"/>
        <item m="1" x="5967"/>
        <item m="1" x="5017"/>
        <item m="1" x="4509"/>
        <item m="1" x="3972"/>
        <item m="1" x="7472"/>
        <item m="1" x="6093"/>
        <item m="1" x="5145"/>
        <item m="1" x="4759"/>
        <item m="1" x="3210"/>
        <item m="1" x="2199"/>
        <item m="1" x="1646"/>
        <item m="1" x="7226"/>
        <item m="1" x="6340"/>
        <item m="1" x="5836"/>
        <item m="1" x="5362"/>
        <item m="1" x="4879"/>
        <item m="1" x="4351"/>
        <item m="1" x="2830"/>
        <item m="1" x="5462"/>
        <item m="1" x="2278"/>
        <item m="1" x="664"/>
        <item m="1" x="1870"/>
        <item m="1" x="1331"/>
        <item m="1" x="798"/>
        <item m="1" x="6510"/>
        <item m="1" x="5075"/>
        <item m="1" x="4575"/>
        <item m="1" x="4035"/>
        <item m="1" x="3532"/>
        <item m="1" x="2511"/>
        <item m="1" x="5202"/>
        <item m="1" x="4698"/>
        <item m="1" x="4163"/>
        <item m="1" x="933"/>
        <item m="1" x="366"/>
        <item m="1" x="3157"/>
        <item m="1" x="2626"/>
        <item m="1" x="2123"/>
        <item m="1" x="1057"/>
        <item m="1" x="5308"/>
        <item m="1" x="3273"/>
        <item m="1" x="2259"/>
        <item m="1" x="1721"/>
        <item m="1" x="6396"/>
        <item m="1" x="5891"/>
        <item m="1" x="5415"/>
        <item m="1" x="7397"/>
        <item m="1" x="6492"/>
        <item m="1" x="6025"/>
        <item m="1" x="1156"/>
        <item m="1" x="628"/>
        <item m="1" x="4391"/>
        <item m="1" x="3866"/>
        <item m="1" x="3377"/>
        <item m="1" x="2362"/>
        <item m="1" x="1293"/>
        <item m="1" x="7417"/>
        <item m="1" x="2738"/>
        <item m="1" x="2242"/>
        <item m="1" x="632"/>
        <item m="1" x="4928"/>
        <item m="1" x="3874"/>
        <item m="1" x="3382"/>
        <item m="1" x="2875"/>
        <item m="1" x="7640"/>
        <item m="1" x="3097"/>
        <item m="1" x="5844"/>
        <item m="1" x="5374"/>
        <item m="1" x="4891"/>
        <item m="1" x="564"/>
        <item m="1" x="7495"/>
        <item m="1" x="703"/>
        <item m="1" x="4988"/>
        <item m="1" x="6979"/>
        <item m="1" x="2743"/>
        <item m="1" x="2247"/>
        <item m="1" x="1168"/>
        <item m="1" x="636"/>
        <item m="1" x="11"/>
        <item m="1" x="7422"/>
        <item m="1" x="2747"/>
        <item m="1" x="2249"/>
        <item m="1" x="1701"/>
        <item m="1" x="4934"/>
        <item m="1" x="4405"/>
        <item m="1" x="3883"/>
        <item m="1" x="3386"/>
        <item m="1" x="2881"/>
        <item m="1" x="2376"/>
        <item m="1" x="1838"/>
        <item m="1" x="1302"/>
        <item m="1" x="765"/>
        <item m="1" x="6925"/>
        <item m="1" x="6481"/>
        <item m="1" x="6005"/>
        <item m="1" x="5535"/>
        <item m="1" x="3505"/>
        <item m="1" x="2492"/>
        <item m="1" x="7512"/>
        <item m="1" x="7042"/>
        <item m="1" x="6581"/>
        <item m="1" x="6142"/>
        <item m="1" x="7645"/>
        <item m="1" x="7161"/>
        <item m="1" x="6687"/>
        <item m="1" x="1931"/>
        <item m="1" x="1396"/>
        <item m="1" x="878"/>
        <item m="1" x="326"/>
        <item m="1" x="4096"/>
        <item m="1" x="3103"/>
        <item m="1" x="2584"/>
        <item m="1" x="2077"/>
        <item m="1" x="1527"/>
        <item m="1" x="1011"/>
        <item m="1" x="455"/>
        <item m="1" x="6233"/>
        <item m="1" x="5722"/>
        <item m="1" x="4774"/>
        <item m="1" x="3688"/>
        <item m="1" x="7239"/>
        <item m="1" x="4364"/>
        <item m="1" x="7499"/>
        <item m="1" x="4992"/>
        <item m="1" x="3952"/>
        <item m="1" x="846"/>
        <item m="1" x="306"/>
        <item m="1" x="5588"/>
        <item m="1" x="4622"/>
        <item m="1" x="4076"/>
        <item m="1" x="6650"/>
        <item m="1" x="6218"/>
        <item m="1" x="5705"/>
        <item m="1" x="2014"/>
        <item m="1" x="1477"/>
        <item m="1" x="4162"/>
        <item m="1" x="3166"/>
        <item m="1" x="2640"/>
        <item m="1" x="2148"/>
        <item m="1" x="1066"/>
        <item m="1" x="6304"/>
        <item m="1" x="5320"/>
        <item m="1" x="4832"/>
        <item m="1" x="4292"/>
        <item m="1" x="3283"/>
        <item m="1" x="2776"/>
        <item m="1" x="4951"/>
        <item m="1" x="5479"/>
        <item m="1" x="7595"/>
        <item m="1" x="7126"/>
        <item m="1" x="1354"/>
        <item m="1" x="812"/>
        <item m="1" x="279"/>
        <item m="1" x="4053"/>
        <item m="1" x="3055"/>
        <item m="1" x="2537"/>
        <item m="1" x="2039"/>
        <item m="1" x="1493"/>
        <item m="1" x="962"/>
        <item m="1" x="7426"/>
        <item m="1" x="2754"/>
        <item m="1" x="2253"/>
        <item m="1" x="1709"/>
        <item m="1" x="1176"/>
        <item m="1" x="637"/>
        <item m="1" x="22"/>
        <item m="1" x="4937"/>
        <item m="1" x="4411"/>
        <item m="1" x="3390"/>
        <item m="1" x="2883"/>
        <item m="1" x="2380"/>
        <item m="1" x="1842"/>
        <item m="1" x="772"/>
        <item m="1" x="6928"/>
        <item m="1" x="6483"/>
        <item m="1" x="6011"/>
        <item m="1" x="5536"/>
        <item m="1" x="4016"/>
        <item m="1" x="7518"/>
        <item m="1" x="6586"/>
        <item m="1" x="5650"/>
        <item m="1" x="1936"/>
        <item m="1" x="884"/>
        <item m="1" x="332"/>
        <item m="1" x="2081"/>
        <item m="1" x="458"/>
        <item m="1" x="5274"/>
        <item m="1" x="3692"/>
        <item m="1" x="7242"/>
        <item m="1" x="5848"/>
        <item m="1" x="578"/>
        <item m="1" x="2327"/>
        <item m="1" x="6390"/>
        <item m="1" x="4728"/>
        <item m="1" x="4734"/>
        <item m="1" x="4751"/>
        <item m="1" x="4195"/>
        <item m="1" x="5006"/>
        <item m="1" x="3964"/>
        <item m="1" x="4402"/>
        <item m="1" x="1388"/>
        <item m="1" x="5715"/>
        <item m="1" x="3185"/>
        <item m="1" x="7305"/>
        <item m="1" x="23"/>
        <item m="1" x="1530"/>
        <item m="1" x="3305"/>
        <item m="1" x="7437"/>
        <item m="1" x="1672"/>
        <item m="1" x="5973"/>
        <item m="1" x="3062"/>
        <item m="1" x="7210"/>
        <item m="1" x="3439"/>
        <item m="1" x="7571"/>
        <item m="1" x="7190"/>
        <item m="1" x="3693"/>
        <item m="1" x="679"/>
        <item m="1" x="5089"/>
        <item m="1" x="6942"/>
        <item m="1" x="4114"/>
        <item m="1" x="1107"/>
        <item m="1" x="5463"/>
        <item m="1" x="1675"/>
        <item m="1" x="6369"/>
        <item m="1" x="2384"/>
        <item m="1" x="6589"/>
        <item m="1" x="3696"/>
        <item m="1" x="683"/>
        <item m="1" x="5094"/>
        <item m="1" x="1112"/>
        <item m="1" x="7068"/>
        <item m="1" x="4259"/>
        <item m="1" x="1250"/>
        <item m="1" x="45"/>
        <item m="1" x="4561"/>
        <item m="1" x="3312"/>
        <item m="1" x="239"/>
        <item m="1" x="4691"/>
        <item m="1" x="3446"/>
        <item m="1" x="382"/>
        <item m="1" x="4836"/>
        <item m="1" x="6123"/>
        <item m="1" x="5455"/>
        <item m="1" x="834"/>
        <item m="1" x="3993"/>
        <item m="1" x="1255"/>
        <item m="1" x="5605"/>
        <item m="1" x="5970"/>
        <item m="1" x="3059"/>
        <item m="1" x="1407"/>
        <item m="1" x="5732"/>
        <item m="1" x="7327"/>
        <item m="1" x="48"/>
        <item m="1" x="1542"/>
        <item m="1" x="6251"/>
        <item m="1" x="7450"/>
        <item m="1" x="245"/>
        <item m="1" x="4697"/>
        <item m="1" x="6380"/>
        <item m="1" x="4841"/>
        <item m="1" x="6604"/>
        <item m="1" x="695"/>
        <item m="1" x="5460"/>
        <item m="1" x="2508"/>
        <item m="1" x="6705"/>
        <item m="1" x="847"/>
        <item m="1" x="5243"/>
        <item m="1" x="5594"/>
        <item m="1" x="1549"/>
        <item m="1" x="5864"/>
        <item m="1" x="705"/>
        <item m="1" x="858"/>
        <item m="1" x="5247"/>
        <item m="1" x="5484"/>
        <item m="1" x="7083"/>
        <item m="1" x="4275"/>
        <item m="1" x="1268"/>
        <item m="1" x="3071"/>
        <item m="1" x="7220"/>
        <item m="1" x="4429"/>
        <item m="1" x="7337"/>
        <item m="1" x="5866"/>
        <item m="1" x="1693"/>
        <item m="1" x="3462"/>
        <item m="1" x="400"/>
        <item m="1" x="1984"/>
        <item m="1" x="5252"/>
        <item m="1" x="2660"/>
        <item m="1" x="6836"/>
        <item m="1" x="5728"/>
        <item m="1" x="6961"/>
        <item m="1" x="5489"/>
        <item m="1" x="2938"/>
        <item m="1" x="7091"/>
        <item m="1" x="3080"/>
        <item m="1" x="7343"/>
        <item m="1" x="76"/>
        <item m="1" x="1559"/>
        <item m="1" x="266"/>
        <item m="1" x="4852"/>
        <item m="1" x="1843"/>
        <item m="1" x="3589"/>
        <item m="1" x="6718"/>
        <item m="1" x="5257"/>
        <item m="1" x="4015"/>
        <item m="1" x="4288"/>
        <item m="1" x="1280"/>
        <item m="1" x="5618"/>
        <item m="1" x="4437"/>
        <item m="1" x="7348"/>
        <item m="1" x="82"/>
        <item m="1" x="4586"/>
        <item m="1" x="7470"/>
        <item m="1" x="4723"/>
        <item m="1" x="1703"/>
        <item m="1" x="6007"/>
        <item m="1" x="6393"/>
        <item m="1" x="3469"/>
        <item m="1" x="405"/>
        <item m="1" x="6497"/>
        <item m="1" x="7717"/>
        <item m="1" x="554"/>
        <item m="1" x="4983"/>
        <item m="1" x="6624"/>
        <item m="1" x="3721"/>
        <item m="1" x="5132"/>
        <item m="1" x="2531"/>
        <item m="1" x="6728"/>
        <item m="1" x="876"/>
        <item m="1" x="5267"/>
        <item m="1" x="6846"/>
        <item m="1" x="2816"/>
        <item m="1" x="3091"/>
        <item m="1" x="1424"/>
        <item m="1" x="5753"/>
        <item m="1" x="3221"/>
        <item m="1" x="7475"/>
        <item m="1" x="277"/>
        <item m="1" x="4732"/>
        <item m="1" x="1711"/>
        <item m="1" x="6013"/>
        <item m="1" x="7602"/>
        <item m="1" x="4860"/>
        <item m="1" x="6299"/>
        <item m="1" x="7352"/>
        <item m="1" x="4969"/>
        <item m="1" x="3341"/>
        <item m="1" x="7474"/>
        <item m="1" x="276"/>
        <item m="1" x="4731"/>
        <item m="1" x="5099"/>
        <item m="1" x="2126"/>
        <item m="1" x="6398"/>
        <item m="1" x="412"/>
        <item m="1" x="3711"/>
        <item m="1" x="711"/>
        <item m="1" x="1012"/>
        <item m="1" x="5730"/>
        <item m="1" x="2805"/>
        <item m="1" x="6965"/>
        <item m="1" x="4142"/>
        <item m="1" x="1134"/>
        <item m="1" x="5491"/>
        <item m="1" x="2940"/>
        <item m="1" x="5616"/>
        <item m="1" x="3226"/>
        <item m="1" x="7358"/>
        <item m="1" x="6278"/>
        <item m="1" x="7477"/>
        <item m="1" x="4735"/>
        <item m="1" x="5106"/>
        <item m="1" x="6405"/>
        <item m="1" x="4867"/>
        <item m="1" x="2528"/>
        <item m="1" x="6724"/>
        <item m="1" x="3879"/>
        <item m="1" x="873"/>
        <item m="1" x="5263"/>
        <item m="1" x="2948"/>
        <item m="1" x="7099"/>
        <item m="1" x="6848"/>
        <item m="1" x="2954"/>
        <item m="1" x="3364"/>
        <item m="1" x="7492"/>
        <item m="1" x="301"/>
        <item m="1" x="4747"/>
        <item m="1" x="2146"/>
        <item m="1" x="6412"/>
        <item m="1" x="3484"/>
        <item m="1" x="7619"/>
        <item m="1" x="4875"/>
        <item m="1" x="583"/>
        <item m="1" x="2419"/>
        <item m="1" x="5139"/>
        <item m="1" x="5487"/>
        <item m="1" x="2536"/>
        <item m="1" x="4025"/>
        <item m="1" x="5746"/>
        <item m="1" x="2824"/>
        <item m="1" x="6981"/>
        <item m="1" x="4153"/>
        <item m="1" x="1144"/>
        <item m="1" x="5503"/>
        <item m="1" x="5629"/>
        <item m="1" x="5998"/>
        <item m="1" x="1431"/>
        <item m="1" x="4861"/>
        <item m="1" x="1855"/>
        <item m="1" x="5124"/>
        <item m="1" x="2150"/>
        <item m="1" x="6859"/>
        <item m="1" x="4032"/>
        <item m="1" x="1027"/>
        <item m="1" x="5390"/>
        <item m="1" x="2829"/>
        <item m="1" x="6986"/>
        <item m="1" x="5508"/>
        <item m="1" x="5873"/>
        <item m="1" x="2961"/>
        <item m="1" x="3101"/>
        <item m="1" x="7236"/>
        <item m="1" x="4454"/>
        <item m="1" x="1437"/>
        <item m="1" x="5765"/>
        <item m="1" x="1859"/>
        <item m="1" x="307"/>
        <item m="1" x="5131"/>
        <item m="1" x="2155"/>
        <item m="1" x="4884"/>
        <item m="1" x="5266"/>
        <item m="1" x="3617"/>
        <item m="1" x="7742"/>
        <item m="1" x="597"/>
        <item m="1" x="5013"/>
        <item m="1" x="5383"/>
        <item m="1" x="741"/>
        <item m="1" x="2547"/>
        <item m="1" x="6748"/>
        <item m="1" x="5282"/>
        <item m="1" x="2690"/>
        <item m="1" x="1152"/>
        <item m="1" x="5515"/>
        <item m="1" x="2972"/>
        <item m="1" x="7116"/>
        <item m="1" x="5646"/>
        <item m="1" x="6010"/>
        <item m="1" x="3108"/>
        <item m="1" x="1445"/>
        <item m="1" x="4614"/>
        <item m="1" x="7500"/>
        <item m="1" x="4760"/>
        <item m="1" x="5137"/>
        <item m="1" x="5272"/>
        <item m="1" x="2293"/>
        <item m="1" x="6517"/>
        <item m="1" x="7746"/>
        <item m="1" x="602"/>
        <item m="1" x="747"/>
        <item m="1" x="5500"/>
        <item m="1" x="3899"/>
        <item m="1" x="5625"/>
        <item m="1" x="1037"/>
        <item m="1" x="5395"/>
        <item m="1" x="5755"/>
        <item m="1" x="6995"/>
        <item m="1" x="4174"/>
        <item m="1" x="1160"/>
        <item m="1" x="2978"/>
        <item m="1" x="7121"/>
        <item m="1" x="118"/>
        <item m="1" x="4623"/>
        <item m="1" x="4764"/>
        <item m="1" x="2167"/>
        <item m="1" x="452"/>
        <item m="1" x="4894"/>
        <item m="1" x="5760"/>
        <item m="1" x="2843"/>
        <item m="1" x="6999"/>
        <item m="1" x="4180"/>
        <item m="1" x="1166"/>
        <item m="1" x="4627"/>
        <item m="1" x="2030"/>
        <item m="1" x="6525"/>
        <item m="1" x="3631"/>
        <item m="1" x="7750"/>
        <item m="1" x="612"/>
        <item m="1" x="3764"/>
        <item m="1" x="5161"/>
        <item m="1" x="5511"/>
        <item m="1" x="899"/>
        <item m="1" x="5288"/>
        <item m="1" x="5640"/>
        <item m="1" x="4325"/>
        <item m="1" x="5791"/>
        <item m="1" x="7511"/>
        <item m="1" x="4772"/>
        <item m="1" x="2307"/>
        <item m="1" x="6765"/>
        <item m="1" x="5408"/>
        <item m="1" x="5776"/>
        <item m="1" x="2853"/>
        <item m="1" x="7135"/>
        <item m="1" x="4196"/>
        <item m="1" x="4602"/>
        <item m="1" x="5892"/>
        <item m="1" x="7131"/>
        <item m="1" x="1730"/>
        <item m="1" x="6037"/>
        <item m="1" x="4486"/>
        <item m="1" x="4878"/>
        <item m="1" x="1868"/>
        <item m="1" x="6177"/>
        <item m="1" x="7379"/>
        <item m="1" x="5142"/>
        <item m="1" x="6425"/>
        <item m="1" x="3507"/>
        <item m="1" x="456"/>
        <item m="1" x="4898"/>
        <item m="1" x="3760"/>
        <item m="1" x="5506"/>
        <item m="1" x="2556"/>
        <item m="1" x="6758"/>
        <item m="1" x="4317"/>
        <item m="1" x="5648"/>
        <item m="1" x="2706"/>
        <item m="1" x="6881"/>
        <item m="1" x="4052"/>
        <item m="1" x="4463"/>
        <item m="1" x="1452"/>
        <item m="1" x="4606"/>
        <item m="1" x="7139"/>
        <item m="1" x="4338"/>
        <item m="1" x="6040"/>
        <item m="1" x="3123"/>
        <item m="1" x="6185"/>
        <item m="1" x="5012"/>
        <item m="1" x="7510"/>
        <item m="1" x="2173"/>
        <item m="1" x="613"/>
        <item m="1" x="2448"/>
        <item m="1" x="3769"/>
        <item m="1" x="755"/>
        <item m="1" x="5165"/>
        <item m="1" x="3910"/>
        <item m="1" x="4202"/>
        <item m="1" x="3000"/>
        <item m="1" x="4758"/>
        <item m="1" x="6320"/>
        <item m="1" x="5283"/>
        <item m="1" x="6652"/>
        <item m="1" x="3774"/>
        <item m="1" x="2572"/>
        <item m="1" x="6768"/>
        <item m="1" x="4058"/>
        <item m="1" x="4477"/>
        <item m="1" x="1468"/>
        <item m="1" x="5792"/>
        <item m="1" x="2859"/>
        <item m="1" x="7012"/>
        <item m="1" x="4618"/>
        <item m="1" x="1597"/>
        <item m="1" x="5911"/>
        <item m="1" x="4346"/>
        <item m="1" x="4763"/>
        <item m="1" x="2189"/>
        <item m="1" x="3523"/>
        <item m="1" x="7652"/>
        <item m="1" x="468"/>
        <item m="1" x="4910"/>
        <item m="1" x="2317"/>
        <item m="1" x="6533"/>
        <item m="1" x="6653"/>
        <item m="1" x="3778"/>
        <item m="1" x="759"/>
        <item m="1" x="5174"/>
        <item m="1" x="5522"/>
        <item m="1" x="3916"/>
        <item m="1" x="5293"/>
        <item m="1" x="5661"/>
        <item m="1" x="6891"/>
        <item m="1" x="4061"/>
        <item m="1" x="4487"/>
        <item m="1" x="7018"/>
        <item m="1" x="4213"/>
        <item m="1" x="1881"/>
        <item m="1" x="6196"/>
        <item m="1" x="3262"/>
        <item m="1" x="7390"/>
        <item m="1" x="4645"/>
        <item m="1" x="6441"/>
        <item m="1" x="7655"/>
        <item m="1" x="470"/>
        <item m="1" x="7760"/>
        <item m="1" x="622"/>
        <item m="1" x="5033"/>
        <item m="1" x="5401"/>
        <item m="1" x="2461"/>
        <item m="1" x="6655"/>
        <item m="1" x="2718"/>
        <item m="1" x="3008"/>
        <item m="1" x="3266"/>
        <item m="1" x="7393"/>
        <item m="1" x="335"/>
        <item m="1" x="5166"/>
        <item m="1" x="7762"/>
        <item m="1" x="3922"/>
        <item m="1" x="4073"/>
        <item m="1" x="4508"/>
        <item m="1" x="1889"/>
        <item m="1" x="6207"/>
        <item m="1" x="7661"/>
        <item m="1" x="4077"/>
        <item m="1" x="4495"/>
        <item m="1" x="5807"/>
        <item m="1" x="7031"/>
        <item m="1" x="4223"/>
        <item m="1" x="168"/>
        <item m="1" x="2057"/>
        <item m="1" x="3405"/>
        <item m="1" x="339"/>
        <item m="1" x="4792"/>
        <item m="1" x="5177"/>
        <item m="1" x="2203"/>
        <item m="1" x="480"/>
        <item m="1" x="6547"/>
        <item m="1" x="2475"/>
        <item m="1" x="3796"/>
        <item m="1" x="5185"/>
        <item m="1" x="2598"/>
        <item m="1" x="5673"/>
        <item m="1" x="2730"/>
        <item m="1" x="6909"/>
        <item m="1" x="4084"/>
        <item m="1" x="6065"/>
        <item m="1" x="7532"/>
        <item m="1" x="5939"/>
        <item m="1" x="4519"/>
        <item m="1" x="4914"/>
        <item m="1" x="1902"/>
        <item m="1" x="6217"/>
        <item m="1" x="2345"/>
        <item m="1" x="6552"/>
        <item m="1" x="7769"/>
        <item m="1" x="3806"/>
        <item m="1" x="3941"/>
        <item m="1" x="3151"/>
        <item m="1" x="4515"/>
        <item m="1" x="5032"/>
        <item m="1" x="4541"/>
        <item m="1" x="6241"/>
        <item m="1" x="376"/>
        <item m="1" x="6113"/>
        <item m="1" x="5229"/>
        <item m="1" x="2665"/>
        <item m="1" x="6862"/>
        <item m="1" x="5592"/>
        <item m="1" x="2645"/>
        <item m="1" x="3264"/>
        <item m="1" x="3520"/>
        <item m="1" x="2338"/>
        <item m="1" x="3644"/>
        <item m="1" x="3933"/>
        <item m="1" x="2003"/>
        <item m="1" x="6295"/>
        <item m="1" x="1994"/>
        <item m="1" x="348"/>
        <item m="1" x="6313"/>
        <item m="1" x="3734"/>
        <item m="1" x="2445"/>
        <item m="1" x="7019"/>
        <item m="1" x="1488"/>
        <item m="1" x="5811"/>
        <item m="1" x="3749"/>
        <item m="1" x="1141"/>
        <item m="1" x="5498"/>
        <item m="1" x="1153"/>
        <item m="1" x="5516"/>
        <item m="1" x="7754"/>
        <item m="1" x="2332"/>
        <item m="1" x="2600"/>
        <item m="1" x="6785"/>
        <item m="1" x="6451"/>
        <item m="1" x="3286"/>
        <item m="1" x="769"/>
        <item m="1" x="4653"/>
        <item m="1" x="3293"/>
        <item m="1" x="7423"/>
        <item m="1" x="3653"/>
        <item m="1" x="642"/>
        <item m="1" x="5055"/>
        <item m="1" x="7407"/>
        <item m="1" x="4657"/>
        <item m="1" x="3235"/>
        <item m="1" x="7447"/>
        <item m="1" x="2793"/>
        <item m="1" x="5850"/>
        <item m="1" x="3222"/>
        <item m="1" x="891"/>
        <item m="1" x="1876"/>
        <item m="1" x="766"/>
        <item m="1" x="2211"/>
        <item m="1" x="6215"/>
        <item m="1" x="4457"/>
        <item m="1" x="1443"/>
        <item m="1" x="964"/>
        <item m="1" x="4589"/>
        <item m="1" x="5146"/>
        <item m="1" x="5152"/>
        <item m="1" x="7180"/>
        <item m="1" x="1959"/>
        <item m="1" x="3609"/>
        <item m="1" x="2239"/>
        <item m="1" x="3863"/>
        <item m="1" x="6911"/>
        <item m="1" x="3961"/>
        <item m="1" x="6710"/>
        <item m="1" x="6240"/>
        <item m="1" x="6366"/>
        <item m="1" x="5207"/>
        <item m="1" x="5158"/>
        <item m="1" x="5327"/>
        <item m="1" x="5437"/>
        <item m="1" x="4957"/>
        <item m="1" x="3373"/>
        <item m="1" x="3493"/>
        <item m="1" x="3740"/>
        <item m="1" x="3718"/>
        <item m="1" x="5398"/>
        <item m="1" x="2044"/>
        <item m="1" x="3007"/>
        <item m="1" x="4999"/>
        <item m="1" x="1272"/>
        <item m="1" x="5613"/>
        <item m="1" x="2682"/>
        <item m="1" x="4026"/>
        <item m="1" x="4664"/>
        <item m="1" x="4432"/>
        <item m="1" x="4154"/>
        <item m="1" x="416"/>
        <item m="1" x="6300"/>
        <item m="1" x="6367"/>
        <item m="1" x="4828"/>
        <item m="1" x="1820"/>
        <item m="1" x="1413"/>
        <item m="1" x="5738"/>
        <item m="1" x="6975"/>
        <item m="1" x="7100"/>
        <item m="1" x="1282"/>
        <item m="1" x="1682"/>
        <item m="1" x="7228"/>
        <item m="1" x="4440"/>
        <item m="1" x="1421"/>
        <item m="1" x="1830"/>
        <item m="1" x="6130"/>
        <item m="1" x="2302"/>
        <item m="1" x="7207"/>
        <item m="1" x="7568"/>
        <item m="1" x="4824"/>
        <item m="1" x="1804"/>
        <item m="1" x="4640"/>
        <item m="1" x="3512"/>
        <item m="1" x="3553"/>
        <item m="1" x="7528"/>
        <item m="1" x="7262"/>
        <item m="1" x="623"/>
        <item m="1" x="5298"/>
        <item m="1" x="524"/>
        <item m="1" x="2725"/>
        <item m="1" x="1347"/>
        <item m="1" x="5680"/>
        <item m="1" x="2748"/>
        <item m="1" x="3152"/>
        <item m="1" x="7279"/>
        <item m="1" x="4516"/>
        <item m="1" x="1495"/>
        <item m="1" x="5824"/>
        <item m="1" x="3970"/>
        <item m="1" x="955"/>
        <item m="1" x="5336"/>
        <item m="1" x="6587"/>
        <item m="1" x="4946"/>
        <item m="1" x="5603"/>
        <item m="1" x="2974"/>
        <item m="1" x="5115"/>
        <item m="1" x="1576"/>
        <item m="1" x="5399"/>
        <item m="1" x="6893"/>
        <item m="1" x="4041"/>
        <item m="1" x="5060"/>
        <item m="1" x="5041"/>
        <item m="1" x="898"/>
        <item m="1" x="2635"/>
        <item m="1" x="4979"/>
        <item m="1" x="4959"/>
        <item m="1" x="6263"/>
        <item m="1" x="2381"/>
        <item m="1" x="6824"/>
        <item m="1" x="3986"/>
        <item m="1" x="989"/>
        <item m="1" x="5355"/>
        <item m="1" x="1382"/>
        <item m="1" x="957"/>
        <item m="1" x="6507"/>
        <item m="1" x="6852"/>
        <item m="1" x="2539"/>
        <item m="1" x="2215"/>
        <item m="1" x="6229"/>
        <item m="1" x="6360"/>
        <item m="1" x="1358"/>
        <item m="1" x="5689"/>
        <item m="1" x="2902"/>
        <item m="1" x="7175"/>
        <item m="1" x="4799"/>
        <item m="1" x="5743"/>
        <item m="1" x="3268"/>
        <item m="1" x="1200"/>
        <item m="1" x="6489"/>
        <item m="1" x="6499"/>
        <item m="1" x="3343"/>
        <item m="1" x="3371"/>
        <item m="1" x="2437"/>
        <item m="1" x="7733"/>
        <item m="1" x="4158"/>
        <item m="1" x="4181"/>
        <item m="1" x="1733"/>
        <item m="1" x="592"/>
        <item m="1" x="2713"/>
        <item m="1" x="124"/>
        <item m="1" x="6913"/>
        <item m="1" x="3408"/>
        <item m="1" x="6085"/>
        <item m="1" x="6230"/>
        <item m="1" x="2230"/>
        <item m="1" x="3959"/>
        <item m="1" x="2094"/>
        <item m="1" x="238"/>
        <item m="1" x="2378"/>
        <item m="1" x="3850"/>
        <item m="1" x="2916"/>
        <item m="1" x="7066"/>
        <item m="1" x="7198"/>
        <item m="1" x="2112"/>
        <item m="1" x="4846"/>
        <item m="1" x="2641"/>
        <item m="1" x="5986"/>
        <item m="1" x="1420"/>
        <item m="1" x="407"/>
        <item m="1" x="3596"/>
        <item m="1" x="1157"/>
        <item m="1" x="4493"/>
        <item m="1" x="3256"/>
        <item m="1" x="331"/>
        <item m="1" x="5658"/>
        <item m="1" x="4647"/>
        <item m="1" x="1509"/>
        <item m="1" x="2962"/>
        <item m="1" x="906"/>
        <item m="1" x="5798"/>
        <item m="1" x="1613"/>
        <item m="1" x="3015"/>
        <item m="1" x="7513"/>
        <item m="1" x="328"/>
        <item m="1" x="4776"/>
        <item m="1" x="1758"/>
        <item m="1" x="6055"/>
        <item m="1" x="466"/>
        <item m="1" x="7692"/>
        <item m="1" x="7612"/>
        <item m="1" x="7621"/>
        <item m="1" x="6034"/>
        <item m="1" x="6062"/>
        <item m="1" x="6076"/>
        <item m="1" x="2820"/>
        <item m="1" x="889"/>
        <item m="1" x="6364"/>
        <item m="1" x="3678"/>
        <item m="1" x="7788"/>
        <item m="1" x="6141"/>
        <item m="1" x="1015"/>
        <item m="1" x="5381"/>
        <item m="1" x="2427"/>
        <item m="1" x="6635"/>
        <item m="1" x="3738"/>
        <item m="1" x="4146"/>
        <item m="1" x="1136"/>
        <item m="1" x="1116"/>
        <item m="1" x="4368"/>
        <item m="1" x="4655"/>
        <item m="1" x="1638"/>
        <item m="1" x="3420"/>
        <item m="1" x="2485"/>
        <item m="1" x="1296"/>
        <item m="1" x="2700"/>
        <item m="1" x="1047"/>
        <item m="1" x="2023"/>
        <item m="1" x="1749"/>
        <item m="1" x="2170"/>
        <item m="1" x="4336"/>
        <item m="1" x="5162"/>
        <item m="1" x="5523"/>
        <item m="1" x="3917"/>
        <item m="1" x="1458"/>
        <item m="1" x="1737"/>
        <item m="1" x="6042"/>
        <item m="1" x="138"/>
        <item m="1" x="4631"/>
        <item m="1" x="1610"/>
        <item m="1" x="2035"/>
        <item m="1" x="1757"/>
        <item m="1" x="2309"/>
        <item m="1" x="2048"/>
        <item m="1" x="2452"/>
        <item m="1" x="1169"/>
        <item m="1" x="5530"/>
        <item m="1" x="1308"/>
        <item m="1" x="4054"/>
        <item m="1" x="1054"/>
        <item m="1" x="1465"/>
        <item m="1" x="7010"/>
        <item m="1" x="4207"/>
        <item m="1" x="1596"/>
        <item m="1" x="5909"/>
        <item m="1" x="7142"/>
        <item m="1" x="6046"/>
        <item m="1" x="3132"/>
        <item m="1" x="2038"/>
        <item m="1" x="334"/>
        <item m="1" x="2187"/>
        <item m="1" x="6436"/>
        <item m="1" x="3521"/>
        <item m="1" x="467"/>
        <item m="1" x="4908"/>
        <item m="1" x="2314"/>
        <item m="1" x="3636"/>
        <item m="1" x="7756"/>
        <item m="1" x="619"/>
        <item m="1" x="5026"/>
        <item m="1" x="2053"/>
        <item m="1" x="2457"/>
        <item m="1" x="757"/>
        <item m="1" x="5171"/>
        <item m="1" x="2202"/>
        <item m="1" x="3536"/>
        <item m="1" x="4919"/>
        <item m="1" x="345"/>
        <item m="1" x="6549"/>
        <item m="1" x="4808"/>
        <item m="1" x="5841"/>
        <item m="1" x="7782"/>
        <item m="1" x="1664"/>
        <item m="1" x="3051"/>
        <item m="1" x="7195"/>
        <item m="1" x="7686"/>
        <item m="1" x="2753"/>
        <item m="1" x="120"/>
        <item m="1" x="3549"/>
        <item m="1" x="424"/>
        <item m="1" x="1603"/>
        <item m="1" x="5486"/>
        <item m="1" x="439"/>
        <item m="1" x="5889"/>
        <item m="1" x="3770"/>
        <item m="1" x="3836"/>
        <item m="1" x="586"/>
        <item m="1" x="599"/>
        <item m="1" x="609"/>
        <item m="1" x="2861"/>
        <item m="1" x="621"/>
        <item m="1" x="5915"/>
        <item m="1" x="2489"/>
        <item m="1" x="2534"/>
        <item m="1" x="1464"/>
        <item m="1" x="1906"/>
        <item m="1" x="6385"/>
        <item m="1" x="4111"/>
        <item m="1" x="2168"/>
        <item m="1" x="2176"/>
        <item m="1" x="7204"/>
        <item m="1" x="7232"/>
        <item m="1" x="7238"/>
        <item m="1" x="1808"/>
        <item m="1" x="6538"/>
        <item m="1" x="6726"/>
        <item m="1" x="6756"/>
        <item m="1" x="7552"/>
        <item m="1" x="5665"/>
        <item m="1" x="4670"/>
        <item m="1" x="2620"/>
        <item m="1" x="2639"/>
        <item m="1" x="2649"/>
        <item m="1" x="2661"/>
        <item m="1" x="5045"/>
        <item m="1" x="6016"/>
        <item m="1" x="7570"/>
        <item m="1" x="5701"/>
        <item m="1" x="2323"/>
        <item m="1" x="5620"/>
        <item m="1" x="6632"/>
        <item m="1" x="5893"/>
        <item m="1" x="3066"/>
        <item m="1" x="1352"/>
        <item m="1" x="4212"/>
        <item m="1" x="2149"/>
        <item m="1" x="1754"/>
        <item m="1" x="4939"/>
        <item m="1" x="5953"/>
        <item m="1" x="3828"/>
        <item m="1" x="4938"/>
        <item m="1" x="1802"/>
        <item m="1" x="2364"/>
        <item m="1" x="1641"/>
        <item m="1" x="2218"/>
        <item m="1" x="2746"/>
        <item m="1" x="1133"/>
        <item m="1" x="2280"/>
        <item m="1" x="7603"/>
        <item m="1" x="2010"/>
        <item m="1" x="866"/>
        <item m="1" x="2425"/>
        <item m="1" x="7723"/>
        <item m="1" x="7079"/>
        <item m="1" x="5695"/>
        <item m="1" x="2945"/>
        <item m="1" x="1858"/>
        <item m="1" x="782"/>
        <item m="1" x="7653"/>
        <item m="1" x="6667"/>
        <item m="1" x="6216"/>
        <item m="1" x="7663"/>
        <item m="1" x="6976"/>
        <item m="1" x="6521"/>
        <item m="1" x="4537"/>
        <item m="1" x="4021"/>
        <item m="1" x="3488"/>
        <item m="1" x="5683"/>
        <item m="1" x="2458"/>
        <item m="1" x="5910"/>
        <item m="1" x="2142"/>
        <item m="1" x="1947"/>
        <item m="1" x="2535"/>
        <item m="1" x="6737"/>
        <item m="1" x="5440"/>
        <item m="1" x="6690"/>
        <item m="1" x="2772"/>
        <item m="1" x="6309"/>
        <item m="1" x="707"/>
        <item m="1" x="1601"/>
        <item m="1" x="5114"/>
        <item m="1" x="6312"/>
        <item m="1" x="2518"/>
        <item m="1" x="701"/>
        <item m="1" x="807"/>
        <item m="1" x="7538"/>
        <item m="1" x="1126"/>
        <item m="1" x="1532"/>
        <item m="1" x="5303"/>
        <item m="1" x="2348"/>
        <item m="1" x="6377"/>
        <item m="1" x="5913"/>
        <item m="1" x="2295"/>
        <item m="1" x="598"/>
        <item m="1" x="4205"/>
        <item m="1" x="7224"/>
        <item m="1" x="7231"/>
        <item m="1" x="6714"/>
        <item m="1" x="6723"/>
        <item m="1" x="6731"/>
        <item m="1" x="6736"/>
        <item m="1" x="6742"/>
        <item m="1" x="820"/>
        <item m="1" x="1278"/>
        <item m="1" x="7786"/>
        <item m="1" x="5947"/>
        <item m="1" x="725"/>
        <item m="1" x="4526"/>
        <item m="1" x="6293"/>
        <item m="1" x="5129"/>
        <item m="1" x="5031"/>
        <item m="1" x="3457"/>
        <item m="1" x="3580"/>
        <item m="1" x="5931"/>
        <item m="1" x="3813"/>
        <item m="1" x="3416"/>
        <item m="1" x="3860"/>
        <item m="1" x="4008"/>
        <item m="1" x="4071"/>
        <item m="1" x="4217"/>
        <item m="1" x="7338"/>
        <item m="1" x="3623"/>
        <item m="1" x="459"/>
        <item m="1" x="7781"/>
        <item m="1" x="7104"/>
        <item m="1" x="5895"/>
        <item m="1" x="2033"/>
        <item m="1" x="1401"/>
        <item m="1" x="5921"/>
        <item m="1" x="2020"/>
        <item m="1" x="5660"/>
        <item m="1" x="3171"/>
        <item m="1" x="558"/>
        <item m="1" x="6967"/>
        <item m="1" x="6439"/>
        <item m="1" x="7630"/>
        <item m="1" x="320"/>
        <item m="1" x="6276"/>
        <item m="1" x="1269"/>
        <item m="1" x="6895"/>
        <item m="1" x="6900"/>
        <item m="1" x="6903"/>
        <item m="1" x="6475"/>
        <item m="1" x="4522"/>
        <item m="1" x="3979"/>
        <item m="1" x="3980"/>
        <item m="1" x="3984"/>
        <item m="1" x="3468"/>
        <item m="1" x="3471"/>
        <item m="1" x="3475"/>
        <item m="1" x="3479"/>
        <item m="1" x="3489"/>
        <item m="1" x="3495"/>
        <item m="1" x="7473"/>
        <item m="1" x="7476"/>
        <item m="1" x="7485"/>
        <item m="1" x="7504"/>
        <item m="1" x="7507"/>
        <item m="1" x="7002"/>
        <item m="1" x="7023"/>
        <item m="1" x="7026"/>
        <item m="1" x="7030"/>
        <item m="1" x="6548"/>
        <item m="1" x="6550"/>
        <item m="1" x="6555"/>
        <item m="1" x="6565"/>
        <item m="1" x="6568"/>
        <item m="1" x="6100"/>
        <item m="1" x="6110"/>
        <item m="1" x="5601"/>
        <item m="1" x="5635"/>
        <item m="1" x="3895"/>
        <item m="1" x="6459"/>
        <item m="1" x="7618"/>
        <item m="1" x="7623"/>
        <item m="1" x="2939"/>
        <item m="1" x="2953"/>
        <item m="1" x="2971"/>
        <item m="1" x="269"/>
        <item m="1" x="4596"/>
        <item m="1" x="453"/>
        <item m="1" x="1016"/>
        <item m="1" x="5691"/>
        <item m="1" x="5287"/>
        <item m="1" x="5622"/>
        <item m="1" x="3911"/>
        <item m="1" x="3930"/>
        <item m="1" x="3658"/>
        <item m="1" x="3229"/>
        <item m="1" x="2197"/>
        <item m="1" x="1836"/>
        <item m="1" x="7442"/>
        <item m="1" x="3907"/>
        <item m="1" x="3659"/>
        <item m="1" x="3366"/>
        <item m="1" x="2083"/>
        <item m="1" x="5000"/>
        <item m="1" x="3872"/>
        <item m="1" x="3682"/>
        <item m="1" x="2766"/>
        <item m="1" x="4280"/>
        <item m="1" x="6855"/>
        <item m="1" x="5067"/>
        <item m="1" x="3825"/>
        <item m="1" x="794"/>
        <item m="1" x="5200"/>
        <item m="1" x="6801"/>
        <item m="1" x="6599"/>
        <item m="1" x="4108"/>
        <item m="1" x="1099"/>
        <item m="1" x="5456"/>
        <item m="1" x="7058"/>
        <item m="1" x="4252"/>
        <item m="1" x="5590"/>
        <item m="1" x="7074"/>
        <item m="1" x="5949"/>
        <item m="1" x="6232"/>
        <item m="1" x="6463"/>
        <item m="1" x="6678"/>
        <item m="1" x="7173"/>
        <item m="1" x="7418"/>
        <item m="1" x="5203"/>
        <item m="1" x="5438"/>
        <item m="1" x="7451"/>
        <item m="1" x="5983"/>
        <item m="1" x="3313"/>
        <item m="1" x="4692"/>
        <item m="1" x="1677"/>
        <item m="1" x="5981"/>
        <item m="1" x="6585"/>
        <item m="1" x="3691"/>
        <item m="1" x="5087"/>
        <item m="1" x="1238"/>
        <item m="1" x="6256"/>
        <item m="1" x="3322"/>
        <item m="1" x="7460"/>
        <item m="1" x="4705"/>
        <item m="1" x="1688"/>
        <item m="1" x="5989"/>
        <item m="1" x="7591"/>
        <item m="1" x="394"/>
        <item m="1" x="4847"/>
        <item m="1" x="5880"/>
        <item m="1" x="5771"/>
        <item m="1" x="829"/>
        <item m="1" x="5507"/>
        <item m="1" x="736"/>
        <item m="1" x="3105"/>
        <item m="1" x="4095"/>
        <item m="1" x="4376"/>
        <item m="1" x="5426"/>
        <item m="1" x="107"/>
        <item m="1" x="6302"/>
        <item m="1" x="2034"/>
        <item m="1" x="6319"/>
        <item m="1" x="6636"/>
        <item m="1" x="895"/>
        <item m="1" x="2303"/>
        <item m="1" x="6527"/>
        <item m="1" x="5631"/>
        <item m="1" x="2694"/>
        <item m="1" x="6867"/>
        <item m="1" x="5526"/>
        <item m="1" x="1306"/>
        <item m="1" x="5651"/>
        <item m="1" x="6028"/>
        <item m="1" x="3113"/>
        <item m="1" x="4470"/>
        <item m="1" x="5784"/>
        <item m="1" x="745"/>
        <item m="1" x="5153"/>
        <item m="1" x="4842"/>
        <item m="1" x="2763"/>
        <item m="1" x="4087"/>
        <item m="1" x="7487"/>
        <item m="1" x="4547"/>
        <item m="1" x="4829"/>
        <item m="1" x="7046"/>
        <item m="1" x="6358"/>
        <item m="1" x="5814"/>
        <item m="1" x="6342"/>
        <item m="1" x="6551"/>
        <item m="1" x="4873"/>
        <item m="1" x="1202"/>
        <item m="1" x="5186"/>
        <item m="1" x="1050"/>
        <item m="1" x="4913"/>
        <item m="1" x="5504"/>
        <item m="1" x="6361"/>
        <item m="1" x="1704"/>
        <item m="1" x="6036"/>
        <item m="1" x="3395"/>
        <item m="1" x="5980"/>
        <item m="1" x="3994"/>
        <item m="1" x="6432"/>
        <item m="1" x="1639"/>
        <item m="1" x="6363"/>
        <item m="1" x="3406"/>
        <item m="1" x="5623"/>
        <item m="1" x="7118"/>
        <item m="1" x="7128"/>
        <item m="1" x="1670"/>
        <item m="1" x="5929"/>
        <item m="1" x="6883"/>
        <item m="1" x="3233"/>
        <item m="1" x="1236"/>
        <item m="1" x="6572"/>
        <item m="1" x="2456"/>
        <item m="1" x="2463"/>
        <item m="1" x="1349"/>
        <item m="1" x="1368"/>
        <item m="1" x="555"/>
        <item m="1" x="568"/>
        <item m="1" x="1738"/>
        <item m="1" x="5497"/>
        <item m="1" x="3870"/>
        <item m="1" x="3892"/>
        <item m="1" x="3908"/>
        <item m="1" x="6422"/>
        <item m="1" x="7573"/>
        <item m="1" x="5884"/>
        <item m="1" x="3594"/>
        <item m="1" x="1513"/>
        <item m="1" x="4615"/>
        <item m="1" x="3175"/>
        <item m="1" x="4263"/>
        <item m="1" x="2115"/>
        <item m="1" x="3989"/>
        <item m="1" x="6498"/>
        <item m="1" x="3272"/>
        <item m="1" x="1234"/>
        <item m="1" x="3925"/>
        <item m="1" x="5578"/>
        <item m="1" x="5586"/>
        <item m="1" x="4186"/>
        <item m="1" x="6020"/>
        <item m="1" x="7256"/>
        <item m="1" x="5830"/>
        <item m="1" x="1163"/>
        <item m="1" x="4788"/>
        <item m="1" x="4296"/>
        <item m="1" x="2140"/>
        <item m="1" x="5551"/>
        <item m="1" x="5589"/>
        <item m="1" x="4540"/>
        <item m="1" x="4554"/>
        <item m="1" x="4567"/>
        <item m="1" x="4573"/>
        <item m="1" x="1043"/>
        <item m="1" x="4359"/>
        <item m="1" x="7497"/>
        <item m="1" x="595"/>
        <item m="1" x="5968"/>
        <item m="1" x="6015"/>
        <item m="1" x="2956"/>
        <item m="1" x="2987"/>
        <item m="1" x="1935"/>
        <item m="1" x="7559"/>
        <item m="1" x="6588"/>
        <item m="1" x="6644"/>
        <item m="1" x="6399"/>
        <item m="1" x="2161"/>
        <item m="1" x="2750"/>
        <item m="1" x="2608"/>
        <item m="1" x="1562"/>
        <item m="1" x="3254"/>
        <item m="1" x="1201"/>
        <item m="1" x="101"/>
        <item m="1" x="2495"/>
        <item m="1" x="379"/>
        <item m="1" x="1556"/>
        <item m="1" x="61"/>
        <item m="1" x="1390"/>
        <item m="1" x="3881"/>
        <item m="1" x="2895"/>
        <item m="1" x="4835"/>
        <item m="1" x="3042"/>
        <item m="1" x="6885"/>
        <item m="1" x="6902"/>
        <item m="1" x="1884"/>
        <item m="1" x="733"/>
        <item m="1" x="6202"/>
        <item m="1" x="1244"/>
        <item m="1" x="19"/>
        <item m="1" x="4434"/>
        <item m="1" x="1708"/>
        <item m="1" x="5051"/>
        <item m="1" x="5175"/>
        <item m="1" x="1696"/>
        <item m="1" x="5501"/>
        <item m="1" x="5512"/>
        <item m="1" x="7724"/>
        <item m="1" x="6493"/>
        <item m="1" x="5682"/>
        <item m="1" x="5470"/>
        <item m="1" x="3876"/>
        <item m="1" x="4553"/>
        <item m="1" x="6071"/>
        <item m="1" x="1915"/>
        <item m="1" x="1161"/>
        <item m="1" x="2710"/>
        <item m="1" x="1834"/>
        <item m="1" x="7584"/>
        <item m="1" x="3569"/>
        <item m="1" x="3735"/>
        <item m="1" x="5883"/>
        <item m="1" x="2856"/>
        <item m="1" x="2866"/>
        <item m="1" x="2878"/>
        <item m="1" x="7613"/>
        <item m="1" x="723"/>
        <item m="1" x="3070"/>
        <item m="1" x="7191"/>
        <item m="1" x="7218"/>
        <item m="1" x="1896"/>
        <item m="1" x="6531"/>
        <item m="1" x="5610"/>
        <item m="1" x="4641"/>
        <item m="1" x="571"/>
        <item m="1" x="1713"/>
        <item m="1" x="5269"/>
        <item m="1" x="7240"/>
        <item m="1" x="890"/>
        <item m="1" x="7245"/>
        <item m="1" x="268"/>
        <item m="1" x="6476"/>
        <item m="1" x="7694"/>
        <item m="1" x="4742"/>
        <item m="1" x="792"/>
        <item m="1" x="2605"/>
        <item m="1" x="4789"/>
        <item m="1" x="2609"/>
        <item m="1" x="4795"/>
        <item m="1" x="7761"/>
        <item m="1" x="6357"/>
        <item m="1" x="6804"/>
        <item m="1" x="7295"/>
        <item m="1" x="7550"/>
        <item m="1" x="7072"/>
        <item m="1" x="7326"/>
        <item m="1" x="6830"/>
        <item m="1" x="7332"/>
        <item m="1" x="6447"/>
        <item m="1" x="2090"/>
        <item m="1" x="2650"/>
        <item m="1" x="1602"/>
        <item m="1" x="1317"/>
        <item m="1" x="1608"/>
        <item m="1" x="2999"/>
        <item m="1" x="3003"/>
        <item m="1" x="3783"/>
        <item m="1" x="1325"/>
        <item m="1" x="2287"/>
        <item m="1" x="12"/>
        <item m="1" x="372"/>
        <item m="1" x="398"/>
        <item m="1" x="433"/>
        <item m="1" x="441"/>
        <item m="1" x="739"/>
        <item m="1" x="7768"/>
        <item m="1" x="7541"/>
        <item m="1" x="5899"/>
        <item m="1" x="4901"/>
        <item m="1" x="6681"/>
        <item m="1" x="6693"/>
        <item m="1" x="5529"/>
        <item m="1" x="5787"/>
        <item m="1" x="3674"/>
        <item m="1" x="3968"/>
        <item m="1" x="3976"/>
        <item m="1" x="2638"/>
        <item m="1" x="4546"/>
        <item m="1" x="5085"/>
        <item m="1" x="3762"/>
        <item m="1" x="3742"/>
        <item m="1" x="3246"/>
        <item m="1" x="3822"/>
        <item m="1" x="4091"/>
        <item m="1" x="1007"/>
        <item m="1" x="5074"/>
        <item m="1" x="2707"/>
        <item m="1" x="3481"/>
        <item m="1" x="5358"/>
        <item m="1" x="7918"/>
        <item m="1" x="7919"/>
        <item m="1" x="7898"/>
        <item m="1" x="7877"/>
        <item m="1" x="7848"/>
        <item m="1" x="2228"/>
        <item m="1" x="409"/>
        <item m="1" x="5047"/>
        <item m="1" x="5052"/>
        <item m="1" x="5471"/>
        <item m="1" x="6536"/>
        <item m="1" x="5072"/>
        <item m="1" x="7849"/>
        <item m="1" x="7850"/>
        <item m="1" x="5028"/>
        <item m="1" x="1028"/>
        <item m="1" x="4218"/>
        <item m="1" x="4720"/>
        <item m="1" x="4335"/>
        <item m="1" x="7247"/>
        <item m="1" x="4694"/>
        <item m="1" x="7841"/>
        <item m="1" x="7843"/>
        <item m="1" x="7833"/>
        <item m="1" x="6027"/>
        <item m="1" x="1318"/>
        <item m="1" x="1487"/>
        <item m="1" x="1623"/>
        <item m="1" x="809"/>
        <item m="1" x="3946"/>
        <item m="1" x="5483"/>
        <item m="1" x="2806"/>
        <item m="1" x="608"/>
        <item m="1" x="620"/>
        <item m="1" x="4644"/>
        <item m="1" x="5356"/>
        <item m="1" x="5369"/>
        <item m="1" x="4583"/>
        <item m="1" x="1196"/>
        <item m="1" x="2011"/>
        <item m="1" x="7148"/>
        <item m="1" x="7816"/>
        <item m="1" x="2975"/>
        <item m="1" x="6415"/>
        <item m="1" x="7914"/>
        <item m="1" x="2865"/>
        <item m="1" x="1510"/>
        <item m="1" x="7867"/>
        <item m="1" x="4297"/>
        <item m="1" x="7958"/>
        <item m="1" x="5999"/>
        <item m="1" x="7892"/>
        <item m="1" x="3228"/>
        <item m="1" x="3354"/>
        <item m="1" x="1124"/>
        <item m="1" x="712"/>
        <item m="1" x="5122"/>
        <item m="1" x="7834"/>
        <item m="1" x="3487"/>
        <item m="1" x="3611"/>
        <item m="1" x="6884"/>
        <item m="1" x="7973"/>
        <item m="1" x="4161"/>
        <item m="1" x="740"/>
        <item m="1" x="7897"/>
        <item m="1" x="7822"/>
        <item m="1" x="6711"/>
        <item m="1" x="6156"/>
        <item m="1" x="6159"/>
        <item m="1" x="1942"/>
        <item m="1" x="1944"/>
        <item m="1" x="1950"/>
        <item m="1" x="1954"/>
        <item m="1" x="1960"/>
        <item m="1" x="1410"/>
        <item m="1" x="7855"/>
        <item m="1" x="4116"/>
        <item m="1" x="3135"/>
        <item m="1" x="2597"/>
        <item m="1" x="484"/>
        <item m="1" x="6673"/>
        <item m="1" x="6677"/>
        <item m="1" x="5735"/>
        <item m="1" x="5304"/>
        <item m="1" x="4801"/>
        <item m="1" x="4803"/>
        <item m="1" x="7836"/>
        <item m="1" x="7810"/>
        <item m="1" x="7811"/>
        <item m="1" x="5385"/>
        <item m="1" x="4906"/>
        <item m="1" x="7951"/>
        <item m="1" x="7905"/>
        <item m="1" x="7906"/>
        <item m="1" x="7858"/>
        <item m="1" x="7859"/>
        <item m="1" x="7860"/>
        <item m="1" x="7861"/>
        <item m="1" x="7862"/>
        <item m="1" x="7863"/>
        <item m="1" x="7824"/>
        <item m="1" x="7813"/>
        <item m="1" x="7366"/>
        <item m="1" x="7373"/>
        <item m="1" x="7381"/>
        <item m="1" x="7394"/>
        <item m="1" x="6889"/>
        <item m="1" x="6918"/>
        <item m="1" x="6927"/>
        <item m="1" x="6930"/>
        <item m="1" x="2213"/>
        <item m="1" x="2968"/>
        <item m="1" x="7795"/>
        <item m="1" x="7436"/>
        <item m="1" x="7448"/>
        <item m="1" x="7456"/>
        <item m="1" x="6545"/>
        <item m="1" x="4601"/>
        <item m="1" x="4604"/>
        <item m="1" x="4609"/>
        <item m="1" x="4625"/>
        <item m="1" x="4090"/>
        <item m="1" x="3178"/>
        <item m="1" x="3184"/>
        <item m="1" x="3188"/>
        <item m="1" x="3201"/>
        <item m="1" x="3207"/>
        <item m="1" x="7812"/>
        <item m="1" x="7972"/>
        <item m="1" x="7878"/>
        <item m="1" x="4404"/>
        <item m="1" x="4425"/>
        <item m="1" x="6486"/>
        <item m="1" x="5550"/>
        <item m="1" x="6179"/>
        <item m="1" x="4689"/>
        <item m="1" x="3719"/>
        <item m="1" x="3725"/>
        <item m="1" x="3729"/>
        <item m="1" x="3737"/>
        <item m="1" x="3744"/>
        <item m="1" x="2231"/>
        <item m="1" x="2232"/>
        <item m="1" x="2243"/>
        <item m="1" x="2248"/>
        <item m="1" x="4626"/>
        <item m="1" x="3084"/>
        <item m="1" x="3092"/>
        <item m="1" x="2051"/>
        <item m="1" x="2065"/>
        <item m="1" x="2085"/>
        <item m="1" x="2089"/>
        <item m="1" x="2091"/>
        <item m="1" x="7819"/>
        <item m="1" x="7802"/>
        <item m="1" x="7803"/>
        <item m="1" x="7576"/>
        <item m="1" x="7586"/>
        <item m="1" x="7589"/>
        <item m="1" x="7806"/>
        <item m="1" x="7808"/>
        <item m="1" x="7241"/>
        <item m="1" x="7243"/>
        <item m="1" x="7246"/>
        <item m="1" x="7249"/>
        <item m="1" x="6751"/>
        <item m="1" x="4356"/>
        <item m="1" x="1210"/>
        <item m="1" x="1239"/>
        <item m="1" x="686"/>
        <item m="1" x="7303"/>
        <item m="1" x="7307"/>
        <item m="1" x="7333"/>
        <item m="1" x="6876"/>
        <item m="1" x="5938"/>
        <item m="1" x="7829"/>
        <item m="1" x="7815"/>
        <item m="1" x="7794"/>
        <item m="1" x="7453"/>
        <item m="1" x="6955"/>
        <item m="1" x="4051"/>
        <item m="1" x="3513"/>
        <item m="1" x="3525"/>
        <item m="1" x="3529"/>
        <item m="1" x="3533"/>
        <item m="1" x="3025"/>
        <item m="1" x="2500"/>
        <item m="1" x="2505"/>
        <item m="1" x="1977"/>
        <item m="1" x="2008"/>
        <item m="1" x="2025"/>
        <item m="1" x="1442"/>
        <item m="1" x="1474"/>
        <item m="1" x="932"/>
        <item m="1" x="942"/>
        <item m="1" x="948"/>
        <item m="1" x="6180"/>
        <item m="1" x="6192"/>
        <item m="1" x="5649"/>
        <item m="1" x="7270"/>
        <item m="1" x="7274"/>
        <item m="1" x="7278"/>
        <item m="1" x="6787"/>
        <item m="1" x="6792"/>
        <item m="1" x="6795"/>
        <item m="1" x="6368"/>
        <item m="1" x="7629"/>
        <item m="1" x="7636"/>
        <item m="1" x="7154"/>
        <item m="1" x="1891"/>
        <item m="1" x="1899"/>
        <item m="1" x="6171"/>
        <item m="1" x="6176"/>
        <item m="1" x="6188"/>
        <item m="1" x="6195"/>
        <item m="1" x="7937"/>
        <item m="1" x="7853"/>
        <item m="1" x="483"/>
        <item m="1" x="2736"/>
        <item m="1" x="4925"/>
        <item m="1" x="6915"/>
        <item m="1" x="485"/>
        <item m="1" x="2740"/>
        <item m="1" x="489"/>
        <item m="1" x="491"/>
        <item m="1" x="2744"/>
        <item m="1" x="495"/>
        <item m="1" x="498"/>
        <item m="1" x="3342"/>
        <item m="1" x="5547"/>
        <item m="1" x="4565"/>
        <item m="1" x="3524"/>
        <item m="1" x="3028"/>
        <item m="1" x="2502"/>
        <item m="1" x="2001"/>
        <item m="1" x="6030"/>
        <item m="1" x="5063"/>
        <item m="1" x="7798"/>
        <item m="1" x="7052"/>
        <item m="1" x="5789"/>
        <item m="1" x="5310"/>
        <item m="1" x="5064"/>
        <item m="1" x="4566"/>
        <item m="1" x="5311"/>
        <item m="1" x="5319"/>
        <item m="1" x="4822"/>
        <item m="1" x="4825"/>
        <item m="1" x="4285"/>
        <item m="1" x="3756"/>
        <item m="1" x="3763"/>
        <item m="1" x="3276"/>
        <item m="1" x="3280"/>
        <item m="1" x="2767"/>
        <item m="1" x="2263"/>
        <item m="1" x="6021"/>
        <item m="1" x="6267"/>
        <item m="1" x="1187"/>
        <item m="1" x="7526"/>
        <item m="1" x="7844"/>
        <item m="1" x="337"/>
        <item m="1" x="7988"/>
        <item m="1" x="2606"/>
        <item m="1" x="4790"/>
        <item m="1" x="6793"/>
        <item m="1" x="7825"/>
        <item m="1" x="7963"/>
        <item m="1" x="7964"/>
        <item m="1" x="7852"/>
        <item m="1" x="403"/>
        <item m="1" x="342"/>
        <item m="1" x="7531"/>
        <item m="1" x="7845"/>
        <item m="1" x="344"/>
        <item m="1" x="347"/>
        <item m="1" x="7846"/>
        <item m="1" x="486"/>
        <item m="1" x="7542"/>
        <item m="1" x="338"/>
        <item m="1" x="2607"/>
        <item m="1" x="4791"/>
        <item m="1" x="6794"/>
        <item m="1" x="7826"/>
        <item m="1" x="2668"/>
        <item m="1" x="4851"/>
        <item m="1" x="7827"/>
        <item m="1" x="4918"/>
        <item m="1" x="7830"/>
        <item m="1" x="7832"/>
        <item m="1" x="4543"/>
        <item m="1" x="7989"/>
        <item m="1" x="7996"/>
        <item m="1" x="283"/>
        <item m="1" x="296"/>
        <item m="1" x="7983"/>
        <item m="1" x="7835"/>
        <item m="1" x="7807"/>
        <item m="1" x="7713"/>
        <item m="1" x="2546"/>
        <item m="1" x="2557"/>
        <item m="1" x="2045"/>
        <item m="1" x="2062"/>
        <item m="1" x="7901"/>
        <item m="1" x="7904"/>
        <item m="1" x="4743"/>
        <item m="1" x="3661"/>
        <item m="1" x="1097"/>
        <item m="1" x="7957"/>
        <item m="1" x="7908"/>
        <item m="1" x="7439"/>
        <item m="1" x="355"/>
        <item m="1" x="432"/>
        <item m="1" x="6566"/>
        <item m="1" x="6603"/>
        <item m="1" x="2434"/>
        <item m="1" x="4599"/>
        <item m="1" x="4057"/>
        <item m="1" x="6639"/>
        <item m="1" x="6664"/>
        <item m="1" x="7821"/>
        <item m="1" x="4661"/>
        <item m="1" x="4122"/>
        <item m="1" x="6679"/>
        <item m="1" x="6806"/>
        <item m="1" x="6704"/>
        <item m="1" x="7823"/>
        <item m="1" x="7912"/>
        <item m="1" x="7974"/>
        <item m="1" x="7915"/>
        <item m="1" x="7920"/>
        <item m="1" x="6757"/>
        <item m="1" x="6337"/>
        <item m="1" x="4813"/>
        <item m="1" x="513"/>
        <item m="1" x="596"/>
        <item m="1" x="7982"/>
        <item m="1" x="7987"/>
        <item m="1" x="7926"/>
        <item m="1" x="7931"/>
        <item m="1" x="7993"/>
        <item m="1" x="2300"/>
        <item m="1" x="2368"/>
        <item m="1" x="4531"/>
        <item m="1" x="7927"/>
        <item m="1" x="7933"/>
        <item m="1" x="7994"/>
        <item m="1" x="2305"/>
        <item m="1" x="2371"/>
        <item m="1" x="7929"/>
        <item m="1" x="7935"/>
        <item m="1" x="7995"/>
        <item m="1" x="2308"/>
        <item m="1" x="2373"/>
        <item m="1" x="7930"/>
        <item m="1" x="7938"/>
        <item m="1" x="2180"/>
        <item m="1" x="7932"/>
        <item m="1" x="7943"/>
        <item m="1" x="2186"/>
        <item m="1" x="7934"/>
        <item m="1" x="7939"/>
        <item m="1" x="2318"/>
        <item m="1" x="7936"/>
        <item m="1" x="7941"/>
        <item m="1" x="2321"/>
        <item m="1" x="7940"/>
        <item m="1" x="7944"/>
        <item m="1" x="7990"/>
        <item m="1" x="7992"/>
        <item m="1" x="7997"/>
        <item m="1" x="2326"/>
        <item m="1" x="2389"/>
        <item m="1" x="7978"/>
        <item m="1" x="7981"/>
        <item m="1" x="1953"/>
        <item m="1" x="7959"/>
        <item m="1" x="7960"/>
        <item m="1" x="1755"/>
        <item m="1" x="1756"/>
        <item m="1" x="3918"/>
        <item m="1" x="3921"/>
        <item m="1" x="7961"/>
        <item m="1" x="1204"/>
        <item m="1" x="678"/>
        <item m="1" x="3422"/>
        <item m="1" x="3432"/>
        <item m="1" x="2919"/>
        <item m="1" x="6057"/>
        <item m="1" x="6068"/>
        <item m="1" x="6074"/>
        <item m="1" x="5564"/>
        <item m="1" x="7799"/>
        <item m="1" x="7548"/>
        <item m="1" x="7967"/>
        <item m="1" x="1287"/>
        <item m="1" x="758"/>
        <item m="1" x="3491"/>
        <item m="1" x="3501"/>
        <item m="1" x="3005"/>
        <item m="1" x="6133"/>
        <item m="1" x="6143"/>
        <item m="1" x="5628"/>
        <item m="1" x="7805"/>
        <item m="1" x="7625"/>
        <item m="1" x="7890"/>
        <item m="1" x="7980"/>
        <item m="1" x="1430"/>
        <item m="1" x="910"/>
        <item m="1" x="3614"/>
        <item m="1" x="3621"/>
        <item m="1" x="3142"/>
        <item m="1" x="6262"/>
        <item m="1" x="6271"/>
        <item m="1" x="6277"/>
        <item m="1" x="5757"/>
        <item m="1" x="7809"/>
        <item m="1" x="7736"/>
        <item m="1" x="4269"/>
        <item m="1" x="7962"/>
        <item m="1" x="1762"/>
        <item m="1" x="3924"/>
        <item m="1" x="6058"/>
        <item m="1" x="5565"/>
        <item m="1" x="7968"/>
        <item m="1" x="1827"/>
        <item m="1" x="3999"/>
        <item m="1" x="5634"/>
        <item m="1" x="7975"/>
        <item m="1" x="4063"/>
        <item m="1" x="6208"/>
        <item m="1" x="5696"/>
        <item m="1" x="7893"/>
        <item m="1" x="7896"/>
        <item m="1" x="3707"/>
        <item m="1" x="3240"/>
        <item m="1" x="7899"/>
        <item m="1" x="7902"/>
        <item m="1" x="3795"/>
        <item m="1" x="3295"/>
        <item m="1" x="7969"/>
        <item m="1" x="7928"/>
        <item m="1" x="7945"/>
        <item m="1" x="473"/>
        <item m="1" x="2723"/>
        <item m="1" x="2755"/>
        <item m="1" x="5392"/>
        <item m="1" x="7947"/>
        <item m="1" x="7950"/>
        <item m="1" x="2799"/>
        <item m="1" x="2833"/>
        <item m="1" x="5441"/>
        <item m="1" x="7793"/>
        <item m="1" x="7952"/>
        <item m="1" x="7956"/>
        <item m="1" x="1155"/>
        <item m="1" x="2869"/>
        <item m="1" x="2894"/>
        <item m="1" x="7870"/>
        <item m="1" x="7871"/>
        <item m="1" x="7874"/>
        <item m="1" x="811"/>
        <item m="1" x="7872"/>
        <item m="1" x="7875"/>
        <item m="1" x="815"/>
        <item m="1" x="7923"/>
        <item m="1" x="7942"/>
        <item m="1" x="7949"/>
        <item m="1" x="7873"/>
        <item m="1" x="7913"/>
        <item m="1" x="7879"/>
        <item m="1" x="7922"/>
        <item m="1" x="7916"/>
        <item m="1" x="7917"/>
        <item m="1" x="7883"/>
        <item m="1" x="7910"/>
        <item m="1" x="7885"/>
        <item m="1" x="7886"/>
        <item m="1" x="7887"/>
        <item m="1" x="7888"/>
        <item m="1" x="7891"/>
        <item m="1" x="2655"/>
        <item m="1" x="2163"/>
        <item m="1" x="7814"/>
        <item m="1" x="7970"/>
        <item m="1" x="2370"/>
        <item m="1" x="7894"/>
        <item m="1" x="2722"/>
        <item m="1" x="2229"/>
        <item m="1" x="7817"/>
        <item m="1" x="7976"/>
        <item m="1" x="2447"/>
        <item m="1" x="7884"/>
        <item m="1" x="951"/>
        <item m="1" x="3177"/>
        <item m="1" x="5333"/>
        <item m="1" x="7299"/>
        <item m="1" x="7895"/>
        <item m="1" x="1031"/>
        <item m="1" x="3242"/>
        <item m="1" x="5393"/>
        <item m="1" x="7370"/>
        <item m="1" x="7900"/>
        <item m="1" x="1084"/>
        <item m="1" x="5442"/>
        <item m="1" x="7428"/>
        <item m="1" x="542"/>
        <item m="1" x="7851"/>
        <item m="1" x="7854"/>
        <item m="1" x="7857"/>
        <item m="1" x="7865"/>
        <item m="1" x="7868"/>
        <item m="1" x="7838"/>
        <item m="1" x="7866"/>
        <item m="1" x="7869"/>
        <item m="1" x="3243"/>
        <item m="1" x="7371"/>
        <item m="1" x="5125"/>
        <item m="1" x="7106"/>
        <item m="1" x="4524"/>
        <item m="1" x="3983"/>
        <item m="1" x="6560"/>
        <item m="1" x="6107"/>
        <item m="1" x="7820"/>
        <item m="1" x="7804"/>
        <item m="1" x="6922"/>
        <item m="1" x="5430"/>
        <item m="1" x="5562"/>
        <item m="1" x="7290"/>
        <item m="1" x="7414"/>
        <item m="1" x="2358"/>
        <item m="1" x="944"/>
        <item m="1" x="1071"/>
        <item m="1" x="1356"/>
        <item m="1" x="5404"/>
        <item m="1" x="3947"/>
        <item m="1" x="1698"/>
        <item m="1" x="6001"/>
        <item m="1" x="868"/>
        <item m="1" x="7953"/>
        <item m="1" x="6003"/>
        <item m="1" x="7796"/>
        <item m="1" x="7881"/>
        <item m="1" x="3950"/>
        <item m="1" x="3957"/>
        <item m="1" x="735"/>
        <item m="1" x="7954"/>
        <item m="1" x="7797"/>
        <item m="1" x="3954"/>
        <item m="1" x="4020"/>
        <item m="1" x="1707"/>
        <item m="1" x="6008"/>
        <item m="1" x="879"/>
        <item m="1" x="1710"/>
        <item m="1" x="6018"/>
        <item m="1" x="888"/>
        <item m="1" x="7955"/>
        <item m="1" x="1718"/>
        <item m="1" x="7965"/>
        <item m="1" x="1793"/>
        <item m="1" x="3962"/>
        <item m="1" x="5758"/>
        <item m="1" x="7740"/>
        <item m="1" x="5762"/>
        <item m="1" x="7741"/>
        <item m="1" x="3618"/>
        <item m="1" x="5767"/>
        <item m="1" x="7743"/>
        <item m="1" x="4458"/>
        <item m="1" x="1775"/>
        <item m="1" x="3948"/>
        <item m="1" x="6077"/>
        <item m="1" x="7801"/>
        <item m="1" x="1378"/>
        <item m="1" x="856"/>
        <item m="1" x="310"/>
        <item m="1" x="7984"/>
        <item m="1" x="7924"/>
        <item m="1" x="7889"/>
        <item m="1" x="1779"/>
        <item m="1" x="1790"/>
        <item m="1" x="3951"/>
        <item m="1" x="1847"/>
        <item m="1" x="4018"/>
        <item m="1" x="3671"/>
        <item m="1" x="1574"/>
        <item m="1" x="1649"/>
        <item m="1" x="1581"/>
        <item m="1" x="1224"/>
        <item m="1" x="1235"/>
        <item m="1" x="1305"/>
        <item m="1" x="1322"/>
        <item m="1" x="1379"/>
        <item m="1" x="1394"/>
        <item m="1" x="1460"/>
        <item m="1" x="1476"/>
        <item m="1" x="1592"/>
        <item m="1" x="1663"/>
        <item m="1" x="1740"/>
        <item m="1" x="985"/>
        <item m="1" x="3204"/>
        <item m="1" x="1109"/>
        <item m="1" x="1241"/>
        <item m="1" x="729"/>
        <item m="1" x="915"/>
        <item m="1" x="3143"/>
        <item m="1" x="988"/>
        <item m="1" x="434"/>
        <item m="1" x="7999"/>
        <item m="1" x="7948"/>
        <item m="1" x="7903"/>
        <item m="1" x="3206"/>
        <item m="1" x="5354"/>
        <item m="1" x="502"/>
        <item m="1" x="3265"/>
        <item m="1" x="7392"/>
        <item m="1" x="3397"/>
        <item m="1" x="1247"/>
        <item m="1" x="732"/>
        <item m="1" x="1402"/>
        <item m="1" x="886"/>
        <item m="1" x="333"/>
        <item m="1" x="7986"/>
        <item m="1" x="3581"/>
        <item m="1" x="3109"/>
        <item m="1" x="2589"/>
        <item m="1" x="2082"/>
        <item m="1" x="704"/>
        <item m="1" x="709"/>
        <item m="1" x="3022"/>
        <item m="1" x="3026"/>
        <item m="1" x="857"/>
        <item m="1" x="2455"/>
        <item m="1" x="7998"/>
        <item m="1" x="237"/>
        <item m="1" x="880"/>
        <item m="1" x="1021"/>
        <item m="1" x="463"/>
        <item m="1" x="356"/>
        <item m="1" x="7977"/>
        <item m="1" x="7921"/>
        <item m="1" x="7880"/>
        <item m="1" x="4613"/>
        <item m="1" x="7882"/>
        <item m="1" x="7925"/>
        <item m="1" x="4628"/>
        <item m="1" x="7946"/>
        <item m="1" x="2337"/>
        <item m="1" x="2361"/>
        <item m="1" x="1273"/>
        <item m="1" x="7842"/>
        <item m="1" x="1283"/>
        <item m="1" x="751"/>
        <item m="1" x="3955"/>
        <item m="1" x="1249"/>
        <item m="1" x="7864"/>
        <item m="1" x="1288"/>
        <item m="1" x="7779"/>
        <item m="1" x="7991"/>
        <item m="1" x="4231"/>
        <item m="1" x="2560"/>
        <item m="1" x="7847"/>
        <item m="1" x="2906"/>
        <item m="1" x="322"/>
        <item m="1" x="7792"/>
        <item m="1" x="4741"/>
        <item m="1" x="7911"/>
        <item m="1" x="7979"/>
        <item m="1" x="5424"/>
        <item m="1" x="465"/>
        <item m="1" x="5167"/>
        <item m="1" x="4164"/>
        <item m="1" x="5922"/>
        <item m="1" x="1821"/>
        <item m="1" x="936"/>
        <item m="1" x="7909"/>
        <item m="1" x="4948"/>
        <item m="1" x="3307"/>
        <item m="1" x="2429"/>
        <item m="1" x="7876"/>
        <item m="1" x="2244"/>
        <item m="1" x="7839"/>
        <item m="1" x="7840"/>
        <item m="1" x="7818"/>
        <item m="1" x="1417"/>
        <item m="1" x="4344"/>
        <item m="1" x="615"/>
        <item m="1" x="7800"/>
        <item m="1" x="7966"/>
        <item m="1" x="6706"/>
        <item m="1" x="5277"/>
        <item m="1" x="7828"/>
        <item m="1" x="3476"/>
        <item m="1" x="6901"/>
        <item m="1" x="7971"/>
        <item m="1" x="6990"/>
        <item m="1" x="7985"/>
        <item m="1" x="7174"/>
        <item m="1" x="7837"/>
        <item m="1" x="6170"/>
        <item m="1" x="7831"/>
        <item m="1" x="7907"/>
        <item m="1" x="7856"/>
        <item m="1" x="3358"/>
        <item x="0"/>
        <item t="default"/>
      </items>
    </pivotField>
    <pivotField axis="axisRow" showAll="0" sortType="ascending">
      <items count="50">
        <item m="1" x="35"/>
        <item m="1" x="28"/>
        <item m="1" x="24"/>
        <item m="1" x="20"/>
        <item m="1" x="16"/>
        <item m="1" x="13"/>
        <item m="1" x="10"/>
        <item m="1" x="7"/>
        <item m="1" x="46"/>
        <item m="1" x="42"/>
        <item m="1" x="36"/>
        <item m="1" x="29"/>
        <item m="1" x="37"/>
        <item m="1" x="30"/>
        <item m="1" x="25"/>
        <item m="1" x="21"/>
        <item m="1" x="17"/>
        <item m="1" x="14"/>
        <item m="1" x="11"/>
        <item m="1" x="8"/>
        <item m="1" x="47"/>
        <item m="1" x="43"/>
        <item m="1" x="38"/>
        <item m="1" x="31"/>
        <item m="1" x="39"/>
        <item m="1" x="32"/>
        <item m="1" x="26"/>
        <item m="1" x="22"/>
        <item m="1" x="18"/>
        <item m="1" x="15"/>
        <item m="1" x="12"/>
        <item m="1" x="9"/>
        <item m="1" x="48"/>
        <item m="1" x="44"/>
        <item m="1" x="40"/>
        <item m="1" x="33"/>
        <item m="1" x="41"/>
        <item m="1" x="34"/>
        <item m="1" x="27"/>
        <item m="1" x="23"/>
        <item m="1" x="19"/>
        <item m="1" x="45"/>
        <item x="0"/>
        <item x="1"/>
        <item x="2"/>
        <item x="3"/>
        <item x="4"/>
        <item x="5"/>
        <item x="6"/>
        <item t="default"/>
      </items>
    </pivotField>
    <pivotField dataField="1" showAll="0"/>
    <pivotField dataField="1" showAll="0"/>
    <pivotField dataField="1" showAll="0"/>
  </pivotFields>
  <rowFields count="1">
    <field x="2"/>
  </rowFields>
  <rowItems count="8">
    <i>
      <x v="42"/>
    </i>
    <i>
      <x v="43"/>
    </i>
    <i>
      <x v="44"/>
    </i>
    <i>
      <x v="45"/>
    </i>
    <i>
      <x v="46"/>
    </i>
    <i>
      <x v="47"/>
    </i>
    <i>
      <x v="48"/>
    </i>
    <i t="grand">
      <x/>
    </i>
  </rowItems>
  <colFields count="1">
    <field x="-2"/>
  </colFields>
  <colItems count="3">
    <i>
      <x/>
    </i>
    <i i="1">
      <x v="1"/>
    </i>
    <i i="2">
      <x v="2"/>
    </i>
  </colItems>
  <pageFields count="2">
    <pageField fld="0" hier="-1"/>
    <pageField fld="1" hier="-1"/>
  </pageFields>
  <dataFields count="3">
    <dataField name="EGRESOS " fld="3" baseField="0" baseItem="0"/>
    <dataField name="INGRESOS " fld="5" baseField="0" baseItem="0"/>
    <dataField name="DEVOLUCIONES " fld="4" baseField="0" baseItem="0"/>
  </dataFields>
  <formats count="6">
    <format dxfId="24">
      <pivotArea dataOnly="0" labelOnly="1" fieldPosition="0">
        <references count="1">
          <reference field="2" count="0"/>
        </references>
      </pivotArea>
    </format>
    <format dxfId="23">
      <pivotArea dataOnly="0" labelOnly="1" fieldPosition="0">
        <references count="1">
          <reference field="2" count="0"/>
        </references>
      </pivotArea>
    </format>
    <format dxfId="22">
      <pivotArea collapsedLevelsAreSubtotals="1" fieldPosition="0">
        <references count="1">
          <reference field="2" count="0"/>
        </references>
      </pivotArea>
    </format>
    <format dxfId="21">
      <pivotArea dataOnly="0" labelOnly="1" fieldPosition="0">
        <references count="1">
          <reference field="2" count="0"/>
        </references>
      </pivotArea>
    </format>
    <format dxfId="20">
      <pivotArea grandRow="1" outline="0" collapsedLevelsAreSubtotals="1" fieldPosition="0"/>
    </format>
    <format dxfId="19">
      <pivotArea dataOnly="0" labelOnly="1" outline="0" fieldPosition="0">
        <references count="1">
          <reference field="4294967294" count="3">
            <x v="0"/>
            <x v="1"/>
            <x v="2"/>
          </reference>
        </references>
      </pivotArea>
    </format>
  </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Consulta desde DATOS CODIGO" backgroundRefresh="0" adjustColumnWidth="0" connectionId="16" autoFormatId="16" applyNumberFormats="0" applyBorderFormats="0" applyFontFormats="0" applyPatternFormats="0" applyAlignmentFormats="0" applyWidthHeightFormats="0">
  <queryTableRefresh nextId="70">
    <queryTableFields count="56">
      <queryTableField id="11" name="pro_empresa_id" tableColumnId="2"/>
      <queryTableField id="12" name="pro_codigo" tableColumnId="3"/>
      <queryTableField id="13" name="pro_codigovinculado" tableColumnId="4"/>
      <queryTableField id="14" name="pro_codigogenerico" tableColumnId="5"/>
      <queryTableField id="15" name="pro_codigopromocion" tableColumnId="6"/>
      <queryTableField id="16" name="pro_descripcion" tableColumnId="7"/>
      <queryTableField id="17" name="pro_grupo_id" tableColumnId="8"/>
      <queryTableField id="18" name="pro_grupo" tableColumnId="9"/>
      <queryTableField id="19" name="pro_linea_id" tableColumnId="10"/>
      <queryTableField id="20" name="pro_linea" tableColumnId="11"/>
      <queryTableField id="21" name="pro_sublinea_id" tableColumnId="12"/>
      <queryTableField id="22" name="pro_sublinea" tableColumnId="13"/>
      <queryTableField id="23" name="pro_modelo_id" tableColumnId="14"/>
      <queryTableField id="24" name="pro_modelo" tableColumnId="15"/>
      <queryTableField id="63" dataBound="0" tableColumnId="1"/>
      <queryTableField id="26" name="pro_familia" tableColumnId="17"/>
      <queryTableField id="27" name="pro_subfamilia_id" tableColumnId="18"/>
      <queryTableField id="28" name="pro_subfamilia" tableColumnId="19"/>
      <queryTableField id="29" name="pro_categoria_id" tableColumnId="20"/>
      <queryTableField id="30" name="pro_categoria" tableColumnId="21"/>
      <queryTableField id="31" name="pro_tipo_id" tableColumnId="22"/>
      <queryTableField id="32" name="pro_tipo" tableColumnId="23"/>
      <queryTableField id="33" name="pro_marca_id" tableColumnId="24"/>
      <queryTableField id="34" name="pro_marca" tableColumnId="25"/>
      <queryTableField id="35" name="pro_cat_management_id" tableColumnId="26"/>
      <queryTableField id="36" name="pro_cat_management" tableColumnId="27"/>
      <queryTableField id="37" name="pro_catpropia1_id" tableColumnId="28"/>
      <queryTableField id="38" name="pro_catpropia1" tableColumnId="29"/>
      <queryTableField id="39" name="pro_catpropia2_id" tableColumnId="30"/>
      <queryTableField id="40" name="pro_catpropia2" tableColumnId="31"/>
      <queryTableField id="41" name="pro_catpropia3_id" tableColumnId="32"/>
      <queryTableField id="42" name="pro_catpropia3" tableColumnId="33"/>
      <queryTableField id="43" name="pro_catpropia4_id" tableColumnId="34"/>
      <queryTableField id="44" name="pro_catpropia4" tableColumnId="35"/>
      <queryTableField id="45" name="pro_catpropia5_id" tableColumnId="36"/>
      <queryTableField id="46" name="pro_catpropia5" tableColumnId="37"/>
      <queryTableField id="47" name="pro_tiporeposicion" tableColumnId="38"/>
      <queryTableField id="48" name="pro_peso" tableColumnId="39"/>
      <queryTableField id="49" name="pro_unidad_peso" tableColumnId="40"/>
      <queryTableField id="50" name="pro_volumen" tableColumnId="41"/>
      <queryTableField id="51" name="pro_unidad_volumen" tableColumnId="42"/>
      <queryTableField id="52" name="pro_activo" tableColumnId="43"/>
      <queryTableField id="53" name="pro_control_buffer" tableColumnId="44"/>
      <queryTableField id="54" name="pro_precio" tableColumnId="45"/>
      <queryTableField id="55" name="pro_costo" tableColumnId="46"/>
      <queryTableField id="56" name="pro_truput_total" tableColumnId="47"/>
      <queryTableField id="57" name="pro_fechadescontinuado" tableColumnId="48"/>
      <queryTableField id="58" name="pro_unidad" tableColumnId="49"/>
      <queryTableField id="62" name="pro_estatus" tableColumnId="52"/>
      <queryTableField id="69" dataBound="0" tableColumnId="16"/>
      <queryTableField id="68" dataBound="0" tableColumnId="53"/>
      <queryTableField id="67" dataBound="0" tableColumnId="54"/>
      <queryTableField id="66" dataBound="0" tableColumnId="55"/>
      <queryTableField id="65" dataBound="0" tableColumnId="56"/>
      <queryTableField id="59" name="pro_fecha_actualizacion" tableColumnId="50"/>
      <queryTableField id="60" name="pro_notas" tableColumnId="51"/>
    </queryTableFields>
    <queryTableDeletedFields count="2">
      <deletedField name="producto_id"/>
      <deletedField name="familia_id"/>
    </queryTableDeletedFields>
  </queryTableRefresh>
</queryTable>
</file>

<file path=xl/queryTables/queryTable2.xml><?xml version="1.0" encoding="utf-8"?>
<queryTable xmlns="http://schemas.openxmlformats.org/spreadsheetml/2006/main" name="Consulta desde ARCHIVO" backgroundRefresh="0" connectionId="13" autoFormatId="16" applyNumberFormats="0" applyBorderFormats="0" applyFontFormats="0" applyPatternFormats="0" applyAlignmentFormats="0" applyWidthHeightFormats="0">
  <queryTableRefresh nextId="9" unboundColumnsRight="4">
    <queryTableFields count="7">
      <queryTableField id="1" name="CODIGO" tableColumnId="1"/>
      <queryTableField id="2" name="DESTINO" tableColumnId="2"/>
      <queryTableField id="4" name="CANTIDAD" tableColumnId="4"/>
      <queryTableField id="5" dataBound="0" tableColumnId="5"/>
      <queryTableField id="7" dataBound="0" tableColumnId="3"/>
      <queryTableField id="6" dataBound="0" tableColumnId="6"/>
      <queryTableField id="8" dataBound="0" tableColumnId="7"/>
    </queryTableFields>
  </queryTableRefresh>
</queryTable>
</file>

<file path=xl/queryTables/queryTable3.xml><?xml version="1.0" encoding="utf-8"?>
<queryTable xmlns="http://schemas.openxmlformats.org/spreadsheetml/2006/main" name="Consulta desde ARCHIVO_1" backgroundRefresh="0" connectionId="14" autoFormatId="16" applyNumberFormats="0" applyBorderFormats="0" applyFontFormats="0" applyPatternFormats="0" applyAlignmentFormats="0" applyWidthHeightFormats="0">
  <queryTableRefresh nextId="9" unboundColumnsRight="1">
    <queryTableFields count="4">
      <queryTableField id="1" name="CODIGO" tableColumnId="1"/>
      <queryTableField id="6" name="origen" tableColumnId="2"/>
      <queryTableField id="4" name="CANTIDAD" tableColumnId="3"/>
      <queryTableField id="8" dataBound="0" tableColumnId="4"/>
    </queryTableFields>
  </queryTableRefresh>
</queryTable>
</file>

<file path=xl/queryTables/queryTable4.xml><?xml version="1.0" encoding="utf-8"?>
<queryTable xmlns="http://schemas.openxmlformats.org/spreadsheetml/2006/main" name="Consulta desde Backorders" backgroundRefresh="0" connectionId="15" autoFormatId="16" applyNumberFormats="0" applyBorderFormats="0" applyFontFormats="0" applyPatternFormats="0" applyAlignmentFormats="0" applyWidthHeightFormats="0">
  <queryTableRefresh nextId="7">
    <queryTableFields count="3">
      <queryTableField id="4" name="BODEGA" tableColumnId="4"/>
      <queryTableField id="1" name="CODIGO " tableColumnId="1"/>
      <queryTableField id="2" name="CANTIDAD" tableColumnId="2"/>
    </queryTableFields>
  </queryTableRefresh>
</queryTable>
</file>

<file path=xl/queryTables/queryTable5.xml><?xml version="1.0" encoding="utf-8"?>
<queryTable xmlns="http://schemas.openxmlformats.org/spreadsheetml/2006/main" name="Consulta desde Reporte ROI_1" backgroundRefresh="0" connectionId="24" autoFormatId="16" applyNumberFormats="0" applyBorderFormats="0" applyFontFormats="0" applyPatternFormats="0" applyAlignmentFormats="0" applyWidthHeightFormats="0">
  <queryTableRefresh nextId="3">
    <queryTableFields count="2">
      <queryTableField id="1" name="CODIGO" tableColumnId="1"/>
      <queryTableField id="2" name="ROI ANUAL" tableColumnId="2"/>
    </queryTableFields>
  </queryTableRefresh>
</queryTable>
</file>

<file path=xl/queryTables/queryTable6.xml><?xml version="1.0" encoding="utf-8"?>
<queryTable xmlns="http://schemas.openxmlformats.org/spreadsheetml/2006/main" name="Consulta desde Reporte ROI" backgroundRefresh="0" connectionId="23"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queryTables/queryTable7.xml><?xml version="1.0" encoding="utf-8"?>
<queryTable xmlns="http://schemas.openxmlformats.org/spreadsheetml/2006/main" name="Consulta desde Reporte ROI_2" backgroundRefresh="0" connectionId="25"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queryTables/queryTable8.xml><?xml version="1.0" encoding="utf-8"?>
<queryTable xmlns="http://schemas.openxmlformats.org/spreadsheetml/2006/main" name="Consulta desde Velocidad CASH" backgroundRefresh="0" connectionId="26" autoFormatId="16" applyNumberFormats="0" applyBorderFormats="0" applyFontFormats="0" applyPatternFormats="0" applyAlignmentFormats="0" applyWidthHeightFormats="0">
  <queryTableRefresh nextId="12">
    <queryTableFields count="3">
      <queryTableField id="1" name="Empresa" tableColumnId="1"/>
      <queryTableField id="10" name="Proveedor" tableColumnId="2"/>
      <queryTableField id="9" name="Ciclo Efectivo" tableColumnId="9"/>
    </queryTableFields>
  </queryTableRefresh>
</queryTable>
</file>

<file path=xl/queryTables/queryTable9.xml><?xml version="1.0" encoding="utf-8"?>
<queryTable xmlns="http://schemas.openxmlformats.org/spreadsheetml/2006/main" name="Consulta desde ODBC MySQL en AGROTA" backgroundRefresh="0" connectionId="19"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Proveedor" tableColumnId="2"/>
    </queryTableFields>
  </queryTableRefresh>
</queryTable>
</file>

<file path=xl/queryTables/queryTable10.xml><?xml version="1.0" encoding="utf-8"?>
<queryTable xmlns="http://schemas.openxmlformats.org/spreadsheetml/2006/main" name="Consulta desde ODBC MySQL en AGROTA_1" backgroundRefresh="0" connectionId="20"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Proveedor" tableColumnId="2"/>
    </queryTableFields>
  </queryTableRefresh>
</queryTable>
</file>

<file path=xl/queryTables/queryTable11.xml><?xml version="1.0" encoding="utf-8"?>
<queryTable xmlns="http://schemas.openxmlformats.org/spreadsheetml/2006/main" name="Consulta desde Datos en Access_1" backgroundRefresh="0" connectionId="17" autoFormatId="16" applyNumberFormats="0" applyBorderFormats="0" applyFontFormats="0" applyPatternFormats="0" applyAlignmentFormats="0" applyWidthHeightFormats="0">
  <queryTableRefresh nextId="3">
    <queryTableFields count="2">
      <queryTableField id="1" name="CODIGO" tableColumnId="1"/>
      <queryTableField id="2" name="FECHA" tableColumnId="2"/>
    </queryTableFields>
  </queryTableRefresh>
</queryTable>
</file>

<file path=xl/queryTables/queryTable12.xml><?xml version="1.0" encoding="utf-8"?>
<queryTable xmlns="http://schemas.openxmlformats.org/spreadsheetml/2006/main" name="Consulta desde ODBC MySQL en AGROTA" backgroundRefresh="0" connectionId="21" autoFormatId="16" applyNumberFormats="0" applyBorderFormats="0" applyFontFormats="0" applyPatternFormats="0" applyAlignmentFormats="0" applyWidthHeightFormats="0">
  <queryTableRefresh nextId="2">
    <queryTableFields count="1">
      <queryTableField id="1" name="Causa" tableColumnId="1"/>
    </queryTableFields>
  </queryTableRefresh>
</queryTable>
</file>

<file path=xl/queryTables/queryTable13.xml><?xml version="1.0" encoding="utf-8"?>
<queryTable xmlns="http://schemas.openxmlformats.org/spreadsheetml/2006/main" name="Consulta desde INVENTARIO FISICO_3" backgroundRefresh="0" connectionId="18" autoFormatId="16" applyNumberFormats="0" applyBorderFormats="0" applyFontFormats="0" applyPatternFormats="0" applyAlignmentFormats="0" applyWidthHeightFormats="0">
  <queryTableRefresh nextId="19">
    <queryTableFields count="18">
      <queryTableField id="1" name="codigo" tableColumnId="1"/>
      <queryTableField id="2" name="AGROTACENTRAL" tableColumnId="2"/>
      <queryTableField id="3" name="CTV" tableColumnId="3"/>
      <queryTableField id="4" name="PV" tableColumnId="4"/>
      <queryTableField id="5" name="F5" tableColumnId="5"/>
      <queryTableField id="6" name="codigo1" tableColumnId="6"/>
      <queryTableField id="7" name="AGROTACENTRALPROPIA" tableColumnId="7"/>
      <queryTableField id="8" name="CTV1" tableColumnId="8"/>
      <queryTableField id="9" name="PV1" tableColumnId="9"/>
      <queryTableField id="10" name="F10" tableColumnId="10"/>
      <queryTableField id="11" name="codigo2" tableColumnId="11"/>
      <queryTableField id="12" name="AGROTAMAXGUAYAQUIL" tableColumnId="12"/>
      <queryTableField id="13" name="F13" tableColumnId="13"/>
      <queryTableField id="14" name="codigo3" tableColumnId="14"/>
      <queryTableField id="15" name="AGROTAPROMACOFI" tableColumnId="15"/>
      <queryTableField id="16" name="F16" tableColumnId="16"/>
      <queryTableField id="17" name="codigo4" tableColumnId="17"/>
      <queryTableField id="18" name="AGROTAEIGUANCHI" tableColumnId="18"/>
    </queryTableFields>
  </queryTableRefresh>
</queryTable>
</file>

<file path=xl/queryTables/queryTable14.xml><?xml version="1.0" encoding="utf-8"?>
<queryTable xmlns="http://schemas.openxmlformats.org/spreadsheetml/2006/main" name="Consulta desde ODBC RAMCAS1" backgroundRefresh="0" connectionId="22"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egmentaciónDeDatos_BODEGA" sourceName="BODEGA">
  <extLst>
    <x:ext xmlns:x15="http://schemas.microsoft.com/office/spreadsheetml/2010/11/main" uri="{2F2917AC-EB37-4324-AD4E-5DD8C200BD13}">
      <x15:tableSlicerCache tableId="2" column="40"/>
    </x:ex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egmentaciónDeDatos_Estatus" sourceName="Estatus">
  <extLst>
    <x:ext xmlns:x15="http://schemas.microsoft.com/office/spreadsheetml/2010/11/main" uri="{2F2917AC-EB37-4324-AD4E-5DD8C200BD13}">
      <x15:tableSlicerCache tableId="2" column="578"/>
    </x:ex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egmentaciónDeDatos_Clasificación" sourceName="Clasificación">
  <extLst>
    <x:ext xmlns:x15="http://schemas.microsoft.com/office/spreadsheetml/2010/11/main" uri="{2F2917AC-EB37-4324-AD4E-5DD8C200BD13}">
      <x15:tableSlicerCache tableId="2" column="323"/>
    </x:ex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egmentaciónDeDatos_Responsable" sourceName="Responsable">
  <extLst>
    <x:ext xmlns:x15="http://schemas.microsoft.com/office/spreadsheetml/2010/11/main" uri="{2F2917AC-EB37-4324-AD4E-5DD8C200BD13}">
      <x15:tableSlicerCache tableId="2" column="324"/>
    </x:ex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egmentaciónDeDatos_Proveedor" sourceName="Proveedor">
  <extLst>
    <x:ext xmlns:x15="http://schemas.microsoft.com/office/spreadsheetml/2010/11/main" uri="{2F2917AC-EB37-4324-AD4E-5DD8C200BD13}">
      <x15:tableSlicerCache tableId="2" column="300"/>
    </x:ex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egmentaciónDeDatos_Perfil" sourceName="Perfil">
  <extLst>
    <x:ext xmlns:x15="http://schemas.microsoft.com/office/spreadsheetml/2010/11/main" uri="{2F2917AC-EB37-4324-AD4E-5DD8C200BD13}">
      <x15:tableSlicerCache tableId="2" column="224"/>
    </x:ex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egmentaciónDeDatos_Color" sourceName="Color">
  <extLst>
    <x:ext xmlns:x15="http://schemas.microsoft.com/office/spreadsheetml/2010/11/main" uri="{2F2917AC-EB37-4324-AD4E-5DD8C200BD13}">
      <x15:tableSlicerCache tableId="2" column="99"/>
    </x:ex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egmentaciónDeDatos_Ult_Cambio" sourceName="Ult Cambio">
  <extLst>
    <x:ext xmlns:x15="http://schemas.microsoft.com/office/spreadsheetml/2010/11/main" uri="{2F2917AC-EB37-4324-AD4E-5DD8C200BD13}">
      <x15:tableSlicerCache tableId="2" column="7" sortOrder="descending"/>
    </x:ex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BODEGA" cache="SegmentaciónDeDatos_BODEGA" caption="BODEGA" style="SlicerStyleLight2" rowHeight="225425"/>
  <slicer name="Estatus" cache="SegmentaciónDeDatos_Estatus" caption="Estatus" columnCount="2" style="SlicerStyleLight5" rowHeight="225425"/>
  <slicer name="Clasificación" cache="SegmentaciónDeDatos_Clasificación" caption="Clasificación" columnCount="2" style="SlicerStyleLight5" rowHeight="225425"/>
  <slicer name="Responsable" cache="SegmentaciónDeDatos_Responsable" caption="Responsable" style="SlicerStyleLight5" rowHeight="225425"/>
  <slicer name="Proveedor" cache="SegmentaciónDeDatos_Proveedor" caption="Proveedor" style="SlicerStyleLight3" rowHeight="225425"/>
  <slicer name="Perfil" cache="SegmentaciónDeDatos_Perfil" caption="Perfil" style="SlicerStyleLight3" rowHeight="225425"/>
  <slicer name="Color" cache="SegmentaciónDeDatos_Color" caption="Color" columnCount="2" style="SlicerStyleLight5" rowHeight="225425"/>
  <slicer name="Ult Cambio" cache="SegmentaciónDeDatos_Ult_Cambio" caption="Ult Cambio" style="SlicerStyleDark4" rowHeight="225425"/>
</slicers>
</file>

<file path=xl/tables/_rels/table27.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3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3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3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3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3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36.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37.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38.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41.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50.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56.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table1.xml><?xml version="1.0" encoding="utf-8"?>
<table xmlns="http://schemas.openxmlformats.org/spreadsheetml/2006/main" id="2" name="CONTROL" displayName="CONTROL" comment="Es la hoja principal donde están todos los datos de los ítems." ref="A2:NI61" headerRowDxfId="1021" dataDxfId="1020">
  <autoFilter ref="A2:NI61"/>
  <tableColumns count="373">
    <tableColumn id="40" name="BODEGA" dataDxfId="1019" totalsRowDxfId="1018"/>
    <tableColumn id="1" name="CODIGO" dataDxfId="1017" totalsRowDxfId="1016"/>
    <tableColumn id="51" name="CODIGO FUNCIONAL" dataDxfId="1015" totalsRowDxfId="1014"/>
    <tableColumn id="50" name="CODIGO VINCULADO" dataDxfId="1013" totalsRowDxfId="1012"/>
    <tableColumn id="49" name="CODIGO GENERICO" dataDxfId="1011" totalsRowDxfId="1010"/>
    <tableColumn id="2" name="DESCRIPCION" dataDxfId="1009" totalsRowDxfId="1008"/>
    <tableColumn id="13" name="GRUPO" dataDxfId="1007" totalsRowDxfId="1006"/>
    <tableColumn id="33" name="LINEA" dataDxfId="1005" totalsRowDxfId="1004"/>
    <tableColumn id="129" name="SUBLINEA" dataDxfId="1003" totalsRowDxfId="1002"/>
    <tableColumn id="131" name="FAMILIA" dataDxfId="1001" totalsRowDxfId="1000"/>
    <tableColumn id="132" name="SUBFAMILIA" dataDxfId="999" totalsRowDxfId="998"/>
    <tableColumn id="133" name="CATEGORIA" dataDxfId="997" totalsRowDxfId="996"/>
    <tableColumn id="32" name="TIPO" dataDxfId="995" totalsRowDxfId="994"/>
    <tableColumn id="134" name="MARCA" dataDxfId="993" totalsRowDxfId="992"/>
    <tableColumn id="130" name="MODELO" dataDxfId="991" totalsRowDxfId="990"/>
    <tableColumn id="135" name="CAT MANAGEMENT" dataDxfId="989" totalsRowDxfId="988"/>
    <tableColumn id="84" name="NUEVO" dataDxfId="987" totalsRowDxfId="986"/>
    <tableColumn id="136" name="CAT PROPIA 1" dataDxfId="985" totalsRowDxfId="984"/>
    <tableColumn id="137" name="CAT PROPIA 2" dataDxfId="983" totalsRowDxfId="982"/>
    <tableColumn id="138" name="CAT PROPIA 3" dataDxfId="981" totalsRowDxfId="980"/>
    <tableColumn id="139" name="CAT PROPIA 4" dataDxfId="979" totalsRowDxfId="978"/>
    <tableColumn id="140" name="CAT PROPIA 5" dataDxfId="977" totalsRowDxfId="976"/>
    <tableColumn id="578" name="Estatus" dataDxfId="975" totalsRowDxfId="974"/>
    <tableColumn id="323" name="Clasificación" dataDxfId="973" totalsRowDxfId="972"/>
    <tableColumn id="324" name="Responsable" dataDxfId="971" totalsRowDxfId="970"/>
    <tableColumn id="37" name="CTV" dataDxfId="969" totalsRowDxfId="968"/>
    <tableColumn id="39" name="PV" dataDxfId="967" totalsRowDxfId="966"/>
    <tableColumn id="325" name="Precio Promoción" dataDxfId="965" totalsRowDxfId="964"/>
    <tableColumn id="326" name="Inicio Promoción" dataDxfId="963" totalsRowDxfId="962"/>
    <tableColumn id="327" name="Fin Promoción" dataDxfId="961" totalsRowDxfId="960"/>
    <tableColumn id="43" name="Horizonte" dataDxfId="959" totalsRowDxfId="958"/>
    <tableColumn id="44" name="T Suministro" dataDxfId="957" totalsRowDxfId="956"/>
    <tableColumn id="45" name="Frec Repos" dataDxfId="955" totalsRowDxfId="954"/>
    <tableColumn id="30" name="GDB" dataDxfId="953" totalsRowDxfId="952"/>
    <tableColumn id="41" name="Cam" dataDxfId="951" totalsRowDxfId="950"/>
    <tableColumn id="290" name="Etapa" dataDxfId="949" totalsRowDxfId="948"/>
    <tableColumn id="77" name="Estado Reposiciones" dataDxfId="947" totalsRowDxfId="946"/>
    <tableColumn id="26" name="Nuevo Buff Sug" dataDxfId="945" totalsRowDxfId="944"/>
    <tableColumn id="539" name="Comportamiento" dataDxfId="943" totalsRowDxfId="942"/>
    <tableColumn id="165" name="Consumo" dataDxfId="941" totalsRowDxfId="940"/>
    <tableColumn id="502" name="Cobertura Buffer" dataDxfId="939" totalsRowDxfId="938"/>
    <tableColumn id="503" name="Cobertura Inv Proy" dataDxfId="937" totalsRowDxfId="936"/>
    <tableColumn id="648" name="Cobertura Ped Min" dataDxfId="935" totalsRowDxfId="934"/>
    <tableColumn id="504" name="Días Desabastecimiento" dataDxfId="933" totalsRowDxfId="932"/>
    <tableColumn id="322" name="Ventas Perdidas" dataDxfId="931" totalsRowDxfId="930"/>
    <tableColumn id="693" name="Posponer BUF" dataDxfId="929" totalsRowDxfId="928"/>
    <tableColumn id="694" name="Posponer RED" dataDxfId="927" totalsRowDxfId="926"/>
    <tableColumn id="695" name="Posponer GDB" dataDxfId="925" totalsRowDxfId="924"/>
    <tableColumn id="300" name="Proveedor" dataDxfId="923" totalsRowDxfId="922"/>
    <tableColumn id="224" name="Perfil" dataDxfId="921" totalsRowDxfId="920"/>
    <tableColumn id="36" name="Buff Min" dataDxfId="919" totalsRowDxfId="918"/>
    <tableColumn id="505" name="Buff Max" dataDxfId="917" totalsRowDxfId="916"/>
    <tableColumn id="61" name="PEDID Min" dataDxfId="915" totalsRowDxfId="914"/>
    <tableColumn id="739" name="Redondeo Pedido Mínimo" dataDxfId="913" totalsRowDxfId="912"/>
    <tableColumn id="541" name="PEDID Min Grupo" dataDxfId="911" totalsRowDxfId="910"/>
    <tableColumn id="365" name="Unidad Empaque" dataDxfId="909" totalsRowDxfId="908"/>
    <tableColumn id="740" name="Redondeo Unidad Empaque" dataDxfId="907" totalsRowDxfId="906"/>
    <tableColumn id="149" name="Porc Aten" totalsRowLabel="100%" dataDxfId="905" totalsRowDxfId="904"/>
    <tableColumn id="42" name="Impacto Faltante" dataDxfId="903" totalsRowDxfId="902"/>
    <tableColumn id="6" name="Observaciones" dataDxfId="901" totalsRowDxfId="900"/>
    <tableColumn id="29" name="Nuevo Buff Real" dataDxfId="899" totalsRowDxfId="898"/>
    <tableColumn id="3" name="Buff Act" dataDxfId="897" totalsRowDxfId="896"/>
    <tableColumn id="170" name="Buff Calc" dataDxfId="895" totalsRowDxfId="894"/>
    <tableColumn id="27" name="Zona Amar" dataDxfId="893" totalsRowDxfId="892"/>
    <tableColumn id="28" name="Zona Roja" dataDxfId="891" totalsRowDxfId="890"/>
    <tableColumn id="99" name="Color" dataDxfId="889" totalsRowDxfId="888"/>
    <tableColumn id="282" name="Color1" dataDxfId="887" totalsRowDxfId="886"/>
    <tableColumn id="56" name="Ult Buffer" dataDxfId="885" totalsRowDxfId="884"/>
    <tableColumn id="67" name="Buff Ant Estacion" dataDxfId="883" totalsRowDxfId="882"/>
    <tableColumn id="66" name="Buff Estacional" dataDxfId="881" totalsRowDxfId="880"/>
    <tableColumn id="8" name="Inv Proveed" dataDxfId="879" totalsRowDxfId="878"/>
    <tableColumn id="22" name="Inv Fís Act" dataDxfId="877" totalsRowDxfId="876"/>
    <tableColumn id="38" name="Estado Buffer" dataDxfId="875" totalsRowDxfId="874"/>
    <tableColumn id="18" name="Tráns Act" dataDxfId="873" totalsRowDxfId="872"/>
    <tableColumn id="572" name="Negociación" dataDxfId="871" totalsRowDxfId="870"/>
    <tableColumn id="573" name="Producción" dataDxfId="869" totalsRowDxfId="868"/>
    <tableColumn id="574" name="Embarcado" dataDxfId="867" totalsRowDxfId="866"/>
    <tableColumn id="20" name="Comprom" dataDxfId="865" totalsRowDxfId="864"/>
    <tableColumn id="21" name="Backorders" dataDxfId="863" totalsRowDxfId="862"/>
    <tableColumn id="19" name="Inv Proy Act" dataDxfId="861" totalsRowDxfId="860"/>
    <tableColumn id="499" name="Estado Buffer Proy" dataDxfId="859" totalsRowDxfId="858"/>
    <tableColumn id="682" name="Ingresos" dataDxfId="857" totalsRowDxfId="856"/>
    <tableColumn id="683" name="Egresos" dataDxfId="855" totalsRowDxfId="854"/>
    <tableColumn id="34" name="PEDIDCalc" dataDxfId="853" totalsRowDxfId="852"/>
    <tableColumn id="11" name="PEDID Prom" dataDxfId="851" totalsRowDxfId="850"/>
    <tableColumn id="23" name="PEDID Real" dataDxfId="849" totalsRowDxfId="848"/>
    <tableColumn id="65" name="Calendario Estacional" dataDxfId="847" totalsRowDxfId="846"/>
    <tableColumn id="72" name="Acción Estacional" dataDxfId="845" totalsRowDxfId="844"/>
    <tableColumn id="142" name="Etapa Estacional" dataDxfId="843" totalsRowDxfId="842"/>
    <tableColumn id="12" name="T$D" dataDxfId="841" totalsRowDxfId="840"/>
    <tableColumn id="24" name="I$D" dataDxfId="839" totalsRowDxfId="838"/>
    <tableColumn id="25" name="Rentabilid" dataDxfId="837" totalsRowDxfId="836"/>
    <tableColumn id="500" name="Rentabilidad Proy" dataDxfId="835" totalsRowDxfId="834"/>
    <tableColumn id="9" name="Vel Efect" dataDxfId="833" totalsRowDxfId="832"/>
    <tableColumn id="5" name="Servicio" dataDxfId="831" totalsRowDxfId="830"/>
    <tableColumn id="7" name="Ult Cambio" dataDxfId="829"/>
    <tableColumn id="46" name="Inicio Per" totalsRowLabel="12/04/17" dataDxfId="828"/>
    <tableColumn id="47" name="Fin Per" dataDxfId="827"/>
    <tableColumn id="579" name="Ult Transfer Inicial" dataDxfId="826"/>
    <tableColumn id="580" name="Ult Transfer Final" dataDxfId="825"/>
    <tableColumn id="303" name="Fecha Nuevo Pedido" dataDxfId="824"/>
    <tableColumn id="304" name="Fecha Esperada Arribo" dataDxfId="823"/>
    <tableColumn id="35" name="Var" dataDxfId="822" totalsRowDxfId="821"/>
    <tableColumn id="4" name="Rojo Acum" dataDxfId="820" totalsRowDxfId="819"/>
    <tableColumn id="10" name="Negro" dataDxfId="818" totalsRowDxfId="817"/>
    <tableColumn id="14" name="Rojo" dataDxfId="816" totalsRowDxfId="815"/>
    <tableColumn id="15" name="Amarillo" dataDxfId="814" totalsRowDxfId="813"/>
    <tableColumn id="16" name="Verde" dataDxfId="812" totalsRowDxfId="811"/>
    <tableColumn id="17" name="Lila" dataDxfId="810" totalsRowDxfId="809"/>
    <tableColumn id="649" name="Err Ped Grupo" dataDxfId="808" totalsRowDxfId="807"/>
    <tableColumn id="292" name="Color Repos Frec" dataDxfId="806" totalsRowDxfId="805"/>
    <tableColumn id="287" name="Omisiones GDB" dataDxfId="804" totalsRowDxfId="803"/>
    <tableColumn id="540" name="Numero Fila" dataDxfId="802" totalsRowDxfId="801"/>
    <tableColumn id="655" name="Borrar" dataDxfId="800" totalsRowDxfId="799"/>
    <tableColumn id="76" name="Nuevo Buff Ingles" dataDxfId="798" totalsRowDxfId="797"/>
    <tableColumn id="48" name="Nuevo Inicio" dataDxfId="796" totalsRowDxfId="795"/>
    <tableColumn id="750" name="Pedid Calc Auxiliar" dataDxfId="794" totalsRowDxfId="793"/>
    <tableColumn id="283" name="Porcent Lleno" dataDxfId="792" totalsRowDxfId="791"/>
    <tableColumn id="54" name="Coincidir Codigo en Producto" dataDxfId="790" totalsRowDxfId="789"/>
    <tableColumn id="55" name="Bodega-Codigo" dataDxfId="788" totalsRowDxfId="787"/>
    <tableColumn id="953" name="Coincidir Bodega Codigo en Consumo" dataDxfId="786" totalsRowDxfId="785"/>
    <tableColumn id="954" name="Coincidir Bodega Codigo en Inventario" dataDxfId="784" totalsRowDxfId="783"/>
    <tableColumn id="927" name="Coincidir Bodega Codigo en Servicio" dataDxfId="782" totalsRowDxfId="781"/>
    <tableColumn id="715" name="Coincidir Bodega Codigo en Ultimo Cambio" dataDxfId="780" totalsRowDxfId="779"/>
    <tableColumn id="921" name="Coincidir Bodega Perfil" dataDxfId="778" totalsRowDxfId="777"/>
    <tableColumn id="288" name="Condicion aumentar buffer" dataDxfId="776" totalsRowDxfId="775"/>
    <tableColumn id="294" name="No es Gris" dataDxfId="774" totalsRowDxfId="773"/>
    <tableColumn id="923" name="Columnas Horizonte" dataDxfId="772" totalsRowDxfId="771"/>
    <tableColumn id="31" name="Patron_Transferencia" dataDxfId="770" totalsRowDxfId="769"/>
    <tableColumn id="75" name="351 - MFW 5" dataDxfId="768" totalsRowDxfId="767"/>
    <tableColumn id="78" name="353 - ECHO 164" dataDxfId="766" totalsRowDxfId="765"/>
    <tableColumn id="79" name="356 - JF 49" dataDxfId="764" totalsRowDxfId="763"/>
    <tableColumn id="80" name="365 - GROWAY 22" dataDxfId="762" totalsRowDxfId="761"/>
    <tableColumn id="81" name="368 - GROWAY 21" dataDxfId="760" totalsRowDxfId="759"/>
    <tableColumn id="82" name="373 - BORALSAN 8" dataDxfId="758" totalsRowDxfId="757"/>
    <tableColumn id="83" name="374 - ECHO 165" dataDxfId="756" totalsRowDxfId="755"/>
    <tableColumn id="335" name="24/01/2017" dataDxfId="754" totalsRowDxfId="753"/>
    <tableColumn id="52" name="06/04/2017" dataDxfId="752" totalsRowDxfId="751"/>
    <tableColumn id="53" name="17/05/2017" dataDxfId="750" totalsRowDxfId="749"/>
    <tableColumn id="57" name="01/06/2017" dataDxfId="748" totalsRowDxfId="747"/>
    <tableColumn id="58" name="05/06/2017" dataDxfId="746" totalsRowDxfId="745"/>
    <tableColumn id="59" name="09/06/2017" dataDxfId="744" totalsRowDxfId="743"/>
    <tableColumn id="60" name="14/07/2017" dataDxfId="742" totalsRowDxfId="741"/>
    <tableColumn id="62" name="23/08/2017" dataDxfId="740" totalsRowDxfId="739"/>
    <tableColumn id="63" name="14/09/2017" dataDxfId="738" totalsRowDxfId="737"/>
    <tableColumn id="64" name="15/09/2017" dataDxfId="736" totalsRowDxfId="735"/>
    <tableColumn id="68" name="27/11/2017" dataDxfId="734" totalsRowDxfId="733"/>
    <tableColumn id="69" name="08/12/2017" dataDxfId="732" totalsRowDxfId="731"/>
    <tableColumn id="70" name="18/12/2017" dataDxfId="730" totalsRowDxfId="729"/>
    <tableColumn id="71" name="25/01/2018" dataDxfId="728" totalsRowDxfId="727"/>
    <tableColumn id="73" name="02/02/2018" dataDxfId="726" totalsRowDxfId="725"/>
    <tableColumn id="74" name="06/02/2018" dataDxfId="724" totalsRowDxfId="723"/>
    <tableColumn id="85" name="24/02/2018" dataDxfId="722" totalsRowDxfId="721"/>
    <tableColumn id="86" name="25/02/2018" dataDxfId="720" totalsRowDxfId="719"/>
    <tableColumn id="87" name="26/02/2018" dataDxfId="718" totalsRowDxfId="717"/>
    <tableColumn id="88" name="27/02/2018" dataDxfId="716" totalsRowDxfId="715"/>
    <tableColumn id="89" name="28/02/2018" dataDxfId="714" totalsRowDxfId="713"/>
    <tableColumn id="90" name="01/03/2018" dataDxfId="712" totalsRowDxfId="711"/>
    <tableColumn id="91" name="02/03/2018" dataDxfId="710" totalsRowDxfId="709"/>
    <tableColumn id="92" name="03/03/2018" dataDxfId="708" totalsRowDxfId="707"/>
    <tableColumn id="93" name="04/03/2018" dataDxfId="706" totalsRowDxfId="705"/>
    <tableColumn id="94" name="05/03/2018" dataDxfId="704" totalsRowDxfId="703"/>
    <tableColumn id="95" name="06/03/2018" dataDxfId="702" totalsRowDxfId="701"/>
    <tableColumn id="96" name="07/03/2018" dataDxfId="700" totalsRowDxfId="699"/>
    <tableColumn id="97" name="08/03/2018" dataDxfId="698" totalsRowDxfId="697"/>
    <tableColumn id="98" name="09/03/2018" dataDxfId="696" totalsRowDxfId="695"/>
    <tableColumn id="100" name="10/03/2018" dataDxfId="694" totalsRowDxfId="693"/>
    <tableColumn id="101" name="11/03/2018" dataDxfId="692" totalsRowDxfId="691"/>
    <tableColumn id="102" name="12/03/2018" dataDxfId="690" totalsRowDxfId="689"/>
    <tableColumn id="110" name="13/03/2018" dataDxfId="688" totalsRowDxfId="687"/>
    <tableColumn id="111" name="14/03/2018" dataDxfId="686" totalsRowDxfId="685"/>
    <tableColumn id="112" name="15/03/2018" dataDxfId="684" totalsRowDxfId="683"/>
    <tableColumn id="113" name="16/03/2018" dataDxfId="682" totalsRowDxfId="681"/>
    <tableColumn id="114" name="17/03/2018" dataDxfId="680" totalsRowDxfId="679"/>
    <tableColumn id="115" name="18/03/2018" dataDxfId="678" totalsRowDxfId="677"/>
    <tableColumn id="116" name="19/03/2018" dataDxfId="676" totalsRowDxfId="675"/>
    <tableColumn id="117" name="20/03/2018" dataDxfId="674" totalsRowDxfId="673"/>
    <tableColumn id="118" name="21/03/2018" dataDxfId="672" totalsRowDxfId="671"/>
    <tableColumn id="119" name="22/03/2018" dataDxfId="670" totalsRowDxfId="669"/>
    <tableColumn id="120" name="23/03/2018" dataDxfId="668" totalsRowDxfId="667"/>
    <tableColumn id="121" name="24/03/2018" dataDxfId="666" totalsRowDxfId="665"/>
    <tableColumn id="122" name="25/03/2018" dataDxfId="664" totalsRowDxfId="663"/>
    <tableColumn id="123" name="26/03/2018" dataDxfId="662" totalsRowDxfId="661"/>
    <tableColumn id="124" name="27/03/2018" dataDxfId="660" totalsRowDxfId="659"/>
    <tableColumn id="125" name="28/03/2018" dataDxfId="658" totalsRowDxfId="657"/>
    <tableColumn id="126" name="29/03/2018" dataDxfId="656" totalsRowDxfId="655"/>
    <tableColumn id="127" name="30/03/2018" dataDxfId="654" totalsRowDxfId="653"/>
    <tableColumn id="128" name="02/04/2018" dataDxfId="652" totalsRowDxfId="651"/>
    <tableColumn id="141" name="03/04/2018" dataDxfId="650" totalsRowDxfId="649"/>
    <tableColumn id="143" name="04/04/2018" dataDxfId="648" totalsRowDxfId="647"/>
    <tableColumn id="144" name="05/04/2018" dataDxfId="646" totalsRowDxfId="645"/>
    <tableColumn id="145" name="06/04/2018" dataDxfId="644" totalsRowDxfId="643"/>
    <tableColumn id="146" name="09/04/2018" dataDxfId="642" totalsRowDxfId="641"/>
    <tableColumn id="147" name="10/04/2018" dataDxfId="640" totalsRowDxfId="639"/>
    <tableColumn id="148" name="11/04/2018" dataDxfId="638" totalsRowDxfId="637"/>
    <tableColumn id="150" name="12/04/2018" dataDxfId="636" totalsRowDxfId="635"/>
    <tableColumn id="151" name="13/04/2018" dataDxfId="634" totalsRowDxfId="633"/>
    <tableColumn id="152" name="15/04/2018" dataDxfId="632" totalsRowDxfId="631"/>
    <tableColumn id="153" name="16/04/2018" dataDxfId="630" totalsRowDxfId="629"/>
    <tableColumn id="154" name="17/04/2018" dataDxfId="628" totalsRowDxfId="627"/>
    <tableColumn id="155" name="18/04/2018" dataDxfId="626" totalsRowDxfId="625"/>
    <tableColumn id="156" name="19/04/2018" dataDxfId="624" totalsRowDxfId="623"/>
    <tableColumn id="157" name="20/04/2018" dataDxfId="622" totalsRowDxfId="621"/>
    <tableColumn id="158" name="21/04/2018" dataDxfId="620" totalsRowDxfId="619"/>
    <tableColumn id="159" name="22/04/2018" dataDxfId="618" totalsRowDxfId="617"/>
    <tableColumn id="160" name="23/04/2018" dataDxfId="616" totalsRowDxfId="615"/>
    <tableColumn id="161" name="24/04/2018" dataDxfId="614" totalsRowDxfId="613"/>
    <tableColumn id="162" name="25/04/2018" dataDxfId="612" totalsRowDxfId="611"/>
    <tableColumn id="163" name="26/04/2018" dataDxfId="610" totalsRowDxfId="609"/>
    <tableColumn id="164" name="27/04/2018" dataDxfId="608" totalsRowDxfId="607"/>
    <tableColumn id="166" name="28/04/2018" dataDxfId="606" totalsRowDxfId="605"/>
    <tableColumn id="167" name="29/04/2018" dataDxfId="604" totalsRowDxfId="603"/>
    <tableColumn id="168" name="30/04/2018" dataDxfId="602" totalsRowDxfId="601"/>
    <tableColumn id="169" name="01/05/2018" dataDxfId="600" totalsRowDxfId="599"/>
    <tableColumn id="171" name="02/05/2018" dataDxfId="598" totalsRowDxfId="597"/>
    <tableColumn id="172" name="03/05/2018" dataDxfId="596" totalsRowDxfId="595"/>
    <tableColumn id="173" name="04/05/2018" dataDxfId="594" totalsRowDxfId="593"/>
    <tableColumn id="174" name="05/05/2018" dataDxfId="592" totalsRowDxfId="591"/>
    <tableColumn id="175" name="06/05/2018" dataDxfId="590" totalsRowDxfId="589"/>
    <tableColumn id="176" name="07/05/2018" dataDxfId="588" totalsRowDxfId="587"/>
    <tableColumn id="177" name="08/05/2018" dataDxfId="586" totalsRowDxfId="585"/>
    <tableColumn id="178" name="09/05/2018" dataDxfId="584" totalsRowDxfId="583"/>
    <tableColumn id="179" name="10/05/2018" dataDxfId="582" totalsRowDxfId="581"/>
    <tableColumn id="180" name="11/05/2018" dataDxfId="580" totalsRowDxfId="579"/>
    <tableColumn id="181" name="12/05/2018" dataDxfId="578" totalsRowDxfId="577"/>
    <tableColumn id="182" name="13/05/2018" dataDxfId="576" totalsRowDxfId="575"/>
    <tableColumn id="183" name="14/05/2018" dataDxfId="574" totalsRowDxfId="573"/>
    <tableColumn id="184" name="15/05/2018" dataDxfId="572" totalsRowDxfId="571"/>
    <tableColumn id="185" name="16/05/2018" dataDxfId="570" totalsRowDxfId="569"/>
    <tableColumn id="186" name="17/05/2018" dataDxfId="568" totalsRowDxfId="567"/>
    <tableColumn id="187" name="18/05/2018" dataDxfId="566" totalsRowDxfId="565"/>
    <tableColumn id="188" name="19/05/2018" dataDxfId="564" totalsRowDxfId="563"/>
    <tableColumn id="189" name="21/05/2018" dataDxfId="562" totalsRowDxfId="561"/>
    <tableColumn id="190" name="22/05/2018" dataDxfId="560" totalsRowDxfId="559"/>
    <tableColumn id="191" name="23/05/2018" dataDxfId="558" totalsRowDxfId="557"/>
    <tableColumn id="192" name="24/05/2018" dataDxfId="556" totalsRowDxfId="555"/>
    <tableColumn id="193" name="25/05/2018" dataDxfId="554" totalsRowDxfId="553"/>
    <tableColumn id="194" name="26/05/2018" dataDxfId="552" totalsRowDxfId="551"/>
    <tableColumn id="195" name="27/05/2018" dataDxfId="550" totalsRowDxfId="549"/>
    <tableColumn id="196" name="28/05/2018" dataDxfId="548" totalsRowDxfId="547"/>
    <tableColumn id="197" name="29/05/2018" dataDxfId="546" totalsRowDxfId="545"/>
    <tableColumn id="198" name="30/05/2018" dataDxfId="544" totalsRowDxfId="543"/>
    <tableColumn id="199" name="31/05/2018" dataDxfId="542" totalsRowDxfId="541"/>
    <tableColumn id="200" name="01/06/2018" dataDxfId="540" totalsRowDxfId="539"/>
    <tableColumn id="310" name="03/06/2018" dataDxfId="538" totalsRowDxfId="537"/>
    <tableColumn id="201" name="04/06/2018" dataDxfId="536" totalsRowDxfId="535"/>
    <tableColumn id="202" name="05/06/2018" dataDxfId="534" totalsRowDxfId="533"/>
    <tableColumn id="203" name="06/06/2018" dataDxfId="532" totalsRowDxfId="531"/>
    <tableColumn id="204" name="07/06/2018" dataDxfId="530" totalsRowDxfId="529"/>
    <tableColumn id="205" name="08/06/2018" dataDxfId="528" totalsRowDxfId="527"/>
    <tableColumn id="206" name="11/06/2018" dataDxfId="526" totalsRowDxfId="525"/>
    <tableColumn id="207" name="12/06/2018" dataDxfId="524" totalsRowDxfId="523"/>
    <tableColumn id="208" name="13/06/2018" dataDxfId="522" totalsRowDxfId="521"/>
    <tableColumn id="209" name="14/06/2018" dataDxfId="520" totalsRowDxfId="519"/>
    <tableColumn id="210" name="15/06/2018" dataDxfId="518" totalsRowDxfId="517"/>
    <tableColumn id="211" name="18/06/2018" dataDxfId="516" totalsRowDxfId="515"/>
    <tableColumn id="212" name="19/06/2018" dataDxfId="514" totalsRowDxfId="513"/>
    <tableColumn id="213" name="20/06/2018" dataDxfId="512" totalsRowDxfId="511"/>
    <tableColumn id="214" name="21/06/2018" dataDxfId="510" totalsRowDxfId="509"/>
    <tableColumn id="215" name="22/06/2018" dataDxfId="508" totalsRowDxfId="507"/>
    <tableColumn id="216" name="25/06/2018" dataDxfId="506" totalsRowDxfId="505"/>
    <tableColumn id="217" name="26/06/2018" dataDxfId="504" totalsRowDxfId="503"/>
    <tableColumn id="218" name="27/06/2018" dataDxfId="502" totalsRowDxfId="501"/>
    <tableColumn id="219" name="28/06/2018" dataDxfId="500" totalsRowDxfId="499"/>
    <tableColumn id="220" name="29/06/2018" dataDxfId="498" totalsRowDxfId="497"/>
    <tableColumn id="221" name="02/07/2018" dataDxfId="496" totalsRowDxfId="495"/>
    <tableColumn id="222" name="03/07/2018" dataDxfId="494" totalsRowDxfId="493"/>
    <tableColumn id="223" name="04/07/2018" dataDxfId="492" totalsRowDxfId="491"/>
    <tableColumn id="225" name="05/07/2018" dataDxfId="490" totalsRowDxfId="489"/>
    <tableColumn id="226" name="06/07/2018" dataDxfId="488" totalsRowDxfId="487"/>
    <tableColumn id="227" name="09/07/2018" dataDxfId="486" totalsRowDxfId="485"/>
    <tableColumn id="228" name="10/07/2018" dataDxfId="484" totalsRowDxfId="483"/>
    <tableColumn id="229" name="11/07/2018" dataDxfId="482" totalsRowDxfId="481"/>
    <tableColumn id="230" name="12/07/2018" dataDxfId="480" totalsRowDxfId="479"/>
    <tableColumn id="231" name="13/07/2018" dataDxfId="478" totalsRowDxfId="477"/>
    <tableColumn id="232" name="16/07/2018" dataDxfId="476" totalsRowDxfId="475"/>
    <tableColumn id="233" name="17/07/2018" dataDxfId="474" totalsRowDxfId="473"/>
    <tableColumn id="234" name="18/07/2018" dataDxfId="472" totalsRowDxfId="471"/>
    <tableColumn id="235" name="19/07/2018" dataDxfId="470" totalsRowDxfId="469"/>
    <tableColumn id="236" name="20/07/2018" dataDxfId="468" totalsRowDxfId="467"/>
    <tableColumn id="237" name="23/07/2018" dataDxfId="466" totalsRowDxfId="465"/>
    <tableColumn id="238" name="24/07/2018" dataDxfId="464" totalsRowDxfId="463"/>
    <tableColumn id="239" name="25/07/2018" dataDxfId="462" totalsRowDxfId="461"/>
    <tableColumn id="240" name="26/07/2018" dataDxfId="460" totalsRowDxfId="459"/>
    <tableColumn id="241" name="27/07/2018" dataDxfId="458" totalsRowDxfId="457"/>
    <tableColumn id="242" name="30/07/2018" dataDxfId="456" totalsRowDxfId="455"/>
    <tableColumn id="243" name="31/07/2018" dataDxfId="454" totalsRowDxfId="453"/>
    <tableColumn id="244" name="01/08/2018" dataDxfId="452" totalsRowDxfId="451"/>
    <tableColumn id="245" name="02/08/2018" dataDxfId="450" totalsRowDxfId="449"/>
    <tableColumn id="246" name="03/08/2018" dataDxfId="448" totalsRowDxfId="447"/>
    <tableColumn id="247" name="06/08/2018" dataDxfId="446" totalsRowDxfId="445"/>
    <tableColumn id="248" name="07/08/2018" dataDxfId="444" totalsRowDxfId="443"/>
    <tableColumn id="249" name="08/08/2018" dataDxfId="442" totalsRowDxfId="441"/>
    <tableColumn id="250" name="09/08/2018" dataDxfId="440" totalsRowDxfId="439"/>
    <tableColumn id="251" name="10/08/2018" dataDxfId="438" totalsRowDxfId="437"/>
    <tableColumn id="252" name="13/08/2018" dataDxfId="436" totalsRowDxfId="435"/>
    <tableColumn id="253" name="14/08/2018" dataDxfId="434" totalsRowDxfId="433"/>
    <tableColumn id="254" name="15/08/2018" dataDxfId="432" totalsRowDxfId="431"/>
    <tableColumn id="255" name="16/08/2018" dataDxfId="430" totalsRowDxfId="429"/>
    <tableColumn id="256" name="17/08/2018" dataDxfId="428" totalsRowDxfId="427"/>
    <tableColumn id="257" name="20/08/2018" dataDxfId="426" totalsRowDxfId="425"/>
    <tableColumn id="258" name="21/08/2018" dataDxfId="424" totalsRowDxfId="423"/>
    <tableColumn id="259" name="22/08/2018" dataDxfId="422" totalsRowDxfId="421"/>
    <tableColumn id="260" name="23/08/2018" dataDxfId="420" totalsRowDxfId="419"/>
    <tableColumn id="261" name="24/08/2018" dataDxfId="418" totalsRowDxfId="417"/>
    <tableColumn id="262" name="27/08/2018" dataDxfId="416" totalsRowDxfId="415"/>
    <tableColumn id="263" name="28/08/2018" dataDxfId="414" totalsRowDxfId="413"/>
    <tableColumn id="264" name="29/08/2018" dataDxfId="412" totalsRowDxfId="411"/>
    <tableColumn id="265" name="30/08/2018" dataDxfId="410" totalsRowDxfId="409"/>
    <tableColumn id="266" name="31/08/2018" dataDxfId="408" totalsRowDxfId="407"/>
    <tableColumn id="267" name="03/09/2018" dataDxfId="406" totalsRowDxfId="405"/>
    <tableColumn id="268" name="04/09/2018" dataDxfId="404" totalsRowDxfId="403"/>
    <tableColumn id="269" name="05/09/2018" dataDxfId="402" totalsRowDxfId="401"/>
    <tableColumn id="270" name="06/09/2018" dataDxfId="400" totalsRowDxfId="399"/>
    <tableColumn id="271" name="07/09/2018" dataDxfId="398" totalsRowDxfId="397"/>
    <tableColumn id="272" name="10/09/2018" dataDxfId="396" totalsRowDxfId="395"/>
    <tableColumn id="273" name="11/09/2018" dataDxfId="394" totalsRowDxfId="393"/>
    <tableColumn id="274" name="12/09/2018" dataDxfId="392" totalsRowDxfId="391"/>
    <tableColumn id="275" name="13/09/2018" dataDxfId="390" totalsRowDxfId="389"/>
    <tableColumn id="276" name="14/09/2018" dataDxfId="388" totalsRowDxfId="387"/>
    <tableColumn id="277" name="17/09/2018" dataDxfId="386" totalsRowDxfId="385"/>
    <tableColumn id="278" name="18/09/2018" dataDxfId="384" totalsRowDxfId="383"/>
    <tableColumn id="279" name="19/09/2018" dataDxfId="382" totalsRowDxfId="381"/>
    <tableColumn id="280" name="20/09/2018" dataDxfId="380" totalsRowDxfId="379"/>
    <tableColumn id="281" name="21/09/2018" dataDxfId="378" totalsRowDxfId="377"/>
    <tableColumn id="284" name="24/09/2018" dataDxfId="376" totalsRowDxfId="375"/>
    <tableColumn id="285" name="25/09/2018" dataDxfId="374" totalsRowDxfId="373"/>
    <tableColumn id="286" name="26/09/2018" dataDxfId="372" totalsRowDxfId="371"/>
    <tableColumn id="289" name="27/09/2018" dataDxfId="370" totalsRowDxfId="369"/>
    <tableColumn id="291" name="28/09/2018" dataDxfId="368" totalsRowDxfId="367"/>
    <tableColumn id="293" name="01/10/2018" dataDxfId="366" totalsRowDxfId="365"/>
    <tableColumn id="295" name="02/10/2018" dataDxfId="364" totalsRowDxfId="363"/>
    <tableColumn id="296" name="03/10/2018" dataDxfId="362" totalsRowDxfId="361"/>
    <tableColumn id="297" name="04/10/2018" dataDxfId="360" totalsRowDxfId="359"/>
    <tableColumn id="298" name="05/10/2018" dataDxfId="358" totalsRowDxfId="357"/>
    <tableColumn id="299" name="08/10/2018" dataDxfId="356" totalsRowDxfId="355"/>
    <tableColumn id="301" name="09/10/2018" dataDxfId="354" totalsRowDxfId="353"/>
    <tableColumn id="302" name="10/10/2018" dataDxfId="352" totalsRowDxfId="351"/>
    <tableColumn id="305" name="11/10/2018" dataDxfId="350" totalsRowDxfId="349"/>
    <tableColumn id="306" name="12/10/2018" dataDxfId="348" totalsRowDxfId="347"/>
    <tableColumn id="307" name="15/10/2018" dataDxfId="346" totalsRowDxfId="345"/>
    <tableColumn id="308" name="16/10/2018" dataDxfId="344" totalsRowDxfId="343"/>
    <tableColumn id="309" name="17/10/2018" dataDxfId="342" totalsRowDxfId="341"/>
    <tableColumn id="103" name="18/10/2018" dataDxfId="340" totalsRowDxfId="339"/>
    <tableColumn id="104" name="19/10/2018" dataDxfId="338" totalsRowDxfId="337"/>
    <tableColumn id="105" name="22/10/2018" dataDxfId="336" totalsRowDxfId="335"/>
    <tableColumn id="106" name="23/10/2018" dataDxfId="334" totalsRowDxfId="333"/>
    <tableColumn id="107" name="24/10/2018" dataDxfId="332" totalsRowDxfId="331"/>
    <tableColumn id="108" name="25/10/2018" dataDxfId="330" totalsRowDxfId="329"/>
    <tableColumn id="109" name="26/10/2018" dataDxfId="328" totalsRowDxfId="327"/>
    <tableColumn id="311" name="29/10/2018" dataDxfId="326" totalsRowDxfId="325"/>
    <tableColumn id="312" name="30/10/2018" dataDxfId="324" totalsRowDxfId="323"/>
    <tableColumn id="313" name="31/10/2018" dataDxfId="322" totalsRowDxfId="321"/>
    <tableColumn id="314" name="01/11/2018" dataDxfId="320" totalsRowDxfId="319"/>
    <tableColumn id="315" name="02/11/2018" dataDxfId="318" totalsRowDxfId="317"/>
    <tableColumn id="316" name="05/11/2018" dataDxfId="316" totalsRowDxfId="315"/>
    <tableColumn id="317" name="06/11/2018" dataDxfId="314" totalsRowDxfId="313"/>
    <tableColumn id="318" name="07/11/2018" dataDxfId="312" totalsRowDxfId="311"/>
    <tableColumn id="319" name="08/11/2018" dataDxfId="310" totalsRowDxfId="309"/>
    <tableColumn id="320" name="09/11/2018" dataDxfId="308" totalsRowDxfId="307"/>
    <tableColumn id="321" name="12/11/2018" dataDxfId="306" totalsRowDxfId="305"/>
    <tableColumn id="328" name="13/11/2018" dataDxfId="304" totalsRowDxfId="303"/>
    <tableColumn id="329" name="14/11/2018" dataDxfId="302" totalsRowDxfId="301"/>
    <tableColumn id="330" name="15/11/2018" dataDxfId="300" totalsRowDxfId="299"/>
    <tableColumn id="331" name="16/11/2018" dataDxfId="298" totalsRowDxfId="297"/>
    <tableColumn id="332" name="19/11/2018" dataDxfId="296" totalsRowDxfId="295"/>
    <tableColumn id="333" name="20/11/2018" dataDxfId="294" totalsRowDxfId="293"/>
    <tableColumn id="334" name="21/11/2018" dataDxfId="292" totalsRowDxfId="291"/>
    <tableColumn id="336" name="22/11/2018" dataDxfId="290" totalsRowDxfId="289"/>
    <tableColumn id="337" name="23/11/2018" dataDxfId="288" totalsRowDxfId="287"/>
    <tableColumn id="338" name="26/11/2018" dataDxfId="286" totalsRowDxfId="285"/>
    <tableColumn id="339" name="27/11/2018" dataDxfId="284" totalsRowDxfId="283"/>
    <tableColumn id="340" name="28/11/2018" dataDxfId="282" totalsRowDxfId="281"/>
  </tableColumns>
  <tableStyleInfo name="TableStyleLight15" showFirstColumn="0" showLastColumn="0" showRowStripes="1" showColumnStripes="0"/>
</table>
</file>

<file path=xl/tables/table2.xml><?xml version="1.0" encoding="utf-8"?>
<table xmlns="http://schemas.openxmlformats.org/spreadsheetml/2006/main" id="10" name="XXYY" displayName="XXYY" comment="Es la hoja principal donde están todos los datos de los ítems." ref="A2:DZ3" totalsRowShown="0" headerRowDxfId="276">
  <autoFilter ref="A2:DZ3"/>
  <tableColumns count="130">
    <tableColumn id="53" name="BODEGA"/>
    <tableColumn id="54" name="CODIGO"/>
    <tableColumn id="75" name="CODIGO FUNCIONAL"/>
    <tableColumn id="78" name="CODIGO VINCULADO">
      <calculatedColumnFormula>IFERROR(IF(ISTEXT(CONTROL[[#This Row],[Coincidir Bodega Codigo en Inventario]]),INDEX(tbl_inventario_con_descripciones[COD_VINCULADO_ip],1*SUBSTITUTE(CONTROL[[#This Row],[Coincidir Bodega Codigo en Inventario]],"P","")),INDEX(tbl_inventario_con_descripciones[COD_VINCULADO_ip],CONTROL[[#This Row],[Coincidir Bodega Codigo en Inventario]])),"")</calculatedColumnFormula>
    </tableColumn>
    <tableColumn id="79" name="CODIGO GENERICO">
      <calculatedColumnFormula>IFERROR(IF(ISTEXT(CONTROL[[#This Row],[Coincidir Bodega Codigo en Inventario]]),INDEX(tbl_inventario_con_descripciones[COD_GENERICO_ip],1*SUBSTITUTE(CONTROL[[#This Row],[Coincidir Bodega Codigo en Inventario]],"P","")),INDEX(tbl_inventario_con_descripciones[COD_GENERICO_ip],CONTROL[[#This Row],[Coincidir Bodega Codigo en Inventario]])),"")</calculatedColumnFormula>
    </tableColumn>
    <tableColumn id="2" name="DESCRIPCION">
      <calculatedColumnFormula>IFERROR(IF(ISTEXT(CONTROL[[#This Row],[Coincidir Bodega Codigo en Inventario]]),INDEX(tbl_inventario_con_descripciones[DESCRIPCION],1*SUBSTITUTE(CONTROL[[#This Row],[Coincidir Bodega Codigo en Inventario]],"P","")),INDEX(tbl_inventario_con_descripciones[DESCRIPCION],CONTROL[[#This Row],[Coincidir Bodega Codigo en Inventario]])),"")</calculatedColumnFormula>
    </tableColumn>
    <tableColumn id="13" name="GRUPO">
      <calculatedColumnFormula>IFERROR(IF(ISTEXT(CONTROL[[#This Row],[Coincidir Bodega Codigo en Inventario]]),INDEX(tbl_inventario_con_descripciones[GRUPO_ip],1*SUBSTITUTE(CONTROL[[#This Row],[Coincidir Bodega Codigo en Inventario]],"P","")),INDEX(tbl_inventario_con_descripciones[GRUPO_ip],CONTROL[[#This Row],[Coincidir Bodega Codigo en Inventario]])),"")</calculatedColumnFormula>
    </tableColumn>
    <tableColumn id="33" name="LINEA">
      <calculatedColumnFormula>IFERROR(IF(ISTEXT(CONTROL[[#This Row],[Coincidir Bodega Codigo en Inventario]]),INDEX(tbl_inventario_con_descripciones[LINEA_ip],1*SUBSTITUTE(CONTROL[[#This Row],[Coincidir Bodega Codigo en Inventario]],"P","")),INDEX(tbl_inventario_con_descripciones[LINEA_ip],CONTROL[[#This Row],[Coincidir Bodega Codigo en Inventario]])),"")</calculatedColumnFormula>
    </tableColumn>
    <tableColumn id="3" name="SUBLINEA">
      <calculatedColumnFormula>IFERROR(IF(ISTEXT(CONTROL[[#This Row],[Coincidir Bodega Codigo en Inventario]]),INDEX(tbl_inventario_con_descripciones[SUBLINEA_ip],1*SUBSTITUTE(CONTROL[[#This Row],[Coincidir Bodega Codigo en Inventario]],"P","")),INDEX(tbl_inventario_con_descripciones[SUBLINEA_ip],CONTROL[[#This Row],[Coincidir Bodega Codigo en Inventario]])),"")</calculatedColumnFormula>
    </tableColumn>
    <tableColumn id="29" name="FAMILIA">
      <calculatedColumnFormula>IFERROR(IF(ISTEXT(CONTROL[[#This Row],[Coincidir Bodega Codigo en Inventario]]),INDEX(tbl_inventario_con_descripciones[FAMILIA_ip],1*SUBSTITUTE(CONTROL[[#This Row],[Coincidir Bodega Codigo en Inventario]],"P","")),INDEX(tbl_inventario_con_descripciones[FAMILIA_ip],CONTROL[[#This Row],[Coincidir Bodega Codigo en Inventario]])),"")</calculatedColumnFormula>
    </tableColumn>
    <tableColumn id="36" name="SUBFAMILIA">
      <calculatedColumnFormula>IFERROR(IF(ISTEXT(CONTROL[[#This Row],[Coincidir Bodega Codigo en Inventario]]),INDEX(tbl_inventario_con_descripciones[SUBFAMILIA_ip],1*SUBSTITUTE(CONTROL[[#This Row],[Coincidir Bodega Codigo en Inventario]],"P","")),INDEX(tbl_inventario_con_descripciones[SUBFAMILIA_ip],CONTROL[[#This Row],[Coincidir Bodega Codigo en Inventario]])),"")</calculatedColumnFormula>
    </tableColumn>
    <tableColumn id="42" name="CATEGORIA">
      <calculatedColumnFormula>IFERROR(IF(ISTEXT(CONTROL[[#This Row],[Coincidir Bodega Codigo en Inventario]]),INDEX(tbl_inventario_con_descripciones[CATEGORIA_ip],1*SUBSTITUTE(CONTROL[[#This Row],[Coincidir Bodega Codigo en Inventario]],"P","")),INDEX(tbl_inventario_con_descripciones[CATEGORIA_ip],CONTROL[[#This Row],[Coincidir Bodega Codigo en Inventario]])),"")</calculatedColumnFormula>
    </tableColumn>
    <tableColumn id="32" name="TIPO">
      <calculatedColumnFormula>IFERROR(IF(ISTEXT(CONTROL[[#This Row],[Coincidir Bodega Codigo en Inventario]]),INDEX(tbl_inventario_con_descripciones[TIPO_ip],1*SUBSTITUTE(CONTROL[[#This Row],[Coincidir Bodega Codigo en Inventario]],"P","")),INDEX(tbl_inventario_con_descripciones[TIPO_ip],CONTROL[[#This Row],[Coincidir Bodega Codigo en Inventario]])),"")</calculatedColumnFormula>
    </tableColumn>
    <tableColumn id="61" name="MARCA">
      <calculatedColumnFormula>IFERROR(IF(ISTEXT(CONTROL[[#This Row],[Coincidir Bodega Codigo en Inventario]]),INDEX(tbl_inventario_con_descripciones[MARCA_ip],1*SUBSTITUTE(CONTROL[[#This Row],[Coincidir Bodega Codigo en Inventario]],"P","")),INDEX(tbl_inventario_con_descripciones[MARCA_ip],CONTROL[[#This Row],[Coincidir Bodega Codigo en Inventario]])),"")</calculatedColumnFormula>
    </tableColumn>
    <tableColumn id="64" name="MODELO">
      <calculatedColumnFormula>IFERROR(IF(ISTEXT(CONTROL[[#This Row],[Coincidir Bodega Codigo en Inventario]]),INDEX(tbl_inventario_con_descripciones[MODELO_ip],1*SUBSTITUTE(CONTROL[[#This Row],[Coincidir Bodega Codigo en Inventario]],"P","")),INDEX(tbl_inventario_con_descripciones[MODELO_ip],CONTROL[[#This Row],[Coincidir Bodega Codigo en Inventario]])),"")</calculatedColumnFormula>
    </tableColumn>
    <tableColumn id="68" name="CAT MANAGEMENT">
      <calculatedColumnFormula>IFERROR(IF(ISTEXT(CONTROL[[#This Row],[Coincidir Bodega Codigo en Inventario]]),INDEX(tbl_inventario_con_descripciones[CAT_MANAGEMENT_ip],1*SUBSTITUTE(CONTROL[[#This Row],[Coincidir Bodega Codigo en Inventario]],"P","")),INDEX(tbl_inventario_con_descripciones[CAT_MANAGEMENT_ip],CONTROL[[#This Row],[Coincidir Bodega Codigo en Inventario]])),"")</calculatedColumnFormula>
    </tableColumn>
    <tableColumn id="129" name="NUEVO">
      <calculatedColumnFormula>IFERROR(IF(ISTEXT(CONTROL[[#This Row],[Coincidir Bodega Codigo en Inventario]]),INDEX(tbl_inventario_con_descripciones[NUEVO_ip],1*SUBSTITUTE(CONTROL[[#This Row],[Coincidir Bodega Codigo en Inventario]],"P","")),INDEX(tbl_inventario_con_descripciones[NUEVO_ip],CONTROL[[#This Row],[Coincidir Bodega Codigo en Inventario]])),0)</calculatedColumnFormula>
    </tableColumn>
    <tableColumn id="69" name="CAT PROPIA 1"/>
    <tableColumn id="70" name="CAT PROPIA 2"/>
    <tableColumn id="71" name="CAT PROPIA 3"/>
    <tableColumn id="73" name="CAT PROPIA 4"/>
    <tableColumn id="74" name="CAT PROPIA 5"/>
    <tableColumn id="101" name="Estatus">
      <calculatedColumnFormula>IFERROR(IF(ISTEXT(CONTROL[[#This Row],[Coincidir Bodega Codigo en Inventario]]),INDEX(tbl_inventario_con_descripciones[ESTATUS_ip],1*SUBSTITUTE(CONTROL[[#This Row],[Coincidir Bodega Codigo en Inventario]],"P","")),INDEX(tbl_inventario_con_descripciones[ESTATUS_ip],CONTROL[[#This Row],[Coincidir Bodega Codigo en Inventario]])),"")</calculatedColumnFormula>
    </tableColumn>
    <tableColumn id="106" name="Clasificación">
      <calculatedColumnFormula>IFERROR(IF(ISTEXT(CONTROL[[#This Row],[Coincidir Bodega Codigo en Inventario]]),INDEX(tbl_inventario_con_descripciones[CLASIFICACION_ip],1*SUBSTITUTE(CONTROL[[#This Row],[Coincidir Bodega Codigo en Inventario]],"P","")),INDEX(tbl_inventario_con_descripciones[CLASIFICACION_ip],CONTROL[[#This Row],[Coincidir Bodega Codigo en Inventario]])),"")</calculatedColumnFormula>
    </tableColumn>
    <tableColumn id="107" name="Responsable">
      <calculatedColumnFormula>IFERROR(IF(ISTEXT(CONTROL[[#This Row],[Coincidir Bodega Codigo en Inventario]]),INDEX(tbl_inventario_con_descripciones[RESPONSABLE_ip],1*SUBSTITUTE(CONTROL[[#This Row],[Coincidir Bodega Codigo en Inventario]],"P","")),INDEX(tbl_inventario_con_descripciones[RESPONSABLE_ip],CONTROL[[#This Row],[Coincidir Bodega Codigo en Inventario]])),"")</calculatedColumnFormula>
    </tableColumn>
    <tableColumn id="37" name="CTV">
      <calculatedColumnFormula>IFERROR(IF(ISTEXT(CONTROL[[#This Row],[Coincidir Bodega Codigo en Inventario]]),1*INDEX(tbl_inventario_con_descripciones[CTV_ip],1*SUBSTITUTE(CONTROL[[#This Row],[Coincidir Bodega Codigo en Inventario]],"P","")),1*INDEX(tbl_inventario_con_descripciones[CTV_ip],CONTROL[[#This Row],[Coincidir Bodega Codigo en Inventario]])),0)</calculatedColumnFormula>
    </tableColumn>
    <tableColumn id="39" name="PV">
      <calculatedColumnFormula>IFERROR(IF(ISTEXT(CONTROL[[#This Row],[Coincidir Bodega Codigo en Inventario]]),1*INDEX(tbl_inventario_con_descripciones[PRECIO_ip],1*SUBSTITUTE(CONTROL[[#This Row],[Coincidir Bodega Codigo en Inventario]],"P","")),1*INDEX(tbl_inventario_con_descripciones[PRECIO_ip],CONTROL[[#This Row],[Coincidir Bodega Codigo en Inventario]])),0)</calculatedColumnFormula>
    </tableColumn>
    <tableColumn id="108" name="Precio Promoción">
      <calculatedColumnFormula>IFERROR(IF(ISTEXT(CONTROL[[#This Row],[Coincidir Bodega Codigo en Inventario]]),1*INDEX(tbl_inventario_con_descripciones[PRECIO PROMOCION_ip],1*SUBSTITUTE(CONTROL[[#This Row],[Coincidir Bodega Codigo en Inventario]],"P","")),1*INDEX(tbl_inventario_con_descripciones[COD_VINCULADO_ip],CONTROL[[#This Row],[Coincidir Bodega Codigo en Inventario]])),0)</calculatedColumnFormula>
    </tableColumn>
    <tableColumn id="109" name="Inicio Promoción">
      <calculatedColumnFormula>IFERROR(IF(ISTEXT(CONTROL[[#This Row],[Coincidir Bodega Codigo en Inventario]]),1*INDEX(tbl_inventario_con_descripciones[PROMOCION_DESDE_ip],1*SUBSTITUTE(CONTROL[[#This Row],[Coincidir Bodega Codigo en Inventario]],"P","")),1*INDEX(tbl_inventario_con_descripciones[PROMOCION_DESDE_ip],CONTROL[[#This Row],[Coincidir Bodega Codigo en Inventario]])),0)</calculatedColumnFormula>
    </tableColumn>
    <tableColumn id="110" name="Fin Promoción">
      <calculatedColumnFormula>IFERROR(IF(ISTEXT(CONTROL[[#This Row],[Coincidir Bodega Codigo en Inventario]]),1*INDEX(tbl_inventario_con_descripciones[PROMOCION_HASTA_ip],1*SUBSTITUTE(CONTROL[[#This Row],[Coincidir Bodega Codigo en Inventario]],"P","")),1*INDEX(tbl_inventario_con_descripciones[PROMOCION_HASTA_ip],CONTROL[[#This Row],[Coincidir Bodega Codigo en Inventario]])),0)</calculatedColumnFormula>
    </tableColumn>
    <tableColumn id="43" name="Horizonte">
      <calculatedColumnFormula>IF(ISERROR(CONTROL[[#This Row],[Coincidir Bodega Perfil]]),"",INDEX(Tabla_ArchivosBodegas[HORIZONTE],CONTROL[[#This Row],[Coincidir Bodega Perfil]],1))</calculatedColumnFormula>
    </tableColumn>
    <tableColumn id="44" name="T Suministro">
      <calculatedColumnFormula>IF(ISERROR(CONTROL[[#This Row],[Coincidir Bodega Perfil]]),"",INDEX(Tabla_ArchivosBodegas[TIEMP SUMINIS],CONTROL[[#This Row],[Coincidir Bodega Perfil]],1))</calculatedColumnFormula>
    </tableColumn>
    <tableColumn id="45" name="Frec Repos">
      <calculatedColumnFormula>IF(ISERROR(CONTROL[[#This Row],[Coincidir Bodega Perfil]]),"",INDEX(Tabla_ArchivosBodegas[FREC REP],CONTROL[[#This Row],[Coincidir Bodega Perfil]],1))</calculatedColumnFormula>
    </tableColumn>
    <tableColumn id="30" name="GDB">
      <calculatedColumnFormula>IF(CONTROL[[#This Row],[Calendario Estacional]]&lt;&gt;"",IF(IFERROR(SUMPRODUCT((--(CONTROL[[#This Row],[Perfil]]=Tabla_Est[Perfil])),(--(CONTROL[[#This Row],[Calendario Estacional]]=Tabla_Est[CALENDARIO])),Tabla_Est[Dentro de Cambios por Estacionalidad?])&lt;&gt;0,0),0,1),1)</calculatedColumnFormula>
    </tableColumn>
    <tableColumn id="41" name="Cam">
      <calculatedColumnFormula>IF(AND(CONTROL[[#This Row],[NUEVO]]=0,CONTROL[[#This Row],[GDB]]=1,CONTROL[[#This Row],[Color]]&lt;&gt;"L",CONTROL[[#This Row],[No es Gris]]),IF(AND(OR(CONTROL[[#This Row],[Estado Reposiciones]]="OK",IFERROR(SEARCH("SAC",CONTROL[[#This Row],[Estado Reposiciones]]),FALSE)),LEFT(CONTROL[[#This Row],[Etapa]],5)="LIBRE"),"+-",IF(CONTROL[[#This Row],[Ult Cambio]]&lt;HOY,"-","")),"")</calculatedColumnFormula>
    </tableColumn>
    <tableColumn id="104" name="Etapa">
      <calculatedColumnFormula>IF(CONTROL[[#This Row],[NUEVO]],"NUEVO",IF((CONTROL[[#This Row],[Ult Cambio]]+(CONTROL[[#This Row],[Horizonte]]*7))&gt;HOY,"SUSP"&amp;"-"&amp;(CONTROL[[#This Row],[Ult Cambio]]+(CONTROL[[#This Row],[Horizonte]]*7))-HOY,"LIBRE"&amp;"-"&amp;HOY-(CONTROL[[#This Row],[Ult Cambio]]+(CONTROL[[#This Row],[Horizonte]]*7))))</calculatedColumnFormula>
    </tableColumn>
    <tableColumn id="77" name="Estado Reposiciones">
      <calculatedColumnFormula>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calculatedColumnFormula>
    </tableColumn>
    <tableColumn id="26" name="Nuevo Buff Sug">
      <calculatedColumnFormula>IF(OR(HOY&lt;CONTROL[[#This Row],[Posponer GDB]],CONTROL[[#This Row],[Nuevo Buff Ingles]]&gt;(IF(ISNUMBER(CONTROL[[#This Row],[Buff Max]]),CONTROL[[#This Row],[Buff Max]],100000000000)),CONTROL[[#This Row],[Nuevo Buff Ingles]]&lt;CONTROL[[#This Row],[Buff Min]]),"",CONTROL[[#This Row],[Nuevo Buff Ingles]])</calculatedColumnFormula>
    </tableColumn>
    <tableColumn id="92" name="Comportamiento">
      <calculatedColumnFormula>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calculatedColumnFormula>
    </tableColumn>
    <tableColumn id="49" name="Consumo">
      <calculatedColumnFormula>IFERROR(1*INDEX(tbl_inventario_con_descripciones[CONSUMO_ic],CONTROL[[#This Row],[Coincidir Bodega Codigo en Inventario]]),0)</calculatedColumnFormula>
    </tableColumn>
    <tableColumn id="84" name="Cobertura Buffer">
      <calculatedColumnFormula>IF(CONTROL[[#This Row],[Consumo]]=0,0,CONTROL[[#This Row],[Buff Act]]/(CONTROL[[#This Row],[Consumo]]*4))</calculatedColumnFormula>
    </tableColumn>
    <tableColumn id="85" name="Cobertura Inv Proy">
      <calculatedColumnFormula>IF(CONTROL[[#This Row],[Consumo]]=0,0,CONTROL[[#This Row],[Inv Proy Act]]/(CONTROL[[#This Row],[Consumo]]*4))</calculatedColumnFormula>
    </tableColumn>
    <tableColumn id="90" name="Cobertura Ped Min">
      <calculatedColumnFormula>IF(CONTROL[[#This Row],[Consumo]]=0,0,CONTROL[[#This Row],[PEDID Min]]/(CONTROL[[#This Row],[Consumo]]*4))</calculatedColumnFormula>
    </tableColumn>
    <tableColumn id="86" name="Días Desabastecimiento">
      <calculatedColumnFormula>IF(CONTROL[[#This Row],[No es Gris]],SUMPRODUCT((--((HORIZONTE*1)&gt;(HOY-30))),(--((HORIZONTE*1)&lt;=HOY)),(--ISNUMBER(OFFSET(PRIMER_CAMPO,CONTROL[[#This Row],[Numero Fila]],0,1,COLUMNS(HORIZONTE)))),(--(OFFSET(PRIMER_CAMPO,CONTROL[[#This Row],[Numero Fila]],0,1,COLUMNS(HORIZONTE))=0))),0)</calculatedColumnFormula>
    </tableColumn>
    <tableColumn id="105" name="Ventas Perdidas">
      <calculatedColumnFormula>IFERROR(INDEX(Tabla_Inventario[inv_ventas_perdidas],MATCH(INDEX(Tabla_Bodegas_Permitidas[COD_BODEGA],MATCH(CONTROL[[#This Row],[BODEGA]],Tabla_Bodegas_Permitidas[BODEGA],0),1)&amp;CONTROL[[#This Row],[CODIGO]],Tabla_Inventario[BODEGASKU],0),1),0)</calculatedColumnFormula>
    </tableColumn>
    <tableColumn id="96" name="Posponer BUF"/>
    <tableColumn id="97" name="Posponer RED"/>
    <tableColumn id="98" name="Posponer GDB"/>
    <tableColumn id="1" name="Proveedor"/>
    <tableColumn id="55" name="Perfil"/>
    <tableColumn id="57" name="Buff Min"/>
    <tableColumn id="87" name="Buff Max"/>
    <tableColumn id="58" name="PEDID Min"/>
    <tableColumn id="111" name="Redondeo Pedido Mínimo"/>
    <tableColumn id="80" name="PEDID Min Grupo"/>
    <tableColumn id="59" name="Unidad Empaque"/>
    <tableColumn id="112" name="Redondeo Unidad Empaque"/>
    <tableColumn id="60" name="Porc Aten"/>
    <tableColumn id="62" name="Impacto Faltante"/>
    <tableColumn id="6" name="Observaciones"/>
    <tableColumn id="40" name="Nuevo Buff Real">
      <calculatedColumnFormula>ROUNDUP(IF(AND(CONTROL[[#This Row],[Acción Estacional]]="SÍ EST: Llenar buff anterior a estación, buff estacional y cambiar el buff actual.",LEFT(CONTROL[[#This Row],[Etapa Estacional]],7)="Aumento"),CONTROL[[#This Row],[Buff Act]]+((((1+INDEX(Tabla_Esta[% CAMBIO],MATCH(CONTROL[[#This Row],[Calendario Estacional]],Tabla_Esta[CALENDARIO],0)))*CONTROL[[#This Row],[Buff Act]])-CONTROL[[#This Row],[Buff Act]])*((MID(CONTROL[[#This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Estacional]],7)="Aumento"),CONTROL[[#This Row],[Buff Ant Estacion]]+((CONTROL[[#This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Estacional]],11)="Disminución"),CONTROL[[#This Row],[Buff Estacional]]-((CONTROL[[#This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Estacional]],1)+2))*1))),IF(CONTROL[[#This Row],[Acción Estacional]]="NO EST: Volver el buffer actual al buffer anterior a la estación.",CONTROL[[#This Row],[Buff Ant Estacion]],0)))),0)</calculatedColumnFormula>
    </tableColumn>
    <tableColumn id="63" name="Buff Act"/>
    <tableColumn id="31" name="Buff Calc">
      <calculatedColumnFormula>ROUNDUP(CONTROL[[#This Row],[Consumo]]*1.5*(CONTROL[[#This Row],[T Suministro]]+CONTROL[[#This Row],[Frec Repos]]),0)</calculatedColumnFormula>
    </tableColumn>
    <tableColumn id="27" name="Zona Amar">
      <calculatedColumnFormula>IF(CONTROL[[#This Row],[Buff Act]]=2,2,ROUND(CONTROL[[#This Row],[Buff Act]]*(1-((1-(INDEX(Tabla_ArchivosBodegas[PORCENT LINEA ROJA],MATCH(CONTROL[[#This Row],[Perfil]],Tabla_ArchivosBodegas[PERFIL],0),1)))/2)),0))</calculatedColumnFormula>
    </tableColumn>
    <tableColumn id="28" name="Zona Roja">
      <calculatedColumnFormula>IF(CONTROL[[#This Row],[Buff Act]]=1,0.5,ROUND(CONTROL[[#This Row],[Buff Act]]*((INDEX(Tabla_ArchivosBodegas[PORCENT LINEA ROJA],MATCH(CONTROL[[#This Row],[Perfil]],Tabla_ArchivosBodegas[PERFIL],0),1))),0))</calculatedColumnFormula>
    </tableColumn>
    <tableColumn id="99" name="Color">
      <calculatedColumnFormula>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calculatedColumnFormula>
    </tableColumn>
    <tableColumn id="52" name="Color1">
      <calculatedColumnFormula>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calculatedColumnFormula>
    </tableColumn>
    <tableColumn id="56" name="Ult Buffer"/>
    <tableColumn id="67" name="Buff Ant Estacion"/>
    <tableColumn id="66" name="Buff Estacional"/>
    <tableColumn id="8" name="Inv Proveed">
      <calculatedColumnFormula>1000000000</calculatedColumnFormula>
    </tableColumn>
    <tableColumn id="22" name="Inv Fís Act">
      <calculatedColumnFormula>IFERROR(IF(INDEX(Tabla_ArchivosBodegas[USA_FISICO],CONTROL[[#This Row],[Coincidir Bodega Perfil]]),IFERROR(1*INDEX(tbl_inventario_con_descripciones[FISICO_ii],CONTROL[[#This Row],[Coincidir Bodega Codigo en Inventario]]),0),0),0)</calculatedColumnFormula>
    </tableColumn>
    <tableColumn id="38" name="Estado Buffer">
      <calculatedColumnFormula>IF(CONTROL[[#This Row],[Buff Act]]&lt;=0,0,IFERROR(ROUND((CONTROL[[#This Row],[Buff Act]]-CONTROL[[#This Row],[Inv Fís Act]])/CONTROL[[#This Row],[Buff Act]],2),0))</calculatedColumnFormula>
    </tableColumn>
    <tableColumn id="18" name="Tráns Act">
      <calculatedColumnFormula>IFERROR(IF(INDEX(Tabla_ArchivosBodegas[USA_TRANSITO],CONTROL[[#This Row],[Coincidir Bodega Perfil]])=1,IF(INDEX(Tabla_ArchivosBodegas[TIPO_TRANSITO],CONTROL[[#This Row],[Coincidir Bodega Perfil]])="ERP",IFERROR(1*INDEX(tbl_inventario_con_descripciones[TRANSITO_ii],CONTROL[[#This Row],[Coincidir Bodega Codigo en Inventario]]),0),IF(INDEX(Tabla_ArchivosBodegas[TIPO_TRANSITO],CONTROL[[#This Row],[Coincidir Bodega Perfil]])="Transferencias",INDEX(Tabla_TRANSFERENCIAS[TRANSITO],CONTROL[[#This Row],[Coincidir Bodega Codigo en Servicio]]),INDEX(Tabla_TRANSFERENCIAS[TRANSITO],CONTROL[[#This Row],[Coincidir Bodega Codigo en Servicio]])+INDEX(Tabla_Inventario[inv_transito],CONTROL[[#This Row],[Coincidir Bodega Codigo en Inventario]],1))),0),0)</calculatedColumnFormula>
    </tableColumn>
    <tableColumn id="81" name="Negociación">
      <calculatedColumnFormula>IFERROR(IF(INDEX(Tabla_ArchivosBodegas[USA_TRANSITO],CONTROL[[#This Row],[Coincidir Bodega Perfil]])=1,IFERROR(1*INDEX(tbl_inventario_con_descripciones[NEGOCIACION_ii],CONTROL[[#This Row],[Coincidir Bodega Codigo en Inventario]]),0),0),0)</calculatedColumnFormula>
    </tableColumn>
    <tableColumn id="82" name="Producción">
      <calculatedColumnFormula>IFERROR(IF(INDEX(Tabla_ArchivosBodegas[USA_TRANSITO],CONTROL[[#This Row],[Coincidir Bodega Perfil]])=1,IFERROR(1*INDEX(tbl_inventario_con_descripciones[PRODUCCION_ii],CONTROL[[#This Row],[Coincidir Bodega Codigo en Inventario]]),0),0),0)</calculatedColumnFormula>
    </tableColumn>
    <tableColumn id="83" name="Embarcado">
      <calculatedColumnFormula>IFERROR(IF(INDEX(Tabla_ArchivosBodegas[USA_TRANSITO],CONTROL[[#This Row],[Coincidir Bodega Perfil]])=1,IFERROR(1*INDEX(tbl_inventario_con_descripciones[EMBARCADO_ii],CONTROL[[#This Row],[Coincidir Bodega Codigo en Inventario]]),0),0),0)</calculatedColumnFormula>
    </tableColumn>
    <tableColumn id="20" name="Comprom">
      <calculatedColumnFormula>IFERROR(IF(INDEX(Tabla_ArchivosBodegas[USA_COMPROMETIDO],CONTROL[[#This Row],[Coincidir Bodega Perfil]])=1,IF(INDEX(Tabla_ArchivosBodegas[TIPO_COMPROMETIDO],CONTROL[[#This Row],[Coincidir Bodega Perfil]])="ERP",IFERROR(1*INDEX(tbl_inventario_con_descripciones[COMPROMETIDO_ii],CONTROL[[#This Row],[Coincidir Bodega Codigo en Inventario]]),0),SUMIFS(Tabla_Comprometidos[CANTIDAD],Tabla_Comprometidos[BODEGA],CONTROL[[#This Row],[BODEGA]],Tabla_Comprometidos[CODIGO],CONTROL[[#This Row],[CODIGO]])),0),0)</calculatedColumnFormula>
    </tableColumn>
    <tableColumn id="21" name="Backorders">
      <calculatedColumnFormula>IFERROR(IF(INDEX(Tabla_ArchivosBodegas[USA_BACKORDER],CONTROL[[#This Row],[Coincidir Bodega Perfil]])=1,IF(INDEX(Tabla_ArchivosBodegas[TIPO_BACKORDER],CONTROL[[#This Row],[Coincidir Bodega Perfil]])="ERP",IFERROR(1*INDEX(tbl_inventario_con_descripciones[BACKORDER-ii],CONTROL[[#This Row],[Coincidir Bodega Codigo en Inventario]]),0),SUMIFS(Tabla_Backorders[CANTIDAD],Tabla_Backorders[BODEGA],CONTROL[[#This Row],[BODEGA]],Tabla_Backorders[CODIGO],CONTROL[[#This Row],[CODIGO]])),0),0)</calculatedColumnFormula>
    </tableColumn>
    <tableColumn id="19" name="Inv Proy Act">
      <calculatedColumnFormula>CONTROL[[#This Row],[Inv Fís Act]]+CONTROL[[#This Row],[Tráns Act]]-CONTROL[[#This Row],[Comprom]]+CONTROL[[#This Row],[Backorders]]</calculatedColumnFormula>
    </tableColumn>
    <tableColumn id="88" name="Estado Buffer Proy">
      <calculatedColumnFormula>IF(CONTROL[[#This Row],[Buff Act]]&lt;=0,0,IFERROR(ROUND((CONTROL[[#This Row],[Buff Act]]-CONTROL[[#This Row],[Inv Proy Act]])/CONTROL[[#This Row],[Buff Act]],2),0))</calculatedColumnFormula>
    </tableColumn>
    <tableColumn id="94" name="Ingresos"/>
    <tableColumn id="95" name="Egresos"/>
    <tableColumn id="34" name="PEDIDCalc">
      <calculatedColumnFormula>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calculatedColumnFormula>
    </tableColumn>
    <tableColumn id="11" name="PEDID Prom">
      <calculatedColumnFormula>IF(CONTROL[[#This Row],[No es Gris]],IFERROR(ROUND((CONTROL[[#This Row],[Buff Act]]*CONTROL[[#This Row],[Frec Repos]])/(CONTROL[[#This Row],[T Suministro]]+CONTROL[[#This Row],[Frec Repos]]),0),0),0)</calculatedColumnFormula>
    </tableColumn>
    <tableColumn id="23" name="PEDID Real"/>
    <tableColumn id="65" name="Calendario Estacional"/>
    <tableColumn id="72" name="Acción Estacional">
      <calculatedColumnFormula>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calculatedColumnFormula>
    </tableColumn>
    <tableColumn id="142" name="Etapa Estacional">
      <calculatedColumnFormula>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calculatedColumnFormula>
    </tableColumn>
    <tableColumn id="12" name="T$D">
      <calculatedColumnFormula>IF(CONTROL[[#This Row],[No es Gris]],IF(OR(CONTROL[[#This Row],[Color]]="R",CONTROL[[#This Row],[Color]]="N"),CONTROL[[#This Row],[Zona Roja]]-CONTROL[[#This Row],[Inv Fís Act]],0)*(CONTROL[[#This Row],[PV]]-CONTROL[[#This Row],[CTV]]),0)</calculatedColumnFormula>
    </tableColumn>
    <tableColumn id="24" name="I$D">
      <calculatedColumnFormula>IF(CONTROL[[#This Row],[No es Gris]],IF(CONTROL[[#This Row],[Inv Fís Act]]&gt;CONTROL[[#This Row],[Buff Act]],CONTROL[[#This Row],[Inv Fís Act]]-CONTROL[[#This Row],[Buff Act]],0)*(CONTROL[[#This Row],[CTV]]),0)</calculatedColumnFormula>
    </tableColumn>
    <tableColumn id="25" name="Rentabilid">
      <calculatedColumnFormula>IF(CONTROL[[#This Row],[No es Gris]],IFERROR(INDEX(Tabla_Rentabilidad[ROI],MATCH(CONTROL[[#This Row],[CODIGO]],Tabla_Rentabilidad[CODIGO],0),1),0),0)</calculatedColumnFormula>
    </tableColumn>
    <tableColumn id="89" name="Rentabilidad Proy">
      <calculatedColumnFormula>IF(CONTROL[[#This Row],[No es Gris]],IFERROR((((CONTROL[[#This Row],[Buff Act]]/(CONTROL[[#This Row],[T Suministro]]+CONTROL[[#This Row],[Frec Repos]]))*4)*(CONTROL[[#This Row],[PV]]-CONTROL[[#This Row],[CTV]])*12)/(CONTROL[[#This Row],[Buff Act]]*CONTROL[[#This Row],[CTV]]),0),0)</calculatedColumnFormula>
    </tableColumn>
    <tableColumn id="9" name="Vel Efect"/>
    <tableColumn id="5" name="Servicio">
      <calculatedColumnFormula>IFERROR(INDEX(Tabla_TRANSFERENCIAS[SERVICIO],CONTROL[[#This Row],[Coincidir Bodega Codigo en Servicio]]),0)</calculatedColumnFormula>
    </tableColumn>
    <tableColumn id="7" name="Ult Cambio">
      <calculatedColumnFormula>IFERROR(INDEX(Tabla_Ultimo_Cambio_Buffer[FECHA],CONTROL[[#This Row],[Coincidir Bodega Codigo en Ultimo Cambio]],0),0)</calculatedColumnFormula>
    </tableColumn>
    <tableColumn id="46" name="Inicio Per">
      <calculatedColumnFormula>CONTROL[[#This Row],[Nuevo Inicio]]</calculatedColumnFormula>
    </tableColumn>
    <tableColumn id="47" name="Fin Per">
      <calculatedColumnFormula array="1">IF(MAX(CONTROL[[#This Row],[Inicio Per]]+CONTROL[[#This Row],[Horizonte]]*7,HOY)=HOY,HOY,INDEX(--HORIZONTE,IFERROR(MATCH(CONTROL[[#This Row],[Inicio Per]]+CONTROL[[#This Row],[Horizonte]]*7,--HORIZONTE,0),1+MATCH(CONTROL[[#This Row],[Inicio Per]]+CONTROL[[#This Row],[Horizonte]]*7,--HORIZONTE,1))))</calculatedColumnFormula>
    </tableColumn>
    <tableColumn id="102" name="Ult Transfer Inicial">
      <calculatedColumnFormula>IFERROR(INDEX(Tabla_TRANSFERENCIAS[ULT FECHA INI],CONTROL[[#This Row],[Coincidir Bodega Codigo en Servicio]]),0)</calculatedColumnFormula>
    </tableColumn>
    <tableColumn id="103" name="Ult Transfer Final">
      <calculatedColumnFormula>IFERROR(INDEX(Tabla_TRANSFERENCIAS[ULT FECHA FIN],CONTROL[[#This Row],[Coincidir Bodega Codigo en Servicio]]),0)</calculatedColumnFormula>
    </tableColumn>
    <tableColumn id="91" name="Fecha Nuevo Pedido">
      <calculatedColumnFormula>IF(CONTROL[[#This Row],[Ult Transfer Inicial]]&gt;0,CONTROL[[#This Row],[Ult Transfer Inicial]]+(CONTROL[[#This Row],[Frec Repos]]*7),"")</calculatedColumnFormula>
    </tableColumn>
    <tableColumn id="93" name="Fecha Esperada Arribo">
      <calculatedColumnFormula>IF(AND(CONTROL[[#This Row],[Ult Transfer Inicial]]&gt;0,CONTROL[[#This Row],[Ult Transfer Final]]&gt;HOY),CONTROL[[#This Row],[Ult Transfer Final]],IF(AND(CONTROL[[#This Row],[Ult Transfer Inicial]]&gt;0,CONTROL[[#This Row],[Ult Transfer Final]]&lt;=HOY),CONTROL[[#This Row],[Ult Transfer Inicial]]+(CONTROL[[#This Row],[T Suministro]]*7),""))</calculatedColumnFormula>
    </tableColumn>
    <tableColumn id="35" name="Var">
      <calculatedColumnFormula>IFERROR(STDEV(INDIRECT("CONTROL[@["&amp;TEXT(CONTROL[[#This Row],[Inicio Per]],"dd/mm/yyyy")&amp;"]:["&amp;TEXT(CONTROL[[#This Row],[Fin Per]],"dd/mm/yyyy")&amp;"]]"))/AVERAGE(INDIRECT("CONTROL[@["&amp;TEXT(CONTROL[[#This Row],[Inicio Per]],"dd/mm/yyyy")&amp;"]:["&amp;TEXT(CONTROL[[#This Row],[Fin Per]],"dd/mm/yyyy")&amp;"]]")),100%)</calculatedColumnFormula>
    </tableColumn>
    <tableColumn id="4" name="Rojo Acum">
      <calculatedColumnFormula array="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calculatedColumnFormula>
    </tableColumn>
    <tableColumn id="10" name="Negro">
      <calculatedColumnFormula>COUNTIF(INDIRECT("CONTROL[@["&amp;TEXT(CONTROL[[#This Row],[Inicio Per]],"dd/mm/yyyy")&amp;"]:["&amp;TEXT(CONTROL[[#This Row],[Fin Per]],"dd/mm/yyyy")&amp;"]]"),"=0")/CONTROL[[#This Row],[Columnas Horizonte]]</calculatedColumnFormula>
    </tableColumn>
    <tableColumn id="14" name="Rojo">
      <calculatedColumnFormula>COUNTIFS(INDIRECT("CONTROL[@["&amp;TEXT(CONTROL[[#This Row],[Inicio Per]],"dd/mm/yyyy")&amp;"]:["&amp;TEXT(CONTROL[[#This Row],[Fin Per]],"dd/mm/yyyy")&amp;"]]"),"&gt;0",INDIRECT("CONTROL[@["&amp;TEXT(CONTROL[[#This Row],[Inicio Per]],"dd/mm/yyyy")&amp;"]:["&amp;TEXT(CONTROL[[#This Row],[Fin Per]],"dd/mm/yyyy")&amp;"]]"),"&lt;="&amp;CONTROL[[#This Row],[Zona Roja]])/CONTROL[[#This Row],[Columnas Horizonte]]</calculatedColumnFormula>
    </tableColumn>
    <tableColumn id="15" name="Amarillo">
      <calculatedColumnFormula>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calculatedColumnFormula>
    </tableColumn>
    <tableColumn id="16" name="Verde">
      <calculatedColumnFormula>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calculatedColumnFormula>
    </tableColumn>
    <tableColumn id="17" name="Lila">
      <calculatedColumnFormula>COUNTIF(INDIRECT("CONTROL[@["&amp;TEXT(CONTROL[[#This Row],[Inicio Per]],"dd/mm/yyyy")&amp;"]:["&amp;TEXT(CONTROL[[#This Row],[Fin Per]],"dd/mm/yyyy")&amp;"]]"),"&gt;"&amp;CONTROL[[#This Row],[Buff Act]])/CONTROL[[#This Row],[Columnas Horizonte]]</calculatedColumnFormula>
    </tableColumn>
    <tableColumn id="114" name="Err Ped Grupo">
      <calculatedColumnFormula array="1">IF(OR(CONTROL[[#This Row],[CODIGO GENERICO]]="",CONTROL[[#This Row],[CODIGO GENERICO]]=0),"",IFERROR(STDEV(IF((CONTROL[[#This Row],[CODIGO GENERICO]]=CONTROL[CODIGO GENERICO]),CONTROL[PEDID Min Grupo],"")),0))</calculatedColumnFormula>
    </tableColumn>
    <tableColumn id="127" name="Color Repos Frec">
      <calculatedColumnFormula>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calculatedColumnFormula>
    </tableColumn>
    <tableColumn id="125" name="Omisiones GDB">
      <calculatedColumnFormula>AND(CONTROL[[#This Row],[Estado Reposiciones]]&lt;&gt;"OK",CONTROL[[#This Row],[Estado Reposiciones]]&lt;&gt;"",LEFT(CONTROL[[#This Row],[Etapa]],5)="LIBRE",CONTROL[[#This Row],[Condicion aumentar buffer]])</calculatedColumnFormula>
    </tableColumn>
    <tableColumn id="122" name="Numero Fila">
      <calculatedColumnFormula>ROW()-Fila_Cabecera_Control</calculatedColumnFormula>
    </tableColumn>
    <tableColumn id="123" name="Borrar"/>
    <tableColumn id="76" name="Nuevo Buff Ingles">
      <calculatedColumnFormula>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calculatedColumnFormula>
    </tableColumn>
    <tableColumn id="48" name="Nuevo Inicio">
      <calculatedColumnFormula array="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calculatedColumnFormula>
    </tableColumn>
    <tableColumn id="113" name="Pedid Calc Auxiliar">
      <calculatedColumnFormula>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calculatedColumnFormula>
    </tableColumn>
    <tableColumn id="51" name="Porcent Lleno">
      <calculatedColumnFormula>SUM(CONTROL[[#This Row],[Negro]:[Lila]])</calculatedColumnFormula>
    </tableColumn>
    <tableColumn id="124" name="Coincidir Codigo en Producto"/>
    <tableColumn id="115" name="Bodega-Codigo">
      <calculatedColumnFormula>INDEX(Tabla_Bodegas_Permitidas[COD_BODEGA],MATCH(CONTROL[[#This Row],[BODEGA]],Tabla_Bodegas_Permitidas[BODEGA],0),1)&amp;CONTROL[[#This Row],[CODIGO]]</calculatedColumnFormula>
    </tableColumn>
    <tableColumn id="116" name="Coincidir Bodega Codigo en Consumo"/>
    <tableColumn id="117" name="Coincidir Bodega Codigo en Inventario">
      <calculatedColumnFormula>IFERROR(MATCH(CONTROL[[#This Row],[Bodega-Codigo]],tbl_inventario_con_descripciones[BODEGA_CODIGO],0),"P"&amp;IFERROR(MATCH(CONTROL[[#This Row],[CODIGO]],tbl_inventario_con_descripciones[COD_PRODUCTO_ii],0),FALSE))</calculatedColumnFormula>
    </tableColumn>
    <tableColumn id="118" name="Coincidir Bodega Codigo en Servicio">
      <calculatedColumnFormula>MATCH(CONTROL[[#This Row],[CODIGO]]&amp;"-"&amp;CONTROL[[#This Row],[BODEGA]],Tabla_TRANSFERENCIAS[UNIDO],0)</calculatedColumnFormula>
    </tableColumn>
    <tableColumn id="119" name="Coincidir Bodega Codigo en Ultimo Cambio">
      <calculatedColumnFormula>MATCH(CONTROL[[#This Row],[Bodega-Codigo]],Tabla_Ultimo_Cambio_Buffer[Bodega-Codigo],0)</calculatedColumnFormula>
    </tableColumn>
    <tableColumn id="120" name="Coincidir Bodega Perfil">
      <calculatedColumnFormula>MATCH(CONTROL[[#This Row],[BODEGA]]&amp;CONTROL[[#This Row],[Perfil]],Tabla_ArchivosBodegas[BodegaPerfil],0)</calculatedColumnFormula>
    </tableColumn>
    <tableColumn id="126" name="Condicion aumentar buffer">
      <calculatedColumnFormula>CONTROL[[#This Row],[Rojo Acum]]&gt;=CONTROL[[#This Row],[Zona Amar]]</calculatedColumnFormula>
    </tableColumn>
    <tableColumn id="128" name="No es Gris">
      <calculatedColumnFormula>CONTROL[[#This Row],[Color]]&lt;&gt;"G"</calculatedColumnFormula>
    </tableColumn>
    <tableColumn id="121" name="Columnas Horizonte">
      <calculatedColumnFormula>COLUMNS(INDIRECT("CONTROL[@["&amp;TEXT(CONTROL[[#This Row],[Inicio Per]],"dd/mm/yyyy")&amp;"]:["&amp;TEXT(CONTROL[[#This Row],[Fin Per]],"dd/mm/yyyy")&amp;"]]"))</calculatedColumnFormula>
    </tableColumn>
    <tableColumn id="50" name="Recupera Inv Fis"/>
    <tableColumn id="100" name="Recupera Inv Fis2">
      <calculatedColumnFormula array="1">IF(IDIOMA="Inglés",SUMPRODUCT((--(CONTROL[[#This Row],[BODEGA]]=tblRecupBuffHist[BODEGA]))*(--(CONTROL[[#This Row],[CODIGO]]=tblRecupBuffHist[CODIGO]))*(--((INDIRECT("CONTROL[[#Headers]"&amp;sep_lis&amp;"[01/03/2013]]")*1)=1*tblRecupBuffHist[FECHA]))*tblRecupBuffHist[InvFisAct]),SUMPRODUCT((--(CONTROL[[#This Row],[BODEGA]]=tblRecupBuffHist[BODEGA]))*(--(CONTROL[[#This Row],[CODIGO]]=tblRecupBuffHist[CODIGO]))*(--((INDIRECT("CONTROL[[#Encabezados]"&amp;sep_lis&amp;"[01/03/2013]]")*1)=1*tblRecupBuffHist[FECHA]))*tblRecupBuffHist[InvFisAct]))</calculatedColumnFormula>
    </tableColumn>
  </tableColumns>
  <tableStyleInfo name="TableStyleLight1" showFirstColumn="0" showLastColumn="0" showRowStripes="1" showColumnStripes="0"/>
</table>
</file>

<file path=xl/tables/table3.xml><?xml version="1.0" encoding="utf-8"?>
<table xmlns="http://schemas.openxmlformats.org/spreadsheetml/2006/main" id="56" name="tbl_inventario_con_descripciones" displayName="tbl_inventario_con_descripciones" ref="A1:BF2" insertRow="1" totalsRowShown="0">
  <autoFilter ref="A1:BF2"/>
  <tableColumns count="58">
    <tableColumn id="1" name="COD_EMPRESA_e" dataDxfId="275"/>
    <tableColumn id="2" name="EMPRESA_e" dataDxfId="274"/>
    <tableColumn id="3" name="COD_BODEGA_b" dataDxfId="273"/>
    <tableColumn id="4" name="BODEGA_b" dataDxfId="272"/>
    <tableColumn id="5" name="COD_PRODUCTO_ii" dataDxfId="271"/>
    <tableColumn id="6" name="BODEGA_CODIGO" dataDxfId="270"/>
    <tableColumn id="7" name="COD_VINCULADO_ip" dataDxfId="269"/>
    <tableColumn id="8" name="COD_GENERICO_ip" dataDxfId="268"/>
    <tableColumn id="9" name="COD_PROMOCION_ip" dataDxfId="267"/>
    <tableColumn id="10" name="DESCRIPCION" dataDxfId="266"/>
    <tableColumn id="11" name="COD_GRUPO_ip" dataDxfId="265"/>
    <tableColumn id="12" name="GRUPO_ip" dataDxfId="264"/>
    <tableColumn id="13" name="COD_LINEA_ip" dataDxfId="263"/>
    <tableColumn id="14" name="LINEA_ip" dataDxfId="262"/>
    <tableColumn id="15" name="COD_SUBLINEA_ip" dataDxfId="261"/>
    <tableColumn id="16" name="SUBLINEA_ip" dataDxfId="260"/>
    <tableColumn id="17" name="COD_MODELO_ip" dataDxfId="259"/>
    <tableColumn id="18" name="MODELO_ip" dataDxfId="258"/>
    <tableColumn id="19" name="COD_FAMILIA_ip" dataDxfId="257"/>
    <tableColumn id="20" name="FAMILIA_ip" dataDxfId="256"/>
    <tableColumn id="21" name="COD_SUBFAMILIA_ip" dataDxfId="255"/>
    <tableColumn id="22" name="SUBFAMILIA_ip" dataDxfId="254"/>
    <tableColumn id="23" name="COD_CATEGORIA_ip" dataDxfId="253"/>
    <tableColumn id="24" name="CATEGORIA_ip" dataDxfId="252"/>
    <tableColumn id="25" name="COD_TIPO_ip" dataDxfId="251"/>
    <tableColumn id="26" name="TIPO_ip" dataDxfId="250"/>
    <tableColumn id="27" name="COD_MARCA_ip" dataDxfId="249"/>
    <tableColumn id="28" name="MARCA_ip" dataDxfId="248"/>
    <tableColumn id="29" name="COD_CAT_MANAGEMENT_ip" dataDxfId="247"/>
    <tableColumn id="30" name="CAT_MANAGEMENT_ip" dataDxfId="246"/>
    <tableColumn id="31" name="TIPO_REPOSICION_ip" dataDxfId="245"/>
    <tableColumn id="32" name="PESO_ip"/>
    <tableColumn id="33" name="UNIDAD_PESO_ip"/>
    <tableColumn id="34" name="VOLUMEN_ip"/>
    <tableColumn id="35" name="UNIDAD_VOLUMEN_ip"/>
    <tableColumn id="36" name="PRO_ACTIVO_ip"/>
    <tableColumn id="37" name="CONTROL_BUFFER_ip"/>
    <tableColumn id="38" name="PRECIO_ip"/>
    <tableColumn id="39" name="CTV_ip"/>
    <tableColumn id="40" name="TRUPUT_TOTAL_ip"/>
    <tableColumn id="41" name="FECHA_DESCONTINUADO_ip" dataDxfId="244"/>
    <tableColumn id="42" name="UNIDAD_ip"/>
    <tableColumn id="43" name="ESTATUS_ip"/>
    <tableColumn id="44" name="CLASIFICACION_ip"/>
    <tableColumn id="45" name="RESPONSABLE_ip"/>
    <tableColumn id="46" name="PRECIO PROMOCION_ip"/>
    <tableColumn id="47" name="PROMOCION_DESDE_ip"/>
    <tableColumn id="48" name="PROMOCION_HASTA_ip"/>
    <tableColumn id="58" name="NUEVO_ip" dataDxfId="243" dataCellStyle="Normal 5"/>
    <tableColumn id="49" name="FISICO_ii"/>
    <tableColumn id="50" name="TRANSITO_ii"/>
    <tableColumn id="51" name="NEGOCIACION_ii"/>
    <tableColumn id="52" name="PRODUCCION_ii"/>
    <tableColumn id="53" name="EMBARCADO_ii"/>
    <tableColumn id="54" name="COMPROMETIDO_ii"/>
    <tableColumn id="55" name="BACKORDER-ii"/>
    <tableColumn id="56" name="PROYECTADO_calc"/>
    <tableColumn id="57" name="CONSUMO_ic" dataCellStyle="Normal 5"/>
  </tableColumns>
  <tableStyleInfo name="TableStyleLight21" showFirstColumn="0" showLastColumn="0" showRowStripes="1" showColumnStripes="0"/>
</table>
</file>

<file path=xl/tables/table4.xml><?xml version="1.0" encoding="utf-8"?>
<table xmlns="http://schemas.openxmlformats.org/spreadsheetml/2006/main" id="47" name="Tabla_Transito_Detallado" displayName="Tabla_Transito_Detallado" ref="A1:N2" totalsRowShown="0">
  <autoFilter ref="A1:N2"/>
  <tableColumns count="14">
    <tableColumn id="1" name="CODTRANSFER"/>
    <tableColumn id="8" name="CODIGO"/>
    <tableColumn id="9" name="DESCRIPCION"/>
    <tableColumn id="10" name="GRUPO"/>
    <tableColumn id="11" name="LINEA"/>
    <tableColumn id="2" name="TRANSITO"/>
    <tableColumn id="3" name="ORIGEN"/>
    <tableColumn id="4" name="DESTINO"/>
    <tableColumn id="5" name="REFERENCIA"/>
    <tableColumn id="6" name="FECHAARRIBO"/>
    <tableColumn id="7" name="COSTO"/>
    <tableColumn id="12" name="INVFIS" dataDxfId="242"/>
    <tableColumn id="14" name="INVTRANS" dataDxfId="241"/>
    <tableColumn id="13" name="INVPROY" dataDxfId="240"/>
  </tableColumns>
  <tableStyleInfo name="TableStyleMedium9" showFirstColumn="0" showLastColumn="0" showRowStripes="1" showColumnStripes="0"/>
</table>
</file>

<file path=xl/tables/table5.xml><?xml version="1.0" encoding="utf-8"?>
<table xmlns="http://schemas.openxmlformats.org/spreadsheetml/2006/main" id="48" name="Tabla_Transito_Segmentado" displayName="Tabla_Transito_Segmentado" ref="P1:V1589" totalsRowShown="0" dataCellStyle="Normal 4">
  <autoFilter ref="P1:V1589"/>
  <tableColumns count="7">
    <tableColumn id="1" name="BODEGA" dataCellStyle="Normal 4"/>
    <tableColumn id="2" name="COD_TRANSFER" dataCellStyle="Normal 4"/>
    <tableColumn id="3" name="REFERENCIA" dataCellStyle="Normal 4"/>
    <tableColumn id="4" name="CODIGO" dataCellStyle="Normal 4"/>
    <tableColumn id="5" name="TRANSITO" dataCellStyle="Normal 4"/>
    <tableColumn id="7" name="BOD_COD" dataCellStyle="Normal 4"/>
    <tableColumn id="8" name="TRAN_REF" dataCellStyle="Normal 4"/>
  </tableColumns>
  <tableStyleInfo name="TableStyleMedium10" showFirstColumn="0" showLastColumn="0" showRowStripes="1" showColumnStripes="0"/>
</table>
</file>

<file path=xl/tables/table6.xml><?xml version="1.0" encoding="utf-8"?>
<table xmlns="http://schemas.openxmlformats.org/spreadsheetml/2006/main" id="49" name="Transferencias_Unicas" displayName="Transferencias_Unicas" ref="X1:Z8" totalsRowShown="0" dataCellStyle="Normal 4">
  <autoFilter ref="X1:Z8"/>
  <tableColumns count="3">
    <tableColumn id="1" name="COD_TRANSF" dataCellStyle="Normal 4"/>
    <tableColumn id="2" name="REFERENCIA" dataCellStyle="Normal 4"/>
    <tableColumn id="4" name="TRAN_REF" dataCellStyle="Normal 4"/>
  </tableColumns>
  <tableStyleInfo name="TableStyleMedium13" showFirstColumn="0" showLastColumn="0" showRowStripes="1" showColumnStripes="0"/>
</table>
</file>

<file path=xl/tables/table7.xml><?xml version="1.0" encoding="utf-8"?>
<table xmlns="http://schemas.openxmlformats.org/spreadsheetml/2006/main" id="55" name="Tabla_Transito_Tiempo_Suministro" displayName="Tabla_Transito_Tiempo_Suministro" ref="AB1:AF4867" totalsRowShown="0" dataCellStyle="Normal 4">
  <autoFilter ref="AB1:AF4867"/>
  <tableColumns count="5">
    <tableColumn id="1" name="BOD_COD" dataCellStyle="Normal 4"/>
    <tableColumn id="2" name="COD_TRANSFER" dataCellStyle="Normal 4"/>
    <tableColumn id="3" name="FECHA_DE" dataCellStyle="Normal 4"/>
    <tableColumn id="4" name="FECHA_HASTA" dataCellStyle="Normal 4"/>
    <tableColumn id="5" name="ESTATUS" dataCellStyle="Normal 4"/>
  </tableColumns>
  <tableStyleInfo name="TableStyleMedium11" showFirstColumn="0" showLastColumn="0" showRowStripes="1" showColumnStripes="0"/>
</table>
</file>

<file path=xl/tables/table8.xml><?xml version="1.0" encoding="utf-8"?>
<table xmlns="http://schemas.openxmlformats.org/spreadsheetml/2006/main" id="44" name="tbl_transferencia_atrasada" displayName="tbl_transferencia_atrasada" ref="A2:P7" totalsRowShown="0" headerRowDxfId="231">
  <autoFilter ref="A2:P7"/>
  <tableColumns count="16">
    <tableColumn id="15" name="BODEGA"/>
    <tableColumn id="1" name="CODIGO"/>
    <tableColumn id="2" name="DESCRIPCION"/>
    <tableColumn id="3" name="GRUPO"/>
    <tableColumn id="4" name="LINEA"/>
    <tableColumn id="5" name="SUBLINEA"/>
    <tableColumn id="6" name="MODELO"/>
    <tableColumn id="7" name="FAMILIA"/>
    <tableColumn id="8" name="SUBFAMILIA"/>
    <tableColumn id="9" name="CATEGORIA"/>
    <tableColumn id="10" name="TIPO"/>
    <tableColumn id="11" name="MARCA"/>
    <tableColumn id="12" name="FECHA PROGRAMADA" dataDxfId="230"/>
    <tableColumn id="13" name="ULTIMA TRANSFERENCIA" dataDxfId="229"/>
    <tableColumn id="14" name="DIAS ATRASO" dataDxfId="228"/>
    <tableColumn id="16" name="CONTROL"/>
  </tableColumns>
  <tableStyleInfo name="TableStyleLight1" showFirstColumn="0" showLastColumn="0" showRowStripes="1" showColumnStripes="0"/>
</table>
</file>

<file path=xl/tables/table9.xml><?xml version="1.0" encoding="utf-8"?>
<table xmlns="http://schemas.openxmlformats.org/spreadsheetml/2006/main" id="45" name="tbl_transferencia_demorada" displayName="tbl_transferencia_demorada" ref="A2:R3" insertRow="1" totalsRowShown="0" headerRowDxfId="227">
  <autoFilter ref="A2:R3"/>
  <tableColumns count="18">
    <tableColumn id="15" name="BODEGA"/>
    <tableColumn id="1" name="CODIGO"/>
    <tableColumn id="2" name="DESCRIPCION"/>
    <tableColumn id="3" name="GRUPO"/>
    <tableColumn id="4" name="LINEA"/>
    <tableColumn id="5" name="SUBLINEA"/>
    <tableColumn id="6" name="MODELO"/>
    <tableColumn id="7" name="FAMILIA"/>
    <tableColumn id="8" name="SUBFAMILIA"/>
    <tableColumn id="9" name="CATEGORIA"/>
    <tableColumn id="10" name="TIPO"/>
    <tableColumn id="11" name="MARCA"/>
    <tableColumn id="12" name="INICIO ULTIMA TRANSFERENCIA" dataDxfId="226"/>
    <tableColumn id="13" name="FIN ULTIMA TRANSFERENCIA" dataDxfId="225"/>
    <tableColumn id="14" name="DIAS ULTIMA TRANSFERENCIA" dataDxfId="224"/>
    <tableColumn id="16" name="DIAS TIEMPO SUMINISTRO" dataDxfId="223"/>
    <tableColumn id="17" name="DIAS ATRASO" dataDxfId="222"/>
    <tableColumn id="18" name="CONTROL" dataDxfId="221"/>
  </tableColumns>
  <tableStyleInfo name="TableStyleLight2" showFirstColumn="0" showLastColumn="0" showRowStripes="1" showColumnStripes="0"/>
</table>
</file>

<file path=xl/tables/table10.xml><?xml version="1.0" encoding="utf-8"?>
<table xmlns="http://schemas.openxmlformats.org/spreadsheetml/2006/main" id="43" name="Tabla_Duplicados" displayName="Tabla_Duplicados" ref="A1:E2" insertRow="1" totalsRowShown="0" dataDxfId="220">
  <autoFilter ref="A1:E2"/>
  <tableColumns count="5">
    <tableColumn id="1" name="EMPRESA" dataDxfId="219"/>
    <tableColumn id="2" name="BODEGA" dataDxfId="218"/>
    <tableColumn id="3" name="CODIGO" dataDxfId="217"/>
    <tableColumn id="4" name="DESCRIPCIÓN" dataDxfId="216"/>
    <tableColumn id="5" name="HOJA CB" dataDxfId="215"/>
  </tableColumns>
  <tableStyleInfo name="TableStyleMedium9" showFirstColumn="0" showLastColumn="0" showRowStripes="1" showColumnStripes="0"/>
</table>
</file>

<file path=xl/tables/table11.xml><?xml version="1.0" encoding="utf-8"?>
<table xmlns="http://schemas.openxmlformats.org/spreadsheetml/2006/main" id="40" name="tbl_Redondeo_Pedido_Minimo" displayName="tbl_Redondeo_Pedido_Minimo" ref="A1:D2" totalsRowShown="0">
  <autoFilter ref="A1:D2"/>
  <tableColumns count="4">
    <tableColumn id="1" name="Nombre"/>
    <tableColumn id="2" name="Campo"/>
    <tableColumn id="3" name="Categoría"/>
    <tableColumn id="4" name="Porcentaje"/>
  </tableColumns>
  <tableStyleInfo name="TableStyleLight1" showFirstColumn="0" showLastColumn="0" showRowStripes="1" showColumnStripes="0"/>
</table>
</file>

<file path=xl/tables/table12.xml><?xml version="1.0" encoding="utf-8"?>
<table xmlns="http://schemas.openxmlformats.org/spreadsheetml/2006/main" id="42" name="tbl_Nombres_Redondeo_Pedido_Minimo" displayName="tbl_Nombres_Redondeo_Pedido_Minimo" ref="F1:F2" totalsRowShown="0" headerRowDxfId="214">
  <autoFilter ref="F1:F2"/>
  <tableColumns count="1">
    <tableColumn id="1" name="NombreUnico"/>
  </tableColumns>
  <tableStyleInfo name="TableStyleMedium9" showFirstColumn="0" showLastColumn="0" showRowStripes="1" showColumnStripes="0"/>
</table>
</file>

<file path=xl/tables/table13.xml><?xml version="1.0" encoding="utf-8"?>
<table xmlns="http://schemas.openxmlformats.org/spreadsheetml/2006/main" id="1" name="TIPO" displayName="TIPO" ref="A40:A44" totalsRowShown="0" headerRowDxfId="208" dataDxfId="207">
  <autoFilter ref="A40:A44"/>
  <tableColumns count="1">
    <tableColumn id="1" name="TIPO" dataDxfId="206"/>
  </tableColumns>
  <tableStyleInfo name="TableStyleMedium9" showFirstColumn="0" showLastColumn="0" showRowStripes="1" showColumnStripes="0"/>
</table>
</file>

<file path=xl/tables/table14.xml><?xml version="1.0" encoding="utf-8"?>
<table xmlns="http://schemas.openxmlformats.org/spreadsheetml/2006/main" id="33" name="Tabla_Parametros_Nivel_Servicio" displayName="Tabla_Parametros_Nivel_Servicio" ref="A52:C53" totalsRowShown="0">
  <autoFilter ref="A52:C53"/>
  <tableColumns count="3">
    <tableColumn id="4" name="FECHAFIN" dataDxfId="205">
      <calculatedColumnFormula>HOY</calculatedColumnFormula>
    </tableColumn>
    <tableColumn id="5" name="FECHAINI" dataDxfId="204">
      <calculatedColumnFormula>Tabla_Parametros_Nivel_Servicio[FECHAFIN]-Tabla_Parametros_Nivel_Servicio[DÍAS NIVEL SERVICIO]</calculatedColumnFormula>
    </tableColumn>
    <tableColumn id="1" name="DÍAS NIVEL SERVICIO" dataDxfId="203">
      <calculatedColumnFormula>AVERAGE(Tabla_ArchivosBodegas[T NIV SER (DIAS)])</calculatedColumnFormula>
    </tableColumn>
  </tableColumns>
  <tableStyleInfo name="TableStyleDark5" showFirstColumn="0" showLastColumn="0" showRowStripes="1" showColumnStripes="0"/>
</table>
</file>

<file path=xl/tables/table15.xml><?xml version="1.0" encoding="utf-8"?>
<table xmlns="http://schemas.openxmlformats.org/spreadsheetml/2006/main" id="28" name="Observaciones_Notables" displayName="Observaciones_Notables" ref="AA1:AA20" dataDxfId="202">
  <autoFilter ref="AA1:AA20"/>
  <tableColumns count="1">
    <tableColumn id="1" name="Observaciones" totalsRowFunction="custom" dataDxfId="201" totalsRowDxfId="200">
      <totalsRowFormula>IF(COUNTA(tbl_transferencia_demorada[CODIGO])&gt;0,"Se incumple t suministro","")</totalsRowFormula>
    </tableColumn>
  </tableColumns>
  <tableStyleInfo name="TableStyleMedium9" showFirstColumn="0" showLastColumn="0" showRowStripes="1" showColumnStripes="0"/>
</table>
</file>

<file path=xl/tables/table16.xml><?xml version="1.0" encoding="utf-8"?>
<table xmlns="http://schemas.openxmlformats.org/spreadsheetml/2006/main" id="52" name="tbl_Borra_Campo_Periodo" displayName="tbl_Borra_Campo_Periodo" ref="AL1:AP2" insertRow="1" totalsRowShown="0" headerRowDxfId="199">
  <autoFilter ref="AL1:AP2"/>
  <tableColumns count="5">
    <tableColumn id="1" name="Fecha" dataDxfId="198"/>
    <tableColumn id="2" name="Ult Cambio" dataDxfId="197">
      <calculatedColumnFormula>IFERROR(MATCH(tbl_Borra_Campo_Periodo[[#This Row],[Fecha]]*1,CONTROL[Ult Cambio],0),0)</calculatedColumnFormula>
    </tableColumn>
    <tableColumn id="3" name="Archivos Bodega" dataDxfId="196">
      <calculatedColumnFormula array="1">IFERROR(MATCH(tbl_Borra_Campo_Periodo[[#This Row],[Fecha]]*1,--Tabla_ArchivosBodegas[INICIO_HORIZONTE],0),0)</calculatedColumnFormula>
    </tableColumn>
    <tableColumn id="4" name="Min Inicio" dataDxfId="195">
      <calculatedColumnFormula>IFERROR(MATCH(tbl_Borra_Campo_Periodo[[#This Row],[Fecha]]*1,MININICIO,0),0)</calculatedColumnFormula>
    </tableColumn>
    <tableColumn id="5" name="sum" dataDxfId="194">
      <calculatedColumnFormula>SUM(tbl_Borra_Campo_Periodo[[#This Row],[Ult Cambio]:[Min Inicio]])</calculatedColumnFormula>
    </tableColumn>
  </tableColumns>
  <tableStyleInfo name="TableStyleMedium9" showFirstColumn="0" showLastColumn="0" showRowStripes="1" showColumnStripes="0"/>
</table>
</file>

<file path=xl/tables/table17.xml><?xml version="1.0" encoding="utf-8"?>
<table xmlns="http://schemas.openxmlformats.org/spreadsheetml/2006/main" id="13" name="Tabla_Empresa" displayName="Tabla_Empresa" ref="A1:AB2" totalsRowShown="0">
  <autoFilter ref="A1:AB2"/>
  <tableColumns count="28">
    <tableColumn id="1" name="BODEGA"/>
    <tableColumn id="2" name="ARCHIVO">
      <calculatedColumnFormula>NOMBREWORKBOOK</calculatedColumnFormula>
    </tableColumn>
    <tableColumn id="20" name="PATH">
      <calculatedColumnFormula>DIRPATHCOMPLETO</calculatedColumnFormula>
    </tableColumn>
    <tableColumn id="3" name="PRIMER DIA">
      <calculatedColumnFormula>PRIMER_CAMPO</calculatedColumnFormula>
    </tableColumn>
    <tableColumn id="4" name="ULTIMO DIA">
      <calculatedColumnFormula>OFFSET(PRIMER_CAMPO,0,COUNTIF(CONTROL[#Headers],"*/*")-1,1,1)</calculatedColumnFormula>
    </tableColumn>
    <tableColumn id="7" name="DIAS PERIODO">
      <calculatedColumnFormula>COLUMNS(HORIZONTE)</calculatedColumnFormula>
    </tableColumn>
    <tableColumn id="5" name="HOY" dataDxfId="193">
      <calculatedColumnFormula>HOY</calculatedColumnFormula>
    </tableColumn>
    <tableColumn id="6" name="DIAS FIN PERIODO">
      <calculatedColumnFormula>Tabla_Empresa[ULTIMO DIA]-Tabla_Empresa[HOY]</calculatedColumnFormula>
    </tableColumn>
    <tableColumn id="8" name="ITEMS TOTALES">
      <calculatedColumnFormula>ROWS(CONTROL[])</calculatedColumnFormula>
    </tableColumn>
    <tableColumn id="9" name="ITEMS CONTROL BUFFERS">
      <calculatedColumnFormula>SUMPRODUCT(--(CONTROL[Buff Act]&gt;0))</calculatedColumnFormula>
    </tableColumn>
    <tableColumn id="10" name="EMPRESA">
      <calculatedColumnFormula>INDEX(Tabla_ArchivosCB[EMPRESA],MATCH(DIRPATHCOMPLETO,Tabla_ArchivosCB[PATH],0),1)</calculatedColumnFormula>
    </tableColumn>
    <tableColumn id="11" name="PROVEEDOR"/>
    <tableColumn id="12" name="COSTO BUFFER">
      <calculatedColumnFormula>SUMPRODUCT(CONTROL[Buff Act],CONTROL[CTV])</calculatedColumnFormula>
    </tableColumn>
    <tableColumn id="13" name="COSTO TOTAL">
      <calculatedColumnFormula>SUMPRODUCT((CONTROL[Inv Fís Act]+CONTROL[Tráns Act]),CONTROL[CTV])</calculatedColumnFormula>
    </tableColumn>
    <tableColumn id="14" name="COSTO FISICO">
      <calculatedColumnFormula>SUMPRODUCT((CONTROL[Inv Fís Act]),CONTROL[CTV])</calculatedColumnFormula>
    </tableColumn>
    <tableColumn id="15" name="COSTO TRANSITO">
      <calculatedColumnFormula>SUMPRODUCT(CONTROL[Tráns Act],CONTROL[CTV])</calculatedColumnFormula>
    </tableColumn>
    <tableColumn id="16" name="ERRORES PERIODO"/>
    <tableColumn id="17" name="REFRESCADA"/>
    <tableColumn id="18" name="FECHA REFRESCADO" dataDxfId="192"/>
    <tableColumn id="19" name="CAMPOS">
      <calculatedColumnFormula>COUNTA(CONTROL[#Headers])</calculatedColumnFormula>
    </tableColumn>
    <tableColumn id="21" name="DUPLICADOS">
      <calculatedColumnFormula>COUNTA(Tabla_Duplicados[EMPRESA])</calculatedColumnFormula>
    </tableColumn>
    <tableColumn id="22" name="INICIO REFRESCADO" dataDxfId="191"/>
    <tableColumn id="23" name="TIPO REFRESCADO"/>
    <tableColumn id="24" name="SUBIR BASE DATOS"/>
    <tableColumn id="25" name="COSTO COMPROMETIDO">
      <calculatedColumnFormula>SUMPRODUCT(CONTROL[Comprom],CONTROL[CTV])</calculatedColumnFormula>
    </tableColumn>
    <tableColumn id="26" name="COSTO BACKORDER">
      <calculatedColumnFormula>SUMPRODUCT(CONTROL[Backorders],CONTROL[CTV])</calculatedColumnFormula>
    </tableColumn>
    <tableColumn id="27" name="COSTO PROYECTADO">
      <calculatedColumnFormula>SUMPRODUCT(CONTROL[Inv Proy Act],CONTROL[CTV])</calculatedColumnFormula>
    </tableColumn>
    <tableColumn id="28" name="ALERTAS">
      <calculatedColumnFormula>SUMPRODUCT(--(Observaciones_Notables[Observaciones]&lt;&gt;""))</calculatedColumnFormula>
    </tableColumn>
  </tableColumns>
  <tableStyleInfo name="TableStyleDark9" showFirstColumn="0" showLastColumn="0" showRowStripes="1" showColumnStripes="0"/>
</table>
</file>

<file path=xl/tables/table18.xml><?xml version="1.0" encoding="utf-8"?>
<table xmlns="http://schemas.openxmlformats.org/spreadsheetml/2006/main" id="32" name="Tabla_Unos_y_Ceros" displayName="Tabla_Unos_y_Ceros" ref="C11:C13" totalsRowShown="0">
  <autoFilter ref="C11:C13"/>
  <tableColumns count="1">
    <tableColumn id="1" name="Unos y Ceros"/>
  </tableColumns>
  <tableStyleInfo name="TableStyleMedium9" showFirstColumn="0" showLastColumn="0" showRowStripes="1" showColumnStripes="0"/>
</table>
</file>

<file path=xl/tables/table19.xml><?xml version="1.0" encoding="utf-8"?>
<table xmlns="http://schemas.openxmlformats.org/spreadsheetml/2006/main" id="8" name="Tabla_Errores" displayName="Tabla_Errores" ref="E1:F22">
  <autoFilter ref="E1:F22"/>
  <tableColumns count="2">
    <tableColumn id="1" name="Descripción" totalsRowFunction="custom">
      <totalsRowFormula>"Es necesario insertar la fecha "&amp;TEXT(Tabla_Errores[[#Totals],[Error]],"dd/mm/yyyy")&amp;" en el Período"</totalsRowFormula>
    </tableColumn>
    <tableColumn id="2" name="Error" totalsRowFunction="custom">
      <totalsRowFormula array="1">IFERROR(INDEX(CONTROL[Ult Cambio],MATCH("-",IFERROR(MATCH(CONTROL[Ult Cambio],HORIZONTE*1,0),"-"),0)),"")</totalsRowFormula>
    </tableColumn>
  </tableColumns>
  <tableStyleInfo name="TableStyleLight2" showFirstColumn="0" showLastColumn="0" showRowStripes="1" showColumnStripes="0"/>
</table>
</file>

<file path=xl/tables/table20.xml><?xml version="1.0" encoding="utf-8"?>
<table xmlns="http://schemas.openxmlformats.org/spreadsheetml/2006/main" id="25" name="Tabla_Empresa_Activa" displayName="Tabla_Empresa_Activa" ref="A1:C2" totalsRowShown="0" headerRowDxfId="189">
  <autoFilter ref="A1:C2"/>
  <tableColumns count="3">
    <tableColumn id="1" name="CODIGO"/>
    <tableColumn id="2" name="NOMBRE"/>
    <tableColumn id="3" name="NOMBRE_COMPLETO"/>
  </tableColumns>
  <tableStyleInfo name="TableStyleMedium8" showFirstColumn="0" showLastColumn="0" showRowStripes="1" showColumnStripes="0"/>
</table>
</file>

<file path=xl/tables/table21.xml><?xml version="1.0" encoding="utf-8"?>
<table xmlns="http://schemas.openxmlformats.org/spreadsheetml/2006/main" id="30" name="Tabla_ArchivosCB" displayName="Tabla_ArchivosCB" ref="A1:E3" totalsRowShown="0">
  <autoFilter ref="A1:E3"/>
  <tableColumns count="5">
    <tableColumn id="1" name="EMPRESA"/>
    <tableColumn id="3" name="ARCHIVO"/>
    <tableColumn id="9" name="PATH"/>
    <tableColumn id="8" name="TabARCHIVO"/>
    <tableColumn id="2" name="COD_EMPRESA" dataDxfId="188"/>
  </tableColumns>
  <tableStyleInfo name="TableStyleMedium18" showFirstColumn="0" showLastColumn="0" showRowStripes="1" showColumnStripes="0"/>
</table>
</file>

<file path=xl/tables/table22.xml><?xml version="1.0" encoding="utf-8"?>
<table xmlns="http://schemas.openxmlformats.org/spreadsheetml/2006/main" id="20" name="Tabla_ArchivosBodegas" displayName="Tabla_ArchivosBodegas" ref="A1:X3" totalsRowShown="0">
  <autoFilter ref="A1:X3"/>
  <sortState ref="A2:X12">
    <sortCondition ref="X1:X12"/>
  </sortState>
  <tableColumns count="24">
    <tableColumn id="2" name="BODEGA"/>
    <tableColumn id="1" name="ARCHIVO"/>
    <tableColumn id="9" name="PATH"/>
    <tableColumn id="4" name="FREC REP"/>
    <tableColumn id="5" name="TIEMP SUMINIS"/>
    <tableColumn id="7" name="HORIZONTE"/>
    <tableColumn id="6" name="T NIV SER (DIAS)"/>
    <tableColumn id="3" name="PERFIL"/>
    <tableColumn id="10" name="PORCENT LINEA ROJA"/>
    <tableColumn id="8" name="BodegaPerfil"/>
    <tableColumn id="11" name="COD_BODEGA"/>
    <tableColumn id="12" name="PORCENT PEDID MIN"/>
    <tableColumn id="13" name="TIPO HORIZONTE"/>
    <tableColumn id="14" name="USA PED PROM"/>
    <tableColumn id="15" name="USA_FISICO"/>
    <tableColumn id="16" name="USA_TRANSITO"/>
    <tableColumn id="17" name="USA_COMPROMETIDO"/>
    <tableColumn id="18" name="USA_BACKORDER"/>
    <tableColumn id="19" name="TIPO_TRANSITO"/>
    <tableColumn id="20" name="TIPO_BACKORDER"/>
    <tableColumn id="21" name="TIPO_COMPROMETIDO"/>
    <tableColumn id="22" name="TIPO_CONSUMO"/>
    <tableColumn id="23" name="INICIO_HORIZONTE" dataDxfId="187">
      <calculatedColumnFormula array="1">IFERROR(INDEX(HORIZONTE,MATCH((HOY-Tabla_ArchivosBodegas[[#This Row],[HORIZONTE]]*7),HORIZONTE*1,0)),INDEX(HORIZONTE,MATCH((HOY-Tabla_ArchivosBodegas[[#This Row],[HORIZONTE]]*7),HORIZONTE*1,1)))</calculatedColumnFormula>
    </tableColumn>
    <tableColumn id="24" name="FALTA_FECHA" dataDxfId="186">
      <calculatedColumnFormula>IFERROR(Tabla_ArchivosBodegas[[#This Row],[INICIO_HORIZONTE]]*1,DATE(YEAR((HOY-Tabla_ArchivosBodegas[[#This Row],[HORIZONTE]]*7)),MONTH((HOY-Tabla_ArchivosBodegas[[#This Row],[HORIZONTE]]*7)),DAY((HOY-Tabla_ArchivosBodegas[[#This Row],[HORIZONTE]]*7))))</calculatedColumnFormula>
    </tableColumn>
  </tableColumns>
  <tableStyleInfo name="TableStyleMedium18" showFirstColumn="0" showLastColumn="0" showRowStripes="1" showColumnStripes="0"/>
</table>
</file>

<file path=xl/tables/table23.xml><?xml version="1.0" encoding="utf-8"?>
<table xmlns="http://schemas.openxmlformats.org/spreadsheetml/2006/main" id="5" name="Tabla_Proveedores" displayName="Tabla_Proveedores" ref="A1:G80" totalsRowShown="0">
  <autoFilter ref="A1:G80"/>
  <tableColumns count="7">
    <tableColumn id="1" name="Bodega"/>
    <tableColumn id="2" name="Proveedor"/>
    <tableColumn id="3" name="Prioridad"/>
    <tableColumn id="4" name="BodegaProveedor" dataDxfId="185"/>
    <tableColumn id="5" name="COD_BODEGA"/>
    <tableColumn id="6" name="COD_PROVEEDOR"/>
    <tableColumn id="7" name="BodegaProveedorPrioridad" dataDxfId="184">
      <calculatedColumnFormula>Tabla_Proveedores[[#This Row],[BodegaProveedor]]&amp;Tabla_Proveedores[[#This Row],[Prioridad]]</calculatedColumnFormula>
    </tableColumn>
  </tableColumns>
  <tableStyleInfo name="TableStyleMedium18" showFirstColumn="0" showLastColumn="0" showRowStripes="1" showColumnStripes="0"/>
</table>
</file>

<file path=xl/tables/table24.xml><?xml version="1.0" encoding="utf-8"?>
<table xmlns="http://schemas.openxmlformats.org/spreadsheetml/2006/main" id="3" name="Tabla_Bodegas_Permitidas" displayName="Tabla_Bodegas_Permitidas" ref="A1:C2" totalsRowShown="0">
  <autoFilter ref="A1:C2"/>
  <tableColumns count="3">
    <tableColumn id="2" name="COD_BODEGA"/>
    <tableColumn id="1" name="BODEGA"/>
    <tableColumn id="3" name="COD_PROVEEDOR" dataDxfId="183">
      <calculatedColumnFormula>IFERROR(INDEX(Tabla_Proveedores[COD_PROVEEDOR],MATCH(Tabla_Bodegas_Permitidas[[#This Row],[COD_BODEGA]],Tabla_Proveedores[COD_BODEGA],0)),0)</calculatedColumnFormula>
    </tableColumn>
  </tableColumns>
  <tableStyleInfo name="TableStyleMedium9" showFirstColumn="0" showLastColumn="0" showRowStripes="1" showColumnStripes="0"/>
</table>
</file>

<file path=xl/tables/table25.xml><?xml version="1.0" encoding="utf-8"?>
<table xmlns="http://schemas.openxmlformats.org/spreadsheetml/2006/main" id="12" name="Tabla_Proveedores_Permitidos" displayName="Tabla_Proveedores_Permitidos" ref="A1:A19" totalsRowShown="0">
  <autoFilter ref="A1:A19"/>
  <tableColumns count="1">
    <tableColumn id="1" name="PROVEEDOR"/>
  </tableColumns>
  <tableStyleInfo name="TableStyleMedium9" showFirstColumn="0" showLastColumn="0" showRowStripes="1" showColumnStripes="0"/>
</table>
</file>

<file path=xl/tables/table26.xml><?xml version="1.0" encoding="utf-8"?>
<table xmlns="http://schemas.openxmlformats.org/spreadsheetml/2006/main" id="4" name="Tabla_Perfiles_Permitidos" displayName="Tabla_Perfiles_Permitidos" ref="A1:A3" totalsRowShown="0">
  <autoFilter ref="A1:A3"/>
  <tableColumns count="1">
    <tableColumn id="1" name="Perfil"/>
  </tableColumns>
  <tableStyleInfo name="TableStyleMedium9" showFirstColumn="0" showLastColumn="0" showRowStripes="1" showColumnStripes="0"/>
</table>
</file>

<file path=xl/tables/table27.xml><?xml version="1.0" encoding="utf-8"?>
<table xmlns="http://schemas.openxmlformats.org/spreadsheetml/2006/main" id="54" name="Tabla_Datos_Codigo" displayName="Tabla_Datos_Codigo" ref="A1:BD2" tableType="queryTable" insertRow="1" totalsRowShown="0">
  <autoFilter ref="A1:BD2"/>
  <tableColumns count="56">
    <tableColumn id="2" uniqueName="2" name="pro_empresa_id" queryTableFieldId="11"/>
    <tableColumn id="3" uniqueName="3" name="pro_codigo" queryTableFieldId="12"/>
    <tableColumn id="4" uniqueName="4" name="pro_codigovinculado" queryTableFieldId="13"/>
    <tableColumn id="5" uniqueName="5" name="pro_codigogenerico" queryTableFieldId="14"/>
    <tableColumn id="6" uniqueName="6" name="pro_codigopromocion" queryTableFieldId="15"/>
    <tableColumn id="7" uniqueName="7" name="pro_descripcion" queryTableFieldId="16"/>
    <tableColumn id="8" uniqueName="8" name="pro_grupo_id" queryTableFieldId="17"/>
    <tableColumn id="9" uniqueName="9" name="pro_grupo" queryTableFieldId="18"/>
    <tableColumn id="10" uniqueName="10" name="pro_linea_id" queryTableFieldId="19"/>
    <tableColumn id="11" uniqueName="11" name="pro_linea" queryTableFieldId="20"/>
    <tableColumn id="12" uniqueName="12" name="pro_sublinea_id" queryTableFieldId="21"/>
    <tableColumn id="13" uniqueName="13" name="pro_sublinea" queryTableFieldId="22"/>
    <tableColumn id="14" uniqueName="14" name="pro_modelo_id" queryTableFieldId="23"/>
    <tableColumn id="15" uniqueName="15" name="pro_modelo" queryTableFieldId="24"/>
    <tableColumn id="1" uniqueName="1" name="pro_familia_id" queryTableFieldId="63"/>
    <tableColumn id="17" uniqueName="17" name="pro_familia" queryTableFieldId="26"/>
    <tableColumn id="18" uniqueName="18" name="pro_subfamilia_id" queryTableFieldId="27"/>
    <tableColumn id="19" uniqueName="19" name="pro_subfamilia" queryTableFieldId="28"/>
    <tableColumn id="20" uniqueName="20" name="pro_categoria_id" queryTableFieldId="29"/>
    <tableColumn id="21" uniqueName="21" name="pro_categoria" queryTableFieldId="30"/>
    <tableColumn id="22" uniqueName="22" name="pro_tipo_id" queryTableFieldId="31"/>
    <tableColumn id="23" uniqueName="23" name="pro_tipo" queryTableFieldId="32"/>
    <tableColumn id="24" uniqueName="24" name="pro_marca_id" queryTableFieldId="33"/>
    <tableColumn id="25" uniqueName="25" name="pro_marca" queryTableFieldId="34"/>
    <tableColumn id="26" uniqueName="26" name="pro_cat_management_id" queryTableFieldId="35"/>
    <tableColumn id="27" uniqueName="27" name="pro_cat_management" queryTableFieldId="36"/>
    <tableColumn id="28" uniqueName="28" name="pro_catpropia1_id" queryTableFieldId="37"/>
    <tableColumn id="29" uniqueName="29" name="pro_catpropia1" queryTableFieldId="38"/>
    <tableColumn id="30" uniqueName="30" name="pro_catpropia2_id" queryTableFieldId="39"/>
    <tableColumn id="31" uniqueName="31" name="pro_catpropia2" queryTableFieldId="40"/>
    <tableColumn id="32" uniqueName="32" name="pro_catpropia3_id" queryTableFieldId="41"/>
    <tableColumn id="33" uniqueName="33" name="pro_catpropia3" queryTableFieldId="42"/>
    <tableColumn id="34" uniqueName="34" name="pro_catpropia4_id" queryTableFieldId="43"/>
    <tableColumn id="35" uniqueName="35" name="pro_catpropia4" queryTableFieldId="44"/>
    <tableColumn id="36" uniqueName="36" name="pro_catpropia5_id" queryTableFieldId="45"/>
    <tableColumn id="37" uniqueName="37" name="pro_catpropia5" queryTableFieldId="46"/>
    <tableColumn id="38" uniqueName="38" name="pro_tiporeposicion" queryTableFieldId="47"/>
    <tableColumn id="39" uniqueName="39" name="pro_peso" queryTableFieldId="48"/>
    <tableColumn id="40" uniqueName="40" name="pro_unidad_peso" queryTableFieldId="49"/>
    <tableColumn id="41" uniqueName="41" name="pro_volumen" queryTableFieldId="50"/>
    <tableColumn id="42" uniqueName="42" name="pro_unidad_volumen" queryTableFieldId="51"/>
    <tableColumn id="43" uniqueName="43" name="pro_activo" queryTableFieldId="52"/>
    <tableColumn id="44" uniqueName="44" name="pro_control_buffer" queryTableFieldId="53"/>
    <tableColumn id="45" uniqueName="45" name="pro_precio" queryTableFieldId="54"/>
    <tableColumn id="46" uniqueName="46" name="pro_costo" queryTableFieldId="55"/>
    <tableColumn id="47" uniqueName="47" name="pro_truput_total" queryTableFieldId="56"/>
    <tableColumn id="48" uniqueName="48" name="pro_fechadescontinuado" queryTableFieldId="57" dataDxfId="182"/>
    <tableColumn id="49" uniqueName="49" name="pro_unidad" queryTableFieldId="58"/>
    <tableColumn id="52" uniqueName="52" name="pro_estatus" queryTableFieldId="62"/>
    <tableColumn id="16" uniqueName="16" name="pro_clasificacion" queryTableFieldId="69"/>
    <tableColumn id="53" uniqueName="53" name="pro_responsable" queryTableFieldId="68"/>
    <tableColumn id="54" uniqueName="54" name="pro_precio_promocion" queryTableFieldId="67"/>
    <tableColumn id="55" uniqueName="55" name="pro_promocion_desde" queryTableFieldId="66"/>
    <tableColumn id="56" uniqueName="56" name="pro_promocion_hasta" queryTableFieldId="65"/>
    <tableColumn id="50" uniqueName="50" name="pro_fecha_actualizacion" queryTableFieldId="59" dataDxfId="181"/>
    <tableColumn id="51" uniqueName="51" name="pro_notas" queryTableFieldId="60"/>
  </tableColumns>
  <tableStyleInfo name="TableStyleDark10" showFirstColumn="0" showLastColumn="0" showRowStripes="1" showColumnStripes="0"/>
</table>
</file>

<file path=xl/tables/table28.xml><?xml version="1.0" encoding="utf-8"?>
<table xmlns="http://schemas.openxmlformats.org/spreadsheetml/2006/main" id="9" name="Tabla_TRANSFERENCIAS" displayName="Tabla_TRANSFERENCIAS" ref="A1:G2" tableType="queryTable" insertRow="1" totalsRowShown="0">
  <autoFilter ref="A1:G2"/>
  <tableColumns count="7">
    <tableColumn id="1" uniqueName="1" name="CODIGO" queryTableFieldId="1"/>
    <tableColumn id="2" uniqueName="2" name="DESTINO" queryTableFieldId="2"/>
    <tableColumn id="4" uniqueName="4" name="TRANSITO" queryTableFieldId="4"/>
    <tableColumn id="5" uniqueName="5" name="ULT FECHA INI" queryTableFieldId="5" dataDxfId="180"/>
    <tableColumn id="3" uniqueName="3" name="ULT FECHA FIN" queryTableFieldId="7"/>
    <tableColumn id="6" uniqueName="6" name="SERVICIO" queryTableFieldId="6"/>
    <tableColumn id="7" uniqueName="7" name="UNIDO" queryTableFieldId="8" dataDxfId="179">
      <calculatedColumnFormula>Tabla_TRANSFERENCIAS[[#This Row],[CODIGO]]&amp;"-"&amp;Tabla_TRANSFERENCIAS[[#This Row],[DESTINO]]</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id="11" name="Tabla_TRANSFERENCIASDE" displayName="Tabla_TRANSFERENCIASDE" ref="I1:L2" tableType="queryTable" insertRow="1" totalsRowShown="0">
  <autoFilter ref="I1:L2"/>
  <tableColumns count="4">
    <tableColumn id="1" uniqueName="1" name="CODIGO" queryTableFieldId="1"/>
    <tableColumn id="2" uniqueName="2" name="ORIGEN" queryTableFieldId="6"/>
    <tableColumn id="3" uniqueName="3" name="CANTIDAD" queryTableFieldId="4" dataDxfId="178"/>
    <tableColumn id="4" uniqueName="4" name="UNIDO" queryTableFieldId="8" dataDxfId="177">
      <calculatedColumnFormula>Tabla_TRANSFERENCIASDE[[#This Row],[CODIGO]]&amp;"-"&amp;Tabla_TRANSFERENCIASDE[[#This Row],[ORIGEN]]</calculatedColumnFormula>
    </tableColumn>
  </tableColumns>
  <tableStyleInfo name="TableStyleMedium3" showFirstColumn="0" showLastColumn="0" showRowStripes="1" showColumnStripes="0"/>
</table>
</file>

<file path=xl/tables/table30.xml><?xml version="1.0" encoding="utf-8"?>
<table xmlns="http://schemas.openxmlformats.org/spreadsheetml/2006/main" id="15" name="Tabla_Comprometidos" displayName="Tabla_Comprometidos" ref="A1:C2" insertRow="1" totalsRowShown="0" headerRowDxfId="176">
  <autoFilter ref="A1:C2"/>
  <tableColumns count="3">
    <tableColumn id="2" name="BODEGA"/>
    <tableColumn id="1" name="CODIGO"/>
    <tableColumn id="3" name="CANTIDAD"/>
  </tableColumns>
  <tableStyleInfo name="TableStyleMedium9" showFirstColumn="0" showLastColumn="0" showRowStripes="1" showColumnStripes="0"/>
</table>
</file>

<file path=xl/tables/table31.xml><?xml version="1.0" encoding="utf-8"?>
<table xmlns="http://schemas.openxmlformats.org/spreadsheetml/2006/main" id="16" name="Tabla_Backorders" displayName="Tabla_Backorders" ref="A1:C2" tableType="queryTable" insertRow="1" totalsRowShown="0" dataDxfId="175">
  <autoFilter ref="A1:C2"/>
  <tableColumns count="3">
    <tableColumn id="4" uniqueName="4" name="BODEGA" queryTableFieldId="4" dataDxfId="174"/>
    <tableColumn id="1" uniqueName="1" name="CODIGO" queryTableFieldId="1" dataDxfId="173"/>
    <tableColumn id="2" uniqueName="2" name="CANTIDAD" queryTableFieldId="2" dataDxfId="172"/>
  </tableColumns>
  <tableStyleInfo name="TableStyleMedium10" showFirstColumn="0" showLastColumn="0" showRowStripes="1" showColumnStripes="0"/>
</table>
</file>

<file path=xl/tables/table32.xml><?xml version="1.0" encoding="utf-8"?>
<table xmlns="http://schemas.openxmlformats.org/spreadsheetml/2006/main" id="29" name="Tabla_ROI_Productos" displayName="Tabla_ROI_Productos" ref="A1:B2" tableType="queryTable" insertRow="1" totalsRowShown="0">
  <autoFilter ref="A1:B2"/>
  <tableColumns count="2">
    <tableColumn id="1" uniqueName="1" name="CODIGO" queryTableFieldId="1"/>
    <tableColumn id="2" uniqueName="2" name="ROI ANUAL" queryTableFieldId="2"/>
  </tableColumns>
  <tableStyleInfo name="TableStyleMedium9" showFirstColumn="0" showLastColumn="0" showRowStripes="1" showColumnStripes="0"/>
</table>
</file>

<file path=xl/tables/table33.xml><?xml version="1.0" encoding="utf-8"?>
<table xmlns="http://schemas.openxmlformats.org/spreadsheetml/2006/main" id="7" name="Tabla_ROIAgroinsumosPT" displayName="Tabla_ROIAgroinsumosPT" ref="D1:E2" tableType="queryTable" insertRow="1" totalsRowShown="0">
  <autoFilter ref="D1:E2"/>
  <tableColumns count="2">
    <tableColumn id="1" uniqueName="1" name="CODIGO" queryTableFieldId="1"/>
    <tableColumn id="2" uniqueName="2" name="ROI" queryTableFieldId="2"/>
  </tableColumns>
  <tableStyleInfo name="TableStyleMedium9" showFirstColumn="0" showLastColumn="0" showRowStripes="1" showColumnStripes="0"/>
</table>
</file>

<file path=xl/tables/table34.xml><?xml version="1.0" encoding="utf-8"?>
<table xmlns="http://schemas.openxmlformats.org/spreadsheetml/2006/main" id="39" name="Tabla_ROIAgroinsumosMP" displayName="Tabla_ROIAgroinsumosMP" ref="G1:H2" tableType="queryTable" insertRow="1" totalsRowShown="0">
  <autoFilter ref="G1:H2"/>
  <tableColumns count="2">
    <tableColumn id="1" uniqueName="1" name="CODIGO" queryTableFieldId="1"/>
    <tableColumn id="2" uniqueName="2" name="ROI" queryTableFieldId="2"/>
  </tableColumns>
  <tableStyleInfo name="TableStyleMedium9" showFirstColumn="0" showLastColumn="0" showRowStripes="1" showColumnStripes="0"/>
</table>
</file>

<file path=xl/tables/table35.xml><?xml version="1.0" encoding="utf-8"?>
<table xmlns="http://schemas.openxmlformats.org/spreadsheetml/2006/main" id="31" name="Tabla_Velocidad_Efectivo" displayName="Tabla_Velocidad_Efectivo" ref="A1:C2" tableType="queryTable" insertRow="1" totalsRowShown="0">
  <autoFilter ref="A1:C2"/>
  <tableColumns count="3">
    <tableColumn id="1" uniqueName="1" name="Empresa" queryTableFieldId="1"/>
    <tableColumn id="2" uniqueName="2" name="Proveedor" queryTableFieldId="10"/>
    <tableColumn id="9" uniqueName="9" name="Ciclo Efectivo" queryTableFieldId="9"/>
  </tableColumns>
  <tableStyleInfo name="TableStyleMedium9" showFirstColumn="0" showLastColumn="0" showRowStripes="1" showColumnStripes="0"/>
</table>
</file>

<file path=xl/tables/table36.xml><?xml version="1.0" encoding="utf-8"?>
<table xmlns="http://schemas.openxmlformats.org/spreadsheetml/2006/main" id="37" name="Tabla_Proveedores_Importacion" displayName="Tabla_Proveedores_Importacion" ref="E1:F2" tableType="queryTable" insertRow="1" totalsRowShown="0">
  <autoFilter ref="E1:F2"/>
  <tableColumns count="2">
    <tableColumn id="1" uniqueName="1" name="CodigoVentaProducto" queryTableFieldId="1"/>
    <tableColumn id="2" uniqueName="2" name="NombreProveedor" queryTableFieldId="2"/>
  </tableColumns>
  <tableStyleInfo name="TableStyleMedium9" showFirstColumn="0" showLastColumn="0" showRowStripes="1" showColumnStripes="0"/>
</table>
</file>

<file path=xl/tables/table37.xml><?xml version="1.0" encoding="utf-8"?>
<table xmlns="http://schemas.openxmlformats.org/spreadsheetml/2006/main" id="38" name="Tabla_Proveedores_Local" displayName="Tabla_Proveedores_Local" ref="H1:I2" tableType="queryTable" insertRow="1" totalsRowShown="0">
  <autoFilter ref="H1:I2"/>
  <tableColumns count="2">
    <tableColumn id="1" uniqueName="1" name="CodigoVentaProducto" queryTableFieldId="1"/>
    <tableColumn id="2" uniqueName="2" name="NombreProveedor" queryTableFieldId="2"/>
  </tableColumns>
  <tableStyleInfo name="TableStyleMedium9" showFirstColumn="0" showLastColumn="0" showRowStripes="1" showColumnStripes="0"/>
</table>
</file>

<file path=xl/tables/table38.xml><?xml version="1.0" encoding="utf-8"?>
<table xmlns="http://schemas.openxmlformats.org/spreadsheetml/2006/main" id="34" name="Tabla_Ultimo_Cambio_Buffer_ODBC" displayName="Tabla_Ultimo_Cambio_Buffer_ODBC" ref="E1:F2" tableType="queryTable" totalsRowShown="0" dataDxfId="171">
  <autoFilter ref="E1:F2"/>
  <tableColumns count="2">
    <tableColumn id="1" uniqueName="1" name="CODIGO" queryTableFieldId="1" dataDxfId="170"/>
    <tableColumn id="2" uniqueName="2" name="FECHA" queryTableFieldId="2" dataDxfId="169"/>
  </tableColumns>
  <tableStyleInfo name="TableStyleMedium9" showFirstColumn="0" showLastColumn="0" showRowStripes="1" showColumnStripes="0"/>
</table>
</file>

<file path=xl/tables/table39.xml><?xml version="1.0" encoding="utf-8"?>
<table xmlns="http://schemas.openxmlformats.org/spreadsheetml/2006/main" id="35" name="Tabla_Ultimo_Cambio_Buffer" displayName="Tabla_Ultimo_Cambio_Buffer" ref="A1:B2" insertRow="1" totalsRowShown="0" headerRowDxfId="168" headerRowBorderDxfId="167">
  <autoFilter ref="A1:B2"/>
  <tableColumns count="2">
    <tableColumn id="1" name="Bodega-Codigo"/>
    <tableColumn id="3" name="FECHA"/>
  </tableColumns>
  <tableStyleInfo name="TableStyleMedium9" showFirstColumn="0" showLastColumn="0" showRowStripes="1" showColumnStripes="0"/>
</table>
</file>

<file path=xl/tables/table40.xml><?xml version="1.0" encoding="utf-8"?>
<table xmlns="http://schemas.openxmlformats.org/spreadsheetml/2006/main" id="6" name="Tabla_Nivel_Servicio" displayName="Tabla_Nivel_Servicio" ref="A1:D2" insertRow="1" totalsRowShown="0" headerRowDxfId="166">
  <autoFilter ref="A1:D2"/>
  <tableColumns count="4">
    <tableColumn id="6" name="Bodega-Codigo" dataDxfId="165"/>
    <tableColumn id="2" name="Servicio"/>
    <tableColumn id="4" name="Ultimo Inicio"/>
    <tableColumn id="5" name="Ultimo Fin"/>
  </tableColumns>
  <tableStyleInfo name="TableStyleMedium9" showFirstColumn="0" showLastColumn="0" showRowStripes="1" showColumnStripes="0"/>
</table>
</file>

<file path=xl/tables/table41.xml><?xml version="1.0" encoding="utf-8"?>
<table xmlns="http://schemas.openxmlformats.org/spreadsheetml/2006/main" id="14" name="Tabla_Causas" displayName="Tabla_Causas" ref="A1:A22" tableType="queryTable" totalsRowShown="0">
  <autoFilter ref="A1:A22"/>
  <tableColumns count="1">
    <tableColumn id="1" uniqueName="1" name="Causa" queryTableFieldId="1"/>
  </tableColumns>
  <tableStyleInfo name="TableStyleMedium9" showFirstColumn="0" showLastColumn="0" showRowStripes="1" showColumnStripes="0"/>
</table>
</file>

<file path=xl/tables/table42.xml><?xml version="1.0" encoding="utf-8"?>
<table xmlns="http://schemas.openxmlformats.org/spreadsheetml/2006/main" id="19" name="tblConsumos" displayName="tblConsumos" ref="A1:B2" insertRow="1" totalsRowShown="0">
  <autoFilter ref="A1:B2"/>
  <tableColumns count="2">
    <tableColumn id="1" name="BODEGA-CODIGO"/>
    <tableColumn id="2" name="CONSUMO"/>
  </tableColumns>
  <tableStyleInfo name="TableStyleMedium9" showFirstColumn="0" showLastColumn="0" showRowStripes="1" showColumnStripes="0"/>
</table>
</file>

<file path=xl/tables/table43.xml><?xml version="1.0" encoding="utf-8"?>
<table xmlns="http://schemas.openxmlformats.org/spreadsheetml/2006/main" id="51" name="Tabla_HORIZONTE" displayName="Tabla_HORIZONTE" ref="A1:A238" totalsRowShown="0" dataDxfId="164" tableBorderDxfId="163">
  <autoFilter ref="A1:A238"/>
  <tableColumns count="1">
    <tableColumn id="1" name="HORIZONTE" dataDxfId="162"/>
  </tableColumns>
  <tableStyleInfo name="TableStyleMedium9" showFirstColumn="0" showLastColumn="0" showRowStripes="1" showColumnStripes="0"/>
</table>
</file>

<file path=xl/tables/table44.xml><?xml version="1.0" encoding="utf-8"?>
<table xmlns="http://schemas.openxmlformats.org/spreadsheetml/2006/main" id="18" name="Tabla_Esta" displayName="Tabla_Esta" ref="A1:H2" totalsRowShown="0" headerRowDxfId="161">
  <autoFilter ref="A1:H2"/>
  <tableColumns count="8">
    <tableColumn id="1" name="CALENDARIO"/>
    <tableColumn id="3" name="INICIO"/>
    <tableColumn id="4" name="PICO"/>
    <tableColumn id="5" name="DECLIVE"/>
    <tableColumn id="6" name="NORMAL"/>
    <tableColumn id="7" name="% CAMBIO"/>
    <tableColumn id="2" name="NUM SUBIDAS"/>
    <tableColumn id="8" name="NUM BAJADAS"/>
  </tableColumns>
  <tableStyleInfo name="TableStyleLight9" showFirstColumn="0" showLastColumn="0" showRowStripes="1" showColumnStripes="0"/>
</table>
</file>

<file path=xl/tables/table45.xml><?xml version="1.0" encoding="utf-8"?>
<table xmlns="http://schemas.openxmlformats.org/spreadsheetml/2006/main" id="26" name="Tabla_Est" displayName="Tabla_Est" ref="A1:BK2" insertRow="1" totalsRowShown="0" headerRowDxfId="160">
  <autoFilter ref="A1:BK2"/>
  <tableColumns count="63">
    <tableColumn id="1" name="CALENDARIO"/>
    <tableColumn id="3" name="INICIO" dataDxfId="159">
      <calculatedColumnFormula>INDEX(Tabla_Esta[INICIO],Tabla_Est[[#This Row],[Coincidir Calendario en Tabla_Est]])</calculatedColumnFormula>
    </tableColumn>
    <tableColumn id="4" name="PICO" dataDxfId="158">
      <calculatedColumnFormula>INDEX(Tabla_Esta[PICO],Tabla_Est[[#This Row],[Coincidir Calendario en Tabla_Est]])</calculatedColumnFormula>
    </tableColumn>
    <tableColumn id="5" name="DECLIVE" dataDxfId="157">
      <calculatedColumnFormula>INDEX(Tabla_Esta[DECLIVE],Tabla_Est[[#This Row],[Coincidir Calendario en Tabla_Est]])</calculatedColumnFormula>
    </tableColumn>
    <tableColumn id="6" name="NORMAL" dataDxfId="156">
      <calculatedColumnFormula>INDEX(Tabla_Esta[NORMAL],Tabla_Est[[#This Row],[Coincidir Calendario en Tabla_Est]])</calculatedColumnFormula>
    </tableColumn>
    <tableColumn id="7" name="% CAMBIO" dataDxfId="155">
      <calculatedColumnFormula>INDEX(Tabla_Esta[% CAMBIO],Tabla_Est[[#This Row],[Coincidir Calendario en Tabla_Est]])</calculatedColumnFormula>
    </tableColumn>
    <tableColumn id="2" name="NUM SUBIDAS" dataDxfId="154">
      <calculatedColumnFormula>INDEX(Tabla_Esta[NUM SUBIDAS],Tabla_Est[[#This Row],[Coincidir Calendario en Tabla_Est]])</calculatedColumnFormula>
    </tableColumn>
    <tableColumn id="8" name="NUM BAJADAS" dataDxfId="153">
      <calculatedColumnFormula>INDEX(Tabla_Esta[NUM BAJADAS],Tabla_Est[[#This Row],[Coincidir Calendario en Tabla_Est]])</calculatedColumnFormula>
    </tableColumn>
    <tableColumn id="11" name="Matriz Ordenada" dataDxfId="152">
      <calculatedColumnFormula>ROW(INDIRECT("A1:A"&amp;Tabla_Est[[#This Row],[Aumentos Posibles]]))</calculatedColumnFormula>
    </tableColumn>
    <tableColumn id="22" name="aux 1" dataDxfId="151">
      <calculatedColumnFormula>IF(Tabla_Est[[#This Row],[Aumentos Posibles]]=Tabla_Est[[#This Row],[NUM SUBIDAS]],1,IF(ROW(INDIRECT("A1:A"&amp;Tabla_Est[[#This Row],[Aumentos Posibles]]))=1,1,IF(MOD(ROW(INDIRECT("A1:A"&amp;Tabla_Est[[#This Row],[Aumentos Posibles]])),Tabla_Est[[#This Row],[Factor Repartición Aumento]])=1,1,0)))</calculatedColumnFormula>
    </tableColumn>
    <tableColumn id="12" name="posición cero" dataDxfId="150">
      <calculatedColumnFormula>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calculatedColumnFormula>
    </tableColumn>
    <tableColumn id="23" name="Matriz K" dataDxfId="149">
      <calculatedColumnFormula array="1">ROW(INDIRECT("A1:A"&amp;Tabla_Est[[#This Row],[NUM SUBIDAS]]-SUM(IF(Tabla_Est[[#This Row],[Aumentos Posibles]]=Tabla_Est[[#This Row],[NUM SUBIDAS]],1,IF(ROW(INDIRECT("A1:A"&amp;Tabla_Est[[#This Row],[Aumentos Posibles]]))=1,1,IF(MOD(ROW(INDIRECT("A1:A"&amp;Tabla_Est[[#This Row],[Aumentos Posibles]])),Tabla_Est[[#This Row],[Factor Repartición Aumento]])=1,1,0))))))</calculatedColumnFormula>
    </tableColumn>
    <tableColumn id="26" name="KesimoMenor" dataDxfId="148">
      <calculatedColumnFormula>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calculatedColumnFormula>
    </tableColumn>
    <tableColumn id="24" name="Coincidir" dataDxfId="147">
      <calculatedColumnFormula>MATCH(IF(IF(Tabla_Est[[#This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Aumento]])=1,1,0))))))),0)</calculatedColumnFormula>
    </tableColumn>
    <tableColumn id="20" name="aux 2" dataDxfId="146">
      <calculatedColumnFormula>IF(ISERROR(MATCH(IF(IF(Tabla_Est[[#This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Aumento]])=1,1,0))))))),0)),0,1)</calculatedColumnFormula>
    </tableColumn>
    <tableColumn id="10" name="Inicio Aumentos" dataDxfId="145">
      <calculatedColumnFormula>IF((Tabla_Est[[#This Row],[INICIO]]-Tabla_Est[[#This Row],[Tiempo Suministro]])&gt;0,(Tabla_Est[[#This Row],[INICIO]]-Tabla_Est[[#This Row],[Tiempo Suministro]]),Tabla_Est[[#This Row],[Últ Semana Año Anterior]]-ABS(Tabla_Est[[#This Row],[INICIO]]-Tabla_Est[[#This Row],[Tiempo Suministro]]))</calculatedColumnFormula>
    </tableColumn>
    <tableColumn id="16" name="Inicio Disminución" dataDxfId="144">
      <calculatedColumnFormula>IF((Tabla_Est[[#This Row],[DECLIVE]]-Tabla_Est[[#This Row],[Tiempo Suministro]])&gt;0,(Tabla_Est[[#This Row],[DECLIVE]]-Tabla_Est[[#This Row],[Tiempo Suministro]]),Tabla_Est[[#This Row],[Últ Semana Año Anterior]]-ABS(Tabla_Est[[#This Row],[DECLIVE]]-Tabla_Est[[#This Row],[Tiempo Suministro]]))</calculatedColumnFormula>
    </tableColumn>
    <tableColumn id="13" name="Fin Aumentos" dataDxfId="143">
      <calculatedColumnFormula>IF((Tabla_Est[[#This Row],[PICO]]-Tabla_Est[[#This Row],[Tiempo Suministro]])&gt;0,(Tabla_Est[[#This Row],[PICO]]-Tabla_Est[[#This Row],[Tiempo Suministro]]),Tabla_Est[[#This Row],[Últ Semana Año Anterior]]-ABS(Tabla_Est[[#This Row],[PICO]]-Tabla_Est[[#This Row],[Tiempo Suministro]]))</calculatedColumnFormula>
    </tableColumn>
    <tableColumn id="17" name="Fin Disminución" dataDxfId="142">
      <calculatedColumnFormula>IF((Tabla_Est[[#This Row],[NORMAL]]-Tabla_Est[[#This Row],[Tiempo Suministro]])&gt;0,(Tabla_Est[[#This Row],[NORMAL]]-Tabla_Est[[#This Row],[Tiempo Suministro]]),Tabla_Est[[#This Row],[Últ Semana Año Anterior]]-ABS(Tabla_Est[[#This Row],[NORMAL]]-Tabla_Est[[#This Row],[Tiempo Suministro]]))</calculatedColumnFormula>
    </tableColumn>
    <tableColumn id="14" name="Duración Aumento" dataDxfId="141">
      <calculatedColumnFormula>IF(Tabla_Est[[#This Row],[Fin Aumentos]]&gt;=Tabla_Est[[#This Row],[Inicio Aumentos]],Tabla_Est[[#This Row],[Fin Aumentos]]-Tabla_Est[[#This Row],[Inicio Aumentos]],Tabla_Est[[#This Row],[Últ Semana Año Anterior]]-ABS(Tabla_Est[[#This Row],[Fin Aumentos]]-Tabla_Est[[#This Row],[Inicio Aumentos]]))</calculatedColumnFormula>
    </tableColumn>
    <tableColumn id="18" name="Duración Disminución" dataDxfId="140">
      <calculatedColumnFormula>IF(Tabla_Est[[#This Row],[Fin Disminución]]&gt;=Tabla_Est[[#This Row],[Inicio Disminución]],Tabla_Est[[#This Row],[Fin Disminución]]-Tabla_Est[[#This Row],[Inicio Disminución]],Tabla_Est[[#This Row],[Últ Semana Año Anterior]]-ABS(Tabla_Est[[#This Row],[Fin Disminución]]-Tabla_Est[[#This Row],[Inicio Disminución]]))</calculatedColumnFormula>
    </tableColumn>
    <tableColumn id="15" name="Aumentos Posibles" dataDxfId="139">
      <calculatedColumnFormula>Tabla_Est[[#This Row],[Duración Aumento]]+1</calculatedColumnFormula>
    </tableColumn>
    <tableColumn id="19" name="Disminuc Posibles" dataDxfId="138">
      <calculatedColumnFormula>Tabla_Est[[#This Row],[Duración Disminución]]+1</calculatedColumnFormula>
    </tableColumn>
    <tableColumn id="21" name="Factor Repartición Aumento" dataDxfId="137">
      <calculatedColumnFormula>ROUNDUP(Tabla_Est[[#This Row],[Aumentos Posibles]]/Tabla_Est[[#This Row],[NUM SUBIDAS]],0)</calculatedColumnFormula>
    </tableColumn>
    <tableColumn id="35" name="Factor Repartición Disminución" dataDxfId="136">
      <calculatedColumnFormula>ROUNDUP(Tabla_Est[[#This Row],[Disminuc Posibles]]/Tabla_Est[[#This Row],[NUM BAJADAS]],0)</calculatedColumnFormula>
    </tableColumn>
    <tableColumn id="25" name="PERIODOS DE AUMENTO" dataDxfId="135">
      <calculatedColumnFormula array="1">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calculatedColumnFormula>
    </tableColumn>
    <tableColumn id="27" name="PERIODOS DE DISMINUCIONES" dataDxfId="134">
      <calculatedColumnFormula>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calculatedColumnFormula>
    </tableColumn>
    <tableColumn id="9" name="En qué aumento estoy?" dataDxfId="133">
      <calculatedColumnFormula>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calculatedColumnFormula>
    </tableColumn>
    <tableColumn id="51" name="En qué disminución estoy?" dataDxfId="132">
      <calculatedColumnFormula>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calculatedColumnFormula>
    </tableColumn>
    <tableColumn id="50" name="Vector Aumentos" dataDxfId="131">
      <calculatedColumnFormula>IF(IF(IF(Tabla_Est[[#This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Posibles]])),0)=0,0,IF((Tabla_Est[[#This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Posibles]])),0)))&lt;=Tabla_Est[[#This Row],[Últ Semana Año Anterior]],(Tabla_Est[[#This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Row],[Últ Semana Año Anterior]]))</calculatedColumnFormula>
    </tableColumn>
    <tableColumn id="28" name="Vector Disminuciones" dataDxfId="130">
      <calculatedColumnFormula>IF(IF(IF(Tabla_Est[[#This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Posibles]])),0)=0,0,IF((Tabla_Est[[#This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Posibles]])),0)))&lt;=Tabla_Est[[#This Row],[Últ Semana Año Anterior]],(Tabla_Est[[#This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Row],[Últ Semana Año Anterior]]))</calculatedColumnFormula>
    </tableColumn>
    <tableColumn id="53" name="Aux Avisos Aumentos" dataDxfId="129">
      <calculatedColumnFormula array="1">IFERROR(MATCH(Tabla_Est[[#This Row],[Semana Hoy]],IF(IF(IF(Tabla_Est[[#This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Posibles]])),0)=0,0,IF((Tabla_Est[[#This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Posibles]])),0)))&lt;=Tabla_Est[[#This Row],[Últ Semana Año Anterior]],(Tabla_Est[[#This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Row],[Últ Semana Año Anterior]])),0),"No")</calculatedColumnFormula>
    </tableColumn>
    <tableColumn id="52" name="Aux Avisos Disminuciones" dataDxfId="128">
      <calculatedColumnFormula array="1">IFERROR(MATCH(Tabla_Est[[#This Row],[Semana Hoy]],IF(IF(IF(Tabla_Est[[#This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Posibles]])),0)=0,0,IF((Tabla_Est[[#This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Posibles]])),0)))&lt;=Tabla_Est[[#This Row],[Últ Semana Año Anterior]],(Tabla_Est[[#This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Row],[Últ Semana Año Anterior]])),0),"No")</calculatedColumnFormula>
    </tableColumn>
    <tableColumn id="59" name="Vector Ordenado Aumentos" dataDxfId="127">
      <calculatedColumnFormula>IFERROR(MATCH(IF(IF(Tabla_Est[[#This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Posibles]])),0),SMALL(LARGE(IF(IF(Tabla_Est[[#This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Aumento]])=1,1,0))))))),0)),0,1))))),0),0)</calculatedColumnFormula>
    </tableColumn>
    <tableColumn id="60" name="Vector Ordenado Disminuciones" dataDxfId="126">
      <calculatedColumnFormula>IFERROR(MATCH(IF(IF(Tabla_Est[[#This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Posibles]])),0),SMALL(LARGE(IF(IF(Tabla_Est[[#This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Disminución]])=1,1,0))))))),0)),0,1))))),0),0)</calculatedColumnFormula>
    </tableColumn>
    <tableColumn id="55" name="Avisos Aumentos" dataDxfId="125">
      <calculatedColumnFormula array="1">IF(Tabla_Est[[#This Row],[Aux Avisos Aumentos]]="No","No","Aumento # "&amp;INDEX(TRANSPOSE(Numero_Cambio(TRANSPOSE(IF(Tabla_Est[[#This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Aumento]])=1,1,0))))))),0)),0,1)))),Tabla_Est[[#This Row],[Aux Avisos Aumentos]],)&amp;" de "&amp;Tabla_Est[[#This Row],[NUM SUBIDAS]])</calculatedColumnFormula>
    </tableColumn>
    <tableColumn id="54" name="Avisos Disminuciones" dataDxfId="124">
      <calculatedColumnFormula array="1">IF(Tabla_Est[[#This Row],[Aux Avisos Disminuciones]]="No","No","Disminución # "&amp;INDEX(TRANSPOSE(Numero_Cambio(TRANSPOSE(IF(Tabla_Est[[#This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Disminución]])=1,1,0))))))),0)),0,1)))),Tabla_Est[[#This Row],[Aux Avisos Disminuciones]],)&amp;" de "&amp;Tabla_Est[[#This Row],[NUM BAJADAS]])</calculatedColumnFormula>
    </tableColumn>
    <tableColumn id="56" name="Nuevo Avisos Aumentos" dataDxfId="123">
      <calculatedColumnFormula array="1">IF(Tabla_Est[[#This Row],[Aux Avisos Aumentos]]="No","No","Aumento # "&amp;INDEX(IFERROR(MATCH(IF(IF(Tabla_Est[[#This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Posibles]])),0),SMALL(LARGE(IF(IF(Tabla_Est[[#This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Aumento]])=1,1,0))))))),0)),0,1))))),0),0),Tabla_Est[[#This Row],[Aux Avisos Aumentos]],)&amp;" de "&amp;Tabla_Est[[#This Row],[NUM SUBIDAS]])</calculatedColumnFormula>
    </tableColumn>
    <tableColumn id="58" name="Nuevo Aviso Disminuciones" dataDxfId="122">
      <calculatedColumnFormula array="1">IF(Tabla_Est[[#This Row],[Aux Avisos Disminuciones]]="No","No","Disminución # "&amp;INDEX(IFERROR(MATCH(IF(IF(Tabla_Est[[#This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Posibles]])),0),SMALL(LARGE(IF(IF(Tabla_Est[[#This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Disminución]])=1,1,0))))))),0)),0,1))))),0),0),Tabla_Est[[#This Row],[Aux Avisos Disminuciones]],)&amp;" de "&amp;Tabla_Est[[#This Row],[NUM BAJADAS]])</calculatedColumnFormula>
    </tableColumn>
    <tableColumn id="57" name="Aviso General" dataDxfId="121">
      <calculatedColumnFormula>IF(AND(Tabla_Est[[#This Row],[Nuevo Avisos Aumentos]]="No",Tabla_Est[[#This Row],[Nuevo Aviso Disminuciones]]="No"),"",IF(Tabla_Est[[#This Row],[Nuevo Avisos Aumentos]]&lt;&gt;"No",Tabla_Est[[#This Row],[Nuevo Avisos Aumentos]],IF(Tabla_Est[[#This Row],[Nuevo Aviso Disminuciones]]&lt;&gt;"No",Tabla_Est[[#This Row],[Nuevo Aviso Disminuciones]],"")))</calculatedColumnFormula>
    </tableColumn>
    <tableColumn id="29" name="Aumento Buffer - Fin GDB" dataDxfId="120">
      <calculatedColumnFormula>IF((Tabla_Est[[#This Row],[INICIO]]-Tabla_Est[[#This Row],[Tiempo Suministro]])&gt;0,(Tabla_Est[[#This Row],[INICIO]]-Tabla_Est[[#This Row],[Tiempo Suministro]]),Tabla_Est[[#This Row],[Últ Semana Año Anterior]]-ABS(Tabla_Est[[#This Row],[INICIO]]-Tabla_Est[[#This Row],[Tiempo Suministro]]))</calculatedColumnFormula>
    </tableColumn>
    <tableColumn id="30" name="Buffer Pico" dataDxfId="119">
      <calculatedColumnFormula>ROUND(Tabla_Est[[#This Row],[Buffer Actual]]*(1+Tabla_Est[[#This Row],[% CAMBIO]]),0)</calculatedColumnFormula>
    </tableColumn>
    <tableColumn id="31" name="Primera Reducción" dataDxfId="118">
      <calculatedColumnFormula>IF((Tabla_Est[[#This Row],[DECLIVE]]-Tabla_Est[[#This Row],[Tiempo Suministro]])&gt;0,(Tabla_Est[[#This Row],[DECLIVE]]-Tabla_Est[[#This Row],[Tiempo Suministro]]),Tabla_Est[[#This Row],[Últ Semana Año Anterior]]-ABS(Tabla_Est[[#This Row],[DECLIVE]]-Tabla_Est[[#This Row],[Tiempo Suministro]]))</calculatedColumnFormula>
    </tableColumn>
    <tableColumn id="32" name="Buff Primera Reducción" dataDxfId="117">
      <calculatedColumnFormula>ROUND(AVERAGE(Tabla_Est[[#This Row],[Buffer Pico]],Tabla_Est[[#This Row],[Buffer Actual]]),0)</calculatedColumnFormula>
    </tableColumn>
    <tableColumn id="33" name="Segunda Reducción-Inicio GDB" dataDxfId="116">
      <calculatedColumnFormula>IF((Tabla_Est[[#This Row],[NORMAL]]-Tabla_Est[[#This Row],[Tiempo Suministro]])&gt;0,(Tabla_Est[[#This Row],[NORMAL]]-Tabla_Est[[#This Row],[Tiempo Suministro]]),Tabla_Est[[#This Row],[Últ Semana Año Anterior]]-ABS(Tabla_Est[[#This Row],[NORMAL]]-Tabla_Est[[#This Row],[Tiempo Suministro]]))</calculatedColumnFormula>
    </tableColumn>
    <tableColumn id="34" name="Buff Segunda Reducción" dataDxfId="115">
      <calculatedColumnFormula>Tabla_Est[[#This Row],[Buffer Actual]]</calculatedColumnFormula>
    </tableColumn>
    <tableColumn id="36" name="Semana Hoy" dataDxfId="114">
      <calculatedColumnFormula>WEEKNUM(HOY,2)</calculatedColumnFormula>
    </tableColumn>
    <tableColumn id="37" name="Últ Semana Año Anterior" dataDxfId="113">
      <calculatedColumnFormula>WEEKNUM("31/12/"&amp;YEAR(HOY)-1,2)</calculatedColumnFormula>
    </tableColumn>
    <tableColumn id="38" name="Dentro de Cambios por Estacionalidad?" dataDxfId="112">
      <calculatedColumnFormula>IF((Tabla_Est[[#This Row],[Inicio Aumentos]]&lt;Tabla_Est[[#This Row],[Fin Disminución]]),Tabla_Est[[#This Row],[Periodo Normal]],Tabla_Est[[#This Row],[Periodo Repartido]])</calculatedColumnFormula>
    </tableColumn>
    <tableColumn id="39" name="Periodo Normal" dataDxfId="111">
      <calculatedColumnFormula>IF(AND(Tabla_Est[[#This Row],[Semana Hoy]]&gt;=Tabla_Est[[#This Row],[Inicio Aumentos]],Tabla_Est[[#This Row],[Semana Hoy]]&lt;Tabla_Est[[#This Row],[Fin Disminución]]),1,0)</calculatedColumnFormula>
    </tableColumn>
    <tableColumn id="40" name="Periodo Repartido" dataDxfId="110">
      <calculatedColumnFormula>IF(OR(Tabla_Est[[#This Row],[Semana Hoy]]&gt;=Tabla_Est[[#This Row],[Inicio Aumentos]],Tabla_Est[[#This Row],[Semana Hoy]]&lt;Tabla_Est[[#This Row],[Fin Disminución]]),1,0)</calculatedColumnFormula>
    </tableColumn>
    <tableColumn id="41" name="Está en buffer pico?" dataDxfId="109">
      <calculatedColumnFormula>IF((Tabla_Est[[#This Row],[Inicio Aumentos]]&lt;Tabla_Est[[#This Row],[Primera Reducción]]),Tabla_Est[[#This Row],[Pico Normal]],Tabla_Est[[#This Row],[Pico Especial]])</calculatedColumnFormula>
    </tableColumn>
    <tableColumn id="42" name="Pico Normal" dataDxfId="108">
      <calculatedColumnFormula>IF(AND(Tabla_Est[[#This Row],[Semana Hoy]]&gt;=Tabla_Est[[#This Row],[Inicio Aumentos]],Tabla_Est[[#This Row],[Semana Hoy]]&lt;Tabla_Est[[#This Row],[Primera Reducción]]),1,0)</calculatedColumnFormula>
    </tableColumn>
    <tableColumn id="43" name="Pico Especial" dataDxfId="107">
      <calculatedColumnFormula>IF(OR(Tabla_Est[[#This Row],[Semana Hoy]]&gt;=Tabla_Est[[#This Row],[Inicio Aumentos]],Tabla_Est[[#This Row],[Semana Hoy]]&lt;Tabla_Est[[#This Row],[Primera Reducción]]),1,0)</calculatedColumnFormula>
    </tableColumn>
    <tableColumn id="44" name="Está en primera reducción?" dataDxfId="106">
      <calculatedColumnFormula>IF((Tabla_Est[[#This Row],[Primera Reducción]]&lt;Tabla_Est[[#This Row],[Fin Disminución]]),Tabla_Est[[#This Row],[Primera red normal]],Tabla_Est[[#This Row],[Primera red especial]])</calculatedColumnFormula>
    </tableColumn>
    <tableColumn id="45" name="Primera red normal" dataDxfId="105">
      <calculatedColumnFormula>IF(AND(Tabla_Est[[#This Row],[Semana Hoy]]&gt;=Tabla_Est[[#This Row],[Primera Reducción]],Tabla_Est[[#This Row],[Semana Hoy]]&lt;Tabla_Est[[#This Row],[Fin Disminución]]),1,0)</calculatedColumnFormula>
    </tableColumn>
    <tableColumn id="46" name="Primera red especial" dataDxfId="104">
      <calculatedColumnFormula>IF(OR(Tabla_Est[[#This Row],[Semana Hoy]]&gt;=Tabla_Est[[#This Row],[Primera Reducción]],Tabla_Est[[#This Row],[Semana Hoy]]&lt;Tabla_Est[[#This Row],[Fin Disminución]]),1,0)</calculatedColumnFormula>
    </tableColumn>
    <tableColumn id="47" name="Tiempo Suministro" dataDxfId="103">
      <calculatedColumnFormula>INDEX(Tabla_ArchivosBodegas[TIEMP SUMINIS],MATCH(Tabla_Est[[#This Row],[Perfil]],Tabla_ArchivosBodegas[PERFIL],0))</calculatedColumnFormula>
    </tableColumn>
    <tableColumn id="48" name="Buffer Actual" dataDxfId="102"/>
    <tableColumn id="49" name="Buffer Estacional" dataDxfId="101">
      <calculatedColumnFormula>IF(Tabla_Est[[#This Row],[Dentro de Cambios por Estacionalidad?]]=0,Tabla_Est[[#This Row],[Buffer Actual]],Tabla_Est[[#This Row],[Está en buffer pico?]]*Tabla_Est[[#This Row],[Buffer Pico]]+Tabla_Est[[#This Row],[Está en primera reducción?]]*Tabla_Est[[#This Row],[Buff Primera Reducción]])</calculatedColumnFormula>
    </tableColumn>
    <tableColumn id="61" name="Perfil" dataDxfId="100"/>
    <tableColumn id="62" name="Coincidir Calendario en Tabla_Est" dataDxfId="99">
      <calculatedColumnFormula>MATCH(Tabla_Est[[#This Row],[CALENDARIO]],Tabla_Esta[CALENDARIO],0)</calculatedColumnFormula>
    </tableColumn>
    <tableColumn id="63" name="filas" dataDxfId="98">
      <calculatedColumnFormula>ROW()-ROW(Tabla_Est[[#Headers],[filas]])</calculatedColumnFormula>
    </tableColumn>
  </tableColumns>
  <tableStyleInfo name="TableStyleLight8" showFirstColumn="0" showLastColumn="0" showRowStripes="1" showColumnStripes="0"/>
</table>
</file>

<file path=xl/tables/table46.xml><?xml version="1.0" encoding="utf-8"?>
<table xmlns="http://schemas.openxmlformats.org/spreadsheetml/2006/main" id="50" name="Tabla_Buffers_Cargados" displayName="Tabla_Buffers_Cargados" ref="A1:D2" insertRow="1" totalsRowShown="0">
  <autoFilter ref="A1:D2"/>
  <tableColumns count="4">
    <tableColumn id="1" name="CODIGO"/>
    <tableColumn id="2" name="FECHA" dataDxfId="97"/>
    <tableColumn id="4" name="FECHA1" dataDxfId="96">
      <calculatedColumnFormula>Tabla_Buffers_Cargados[[#This Row],[FECHA]]*1</calculatedColumnFormula>
    </tableColumn>
    <tableColumn id="3" name="BUFFER"/>
  </tableColumns>
  <tableStyleInfo name="TableStyleMedium11" showFirstColumn="0" showLastColumn="0" showRowStripes="1" showColumnStripes="0"/>
</table>
</file>

<file path=xl/tables/table47.xml><?xml version="1.0" encoding="utf-8"?>
<table xmlns="http://schemas.openxmlformats.org/spreadsheetml/2006/main" id="36" name="Tabla_Diccionario_Codigos" displayName="Tabla_Diccionario_Codigos" ref="A1:B2" insertRow="1" totalsRowShown="0">
  <autoFilter ref="A1:B2"/>
  <tableColumns count="2">
    <tableColumn id="1" name="COD ORIGINAL"/>
    <tableColumn id="2" name="COD SUSTITUTO"/>
  </tableColumns>
  <tableStyleInfo name="TableStyleMedium9" showFirstColumn="0" showLastColumn="0" showRowStripes="1" showColumnStripes="0"/>
</table>
</file>

<file path=xl/tables/table48.xml><?xml version="1.0" encoding="utf-8"?>
<table xmlns="http://schemas.openxmlformats.org/spreadsheetml/2006/main" id="17" name="Tabla_Buffers_Historicos" displayName="Tabla_Buffers_Historicos" ref="A1:K46" totalsRowShown="0" headerRowDxfId="17">
  <autoFilter ref="A1:K46">
    <filterColumn colId="0">
      <filters>
        <filter val="Bodega Central Agrota"/>
      </filters>
    </filterColumn>
    <filterColumn colId="1">
      <filters>
        <filter val="10000000974"/>
      </filters>
    </filterColumn>
  </autoFilter>
  <tableColumns count="11">
    <tableColumn id="11" name="Bodega" dataDxfId="16"/>
    <tableColumn id="1" name="Codigo"/>
    <tableColumn id="2" name="Buffer"/>
    <tableColumn id="3" name="Fecha"/>
    <tableColumn id="7" name="InvFis" dataDxfId="15"/>
    <tableColumn id="4" name="InvProyAct" dataDxfId="14"/>
    <tableColumn id="5" name="Zona Amar" dataDxfId="13"/>
    <tableColumn id="6" name="Zona Roj" dataDxfId="12"/>
    <tableColumn id="8" name="Entradas" dataDxfId="11"/>
    <tableColumn id="9" name="Salidas" dataDxfId="10"/>
    <tableColumn id="10" name="Causa" dataDxfId="9"/>
  </tableColumns>
  <tableStyleInfo name="TableStyleMedium8" showFirstColumn="0" showLastColumn="0" showRowStripes="1" showColumnStripes="0"/>
</table>
</file>

<file path=xl/tables/table49.xml><?xml version="1.0" encoding="utf-8"?>
<table xmlns="http://schemas.openxmlformats.org/spreadsheetml/2006/main" id="41" name="ConsHist" displayName="ConsHist" ref="A1:F8" totalsRowShown="0">
  <autoFilter ref="A1:F8"/>
  <tableColumns count="6">
    <tableColumn id="1" name="BODEGA"/>
    <tableColumn id="2" name="CODIGO"/>
    <tableColumn id="3" name="MES"/>
    <tableColumn id="4" name="EGRESOS"/>
    <tableColumn id="5" name="DEVOLUCIONES"/>
    <tableColumn id="6" name="INGRESOS"/>
  </tableColumns>
  <tableStyleInfo name="TableStyleMedium9" showFirstColumn="0" showLastColumn="0" showRowStripes="1" showColumnStripes="0"/>
</table>
</file>

<file path=xl/tables/table50.xml><?xml version="1.0" encoding="utf-8"?>
<table xmlns="http://schemas.openxmlformats.org/spreadsheetml/2006/main" id="53" name="Tabla_Inventario_Fisico_PRUEBA" displayName="Tabla_Inventario_Fisico_PRUEBA" ref="A1:R2" tableType="queryTable" insertRow="1" totalsRowShown="0">
  <autoFilter ref="A1:R2"/>
  <tableColumns count="18">
    <tableColumn id="1" uniqueName="1" name="codigo" queryTableFieldId="1"/>
    <tableColumn id="2" uniqueName="2" name="AGROTACENTRAL" queryTableFieldId="2"/>
    <tableColumn id="3" uniqueName="3" name="CTV" queryTableFieldId="3"/>
    <tableColumn id="4" uniqueName="4" name="PV" queryTableFieldId="4"/>
    <tableColumn id="5" uniqueName="5" name="F5" queryTableFieldId="5"/>
    <tableColumn id="6" uniqueName="6" name="codigo1" queryTableFieldId="6"/>
    <tableColumn id="7" uniqueName="7" name="AGROTACENTRALPROPIA" queryTableFieldId="7"/>
    <tableColumn id="8" uniqueName="8" name="CTV1" queryTableFieldId="8"/>
    <tableColumn id="9" uniqueName="9" name="PV1" queryTableFieldId="9"/>
    <tableColumn id="10" uniqueName="10" name="F10" queryTableFieldId="10"/>
    <tableColumn id="11" uniqueName="11" name="codigo2" queryTableFieldId="11"/>
    <tableColumn id="12" uniqueName="12" name="AGROTAMAXGUAYAQUIL" queryTableFieldId="12"/>
    <tableColumn id="13" uniqueName="13" name="F13" queryTableFieldId="13"/>
    <tableColumn id="14" uniqueName="14" name="codigo3" queryTableFieldId="14"/>
    <tableColumn id="15" uniqueName="15" name="AGROTAPROMACOFI" queryTableFieldId="15"/>
    <tableColumn id="16" uniqueName="16" name="F16" queryTableFieldId="16"/>
    <tableColumn id="17" uniqueName="17" name="codigo4" queryTableFieldId="17"/>
    <tableColumn id="18" uniqueName="18" name="AGROTAEIGUANCHI" queryTableFieldId="18"/>
  </tableColumns>
  <tableStyleInfo name="TableStyleMedium7" showFirstColumn="0" showLastColumn="0" showRowStripes="1" showColumnStripes="0"/>
</table>
</file>

<file path=xl/tables/table51.xml><?xml version="1.0" encoding="utf-8"?>
<table xmlns="http://schemas.openxmlformats.org/spreadsheetml/2006/main" id="24" name="Tabla_Fecha_Cambio_Buffer" displayName="Tabla_Fecha_Cambio_Buffer" ref="A1:C2" insertRow="1" totalsRowShown="0">
  <autoFilter ref="A1:C2"/>
  <tableColumns count="3">
    <tableColumn id="1" name="Codigo"/>
    <tableColumn id="2" name="Fecha" dataDxfId="8"/>
    <tableColumn id="3" name="Buff Act"/>
  </tableColumns>
  <tableStyleInfo name="TableStyleDark2" showFirstColumn="0" showLastColumn="0" showRowStripes="1" showColumnStripes="0"/>
</table>
</file>

<file path=xl/tables/table52.xml><?xml version="1.0" encoding="utf-8"?>
<table xmlns="http://schemas.openxmlformats.org/spreadsheetml/2006/main" id="46" name="Tabla_Fecha_Cambio_Buffer_Calculo" displayName="Tabla_Fecha_Cambio_Buffer_Calculo" ref="F1:I2" insertRow="1" totalsRowShown="0">
  <autoFilter ref="F1:I2"/>
  <tableColumns count="4">
    <tableColumn id="1" name="Codigo"/>
    <tableColumn id="2" name="Ult Fecha" dataDxfId="7"/>
    <tableColumn id="3" name="Ult Buff" dataDxfId="6">
      <calculatedColumnFormula array="1">INDEX(Tabla_Fecha_Cambio_Buffer[Buff Act],MATCH(Tabla_Fecha_Cambio_Buffer_Calculo[[#This Row],[Codigo]]&amp;Tabla_Fecha_Cambio_Buffer_Calculo[[#This Row],[Ult Fecha]],Tabla_Fecha_Cambio_Buffer[Codigo]&amp;Tabla_Fecha_Cambio_Buffer[Fecha],0))</calculatedColumnFormula>
    </tableColumn>
    <tableColumn id="5" name="Ult Cambio Buffer" dataDxfId="5">
      <calculatedColumnFormula array="1">IFERROR(LARGE(--(Tabla_Fecha_Cambio_Buffer_Calculo[[#This Row],[Codigo]]=Tabla_Fecha_Cambio_Buffer[Codigo])*Tabla_Fecha_Cambio_Buffer[Fecha],SUM(--(Tabla_Fecha_Cambio_Buffer_Calculo[[#This Row],[Codigo]]&amp;Tabla_Fecha_Cambio_Buffer_Calculo[[#This Row],[Ult Buff]]=Tabla_Fecha_Cambio_Buffer[Codigo]&amp;Tabla_Fecha_Cambio_Buffer[Buff Act]))+1),0)</calculatedColumnFormula>
    </tableColumn>
  </tableColumns>
  <tableStyleInfo name="TableStyleDark5" showFirstColumn="0" showLastColumn="0" showRowStripes="1" showColumnStripes="0"/>
</table>
</file>

<file path=xl/tables/table53.xml><?xml version="1.0" encoding="utf-8"?>
<table xmlns="http://schemas.openxmlformats.org/spreadsheetml/2006/main" id="21" name="tblRecupBuffHist" displayName="tblRecupBuffHist" ref="A1:F2" insertRow="1" totalsRowShown="0">
  <autoFilter ref="A1:F2"/>
  <tableColumns count="6">
    <tableColumn id="1" name="BODEGA"/>
    <tableColumn id="2" name="CODIGO"/>
    <tableColumn id="3" name="FECHA"/>
    <tableColumn id="4" name="BuffAct"/>
    <tableColumn id="5" name="Color" dataDxfId="4"/>
    <tableColumn id="6" name="InvFisAct"/>
  </tableColumns>
  <tableStyleInfo name="TableStyleLight1" showFirstColumn="0" showLastColumn="0" showRowStripes="1" showColumnStripes="0"/>
</table>
</file>

<file path=xl/tables/table54.xml><?xml version="1.0" encoding="utf-8"?>
<table xmlns="http://schemas.openxmlformats.org/spreadsheetml/2006/main" id="22" name="tblBufferOriginal" displayName="tblBufferOriginal" ref="H1:N2" insertRow="1" totalsRowShown="0">
  <autoFilter ref="H1:N2"/>
  <tableColumns count="7">
    <tableColumn id="1" name="BODEGA"/>
    <tableColumn id="2" name="CODIGO"/>
    <tableColumn id="3" name="BuffAct"/>
    <tableColumn id="6" name="InvFisAct"/>
    <tableColumn id="4" name="FECHA" dataDxfId="3"/>
    <tableColumn id="5" name="BuffFecha" dataDxfId="2">
      <calculatedColumnFormula array="1">SUM((--(tblBufferOriginal[[#This Row],[BODEGA]]=tblRecupBuffHist[BODEGA]))*(--(tblBufferOriginal[[#This Row],[CODIGO]]=tblRecupBuffHist[CODIGO]))*(--(tblBufferOriginal[[#This Row],[FECHA]]=tblRecupBuffHist[FECHA]))*tblRecupBuffHist[BuffAct])</calculatedColumnFormula>
    </tableColumn>
    <tableColumn id="7" name="InvFisActFecha" dataDxfId="1">
      <calculatedColumnFormula array="1">SUM((--(tblBufferOriginal[[#This Row],[BODEGA]]=tblRecupBuffHist[BODEGA]))*(--(tblBufferOriginal[[#This Row],[CODIGO]]=tblRecupBuffHist[CODIGO]))*(--(tblBufferOriginal[[#This Row],[FECHA]]=tblRecupBuffHist[FECHA]))*tblRecupBuffHist[InvFisAct])</calculatedColumnFormula>
    </tableColumn>
  </tableColumns>
  <tableStyleInfo name="TableStyleLight1" showFirstColumn="0" showLastColumn="0" showRowStripes="1" showColumnStripes="0"/>
</table>
</file>

<file path=xl/tables/table55.xml><?xml version="1.0" encoding="utf-8"?>
<table xmlns="http://schemas.openxmlformats.org/spreadsheetml/2006/main" id="23" name="Tabla_Inventario" displayName="Tabla_Inventario" ref="A1:O2" insertRow="1" totalsRowShown="0">
  <autoFilter ref="A1:O2"/>
  <tableColumns count="15">
    <tableColumn id="11" name="inv_empresa_id"/>
    <tableColumn id="1" name="inv_bodega_id"/>
    <tableColumn id="2" name="inv_producto_id"/>
    <tableColumn id="3" name="inv_existencia"/>
    <tableColumn id="4" name="inv_transito" dataDxfId="0"/>
    <tableColumn id="12" name="inv_negociacion"/>
    <tableColumn id="13" name="inv_produccion"/>
    <tableColumn id="14" name="inv_embarcado"/>
    <tableColumn id="5" name="inv_comprometido"/>
    <tableColumn id="6" name="inv_backorder"/>
    <tableColumn id="7" name="inv_entradas"/>
    <tableColumn id="8" name="inv_salidas"/>
    <tableColumn id="9" name="inv_consumo"/>
    <tableColumn id="15" name="inv_ventas_perdidas"/>
    <tableColumn id="10" name="BODEGASKU"/>
  </tableColumns>
  <tableStyleInfo name="TableStyleMedium9" showFirstColumn="0" showLastColumn="0" showRowStripes="1" showColumnStripes="0"/>
</table>
</file>

<file path=xl/tables/table56.xml><?xml version="1.0" encoding="utf-8"?>
<table xmlns="http://schemas.openxmlformats.org/spreadsheetml/2006/main" id="27" name="Tabla_Rentabilidad" displayName="Tabla_Rentabilidad" ref="A1:B2" tableType="queryTable" insertRow="1" totalsRowShown="0">
  <autoFilter ref="A1:B2"/>
  <tableColumns count="2">
    <tableColumn id="1" uniqueName="1" name="CODIGO" queryTableFieldId="1"/>
    <tableColumn id="2" uniqueName="2" name="ROI" queryTableFieldId="2"/>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26" Type="http://schemas.openxmlformats.org/officeDocument/2006/relationships/control" Target="../activeX/activeX12.xml"/><Relationship Id="rId21" Type="http://schemas.openxmlformats.org/officeDocument/2006/relationships/image" Target="../media/image9.emf"/><Relationship Id="rId42" Type="http://schemas.openxmlformats.org/officeDocument/2006/relationships/control" Target="../activeX/activeX20.xml"/><Relationship Id="rId47" Type="http://schemas.openxmlformats.org/officeDocument/2006/relationships/image" Target="../media/image22.emf"/><Relationship Id="rId63" Type="http://schemas.openxmlformats.org/officeDocument/2006/relationships/image" Target="../media/image30.emf"/><Relationship Id="rId68" Type="http://schemas.openxmlformats.org/officeDocument/2006/relationships/control" Target="../activeX/activeX33.xml"/><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8" Type="http://schemas.openxmlformats.org/officeDocument/2006/relationships/control" Target="../activeX/activeX28.xml"/><Relationship Id="rId66" Type="http://schemas.openxmlformats.org/officeDocument/2006/relationships/control" Target="../activeX/activeX32.xml"/><Relationship Id="rId74" Type="http://schemas.openxmlformats.org/officeDocument/2006/relationships/table" Target="../tables/table1.xml"/><Relationship Id="rId5" Type="http://schemas.openxmlformats.org/officeDocument/2006/relationships/image" Target="../media/image1.emf"/><Relationship Id="rId61" Type="http://schemas.openxmlformats.org/officeDocument/2006/relationships/image" Target="../media/image29.emf"/><Relationship Id="rId19" Type="http://schemas.openxmlformats.org/officeDocument/2006/relationships/image" Target="../media/image8.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control" Target="../activeX/activeX27.xml"/><Relationship Id="rId64" Type="http://schemas.openxmlformats.org/officeDocument/2006/relationships/control" Target="../activeX/activeX31.xml"/><Relationship Id="rId69" Type="http://schemas.openxmlformats.org/officeDocument/2006/relationships/image" Target="../media/image33.emf"/><Relationship Id="rId8" Type="http://schemas.openxmlformats.org/officeDocument/2006/relationships/control" Target="../activeX/activeX3.xml"/><Relationship Id="rId51" Type="http://schemas.openxmlformats.org/officeDocument/2006/relationships/image" Target="../media/image24.emf"/><Relationship Id="rId72" Type="http://schemas.openxmlformats.org/officeDocument/2006/relationships/control" Target="../activeX/activeX35.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59" Type="http://schemas.openxmlformats.org/officeDocument/2006/relationships/image" Target="../media/image28.emf"/><Relationship Id="rId67" Type="http://schemas.openxmlformats.org/officeDocument/2006/relationships/image" Target="../media/image32.emf"/><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ontrol" Target="../activeX/activeX26.xml"/><Relationship Id="rId62" Type="http://schemas.openxmlformats.org/officeDocument/2006/relationships/control" Target="../activeX/activeX30.xml"/><Relationship Id="rId70" Type="http://schemas.openxmlformats.org/officeDocument/2006/relationships/control" Target="../activeX/activeX34.xml"/><Relationship Id="rId75" Type="http://schemas.microsoft.com/office/2007/relationships/slicer" Target="../slicers/slicer1.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57" Type="http://schemas.openxmlformats.org/officeDocument/2006/relationships/image" Target="../media/image27.emf"/><Relationship Id="rId10" Type="http://schemas.openxmlformats.org/officeDocument/2006/relationships/control" Target="../activeX/activeX4.xml"/><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 Id="rId60" Type="http://schemas.openxmlformats.org/officeDocument/2006/relationships/control" Target="../activeX/activeX29.xml"/><Relationship Id="rId65" Type="http://schemas.openxmlformats.org/officeDocument/2006/relationships/image" Target="../media/image31.emf"/><Relationship Id="rId73" Type="http://schemas.openxmlformats.org/officeDocument/2006/relationships/image" Target="../media/image35.emf"/><Relationship Id="rId4" Type="http://schemas.openxmlformats.org/officeDocument/2006/relationships/control" Target="../activeX/activeX1.xml"/><Relationship Id="rId9" Type="http://schemas.openxmlformats.org/officeDocument/2006/relationships/image" Target="../media/image3.emf"/><Relationship Id="rId13" Type="http://schemas.openxmlformats.org/officeDocument/2006/relationships/image" Target="../media/image5.emf"/><Relationship Id="rId18" Type="http://schemas.openxmlformats.org/officeDocument/2006/relationships/control" Target="../activeX/activeX8.xml"/><Relationship Id="rId39" Type="http://schemas.openxmlformats.org/officeDocument/2006/relationships/image" Target="../media/image18.emf"/><Relationship Id="rId34" Type="http://schemas.openxmlformats.org/officeDocument/2006/relationships/control" Target="../activeX/activeX16.xml"/><Relationship Id="rId50" Type="http://schemas.openxmlformats.org/officeDocument/2006/relationships/control" Target="../activeX/activeX24.xml"/><Relationship Id="rId55" Type="http://schemas.openxmlformats.org/officeDocument/2006/relationships/image" Target="../media/image26.emf"/><Relationship Id="rId76" Type="http://schemas.openxmlformats.org/officeDocument/2006/relationships/comments" Target="../comments1.xml"/><Relationship Id="rId7" Type="http://schemas.openxmlformats.org/officeDocument/2006/relationships/image" Target="../media/image2.emf"/><Relationship Id="rId71" Type="http://schemas.openxmlformats.org/officeDocument/2006/relationships/image" Target="../media/image34.emf"/></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table" Target="../tables/table4.xml"/><Relationship Id="rId4" Type="http://schemas.openxmlformats.org/officeDocument/2006/relationships/table" Target="../tables/table7.xml"/></Relationships>
</file>

<file path=xl/worksheets/_rels/sheet5.xml.rels><?xml version="1.0" encoding="UTF-8" standalone="yes"?>
<Relationships xmlns="http://schemas.openxmlformats.org/package/2006/relationships"><Relationship Id="rId8" Type="http://schemas.openxmlformats.org/officeDocument/2006/relationships/image" Target="../media/image43.emf"/><Relationship Id="rId3" Type="http://schemas.openxmlformats.org/officeDocument/2006/relationships/drawing" Target="../drawings/drawing2.xml"/><Relationship Id="rId7" Type="http://schemas.openxmlformats.org/officeDocument/2006/relationships/control" Target="../activeX/activeX37.xml"/><Relationship Id="rId2" Type="http://schemas.openxmlformats.org/officeDocument/2006/relationships/printerSettings" Target="../printerSettings/printerSettings3.bin"/><Relationship Id="rId1" Type="http://schemas.openxmlformats.org/officeDocument/2006/relationships/pivotTable" Target="../pivotTables/pivotTable1.xml"/><Relationship Id="rId6" Type="http://schemas.openxmlformats.org/officeDocument/2006/relationships/image" Target="../media/image42.emf"/><Relationship Id="rId5" Type="http://schemas.openxmlformats.org/officeDocument/2006/relationships/control" Target="../activeX/activeX36.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table" Target="../tables/table8.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5.vml"/><Relationship Id="rId1" Type="http://schemas.openxmlformats.org/officeDocument/2006/relationships/drawing" Target="../drawings/drawing4.xml"/><Relationship Id="rId5" Type="http://schemas.openxmlformats.org/officeDocument/2006/relationships/table" Target="../tables/table9.xml"/><Relationship Id="rId4" Type="http://schemas.openxmlformats.org/officeDocument/2006/relationships/ctrlProp" Target="../ctrlProps/ctrlProp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10.xml"/><Relationship Id="rId5" Type="http://schemas.openxmlformats.org/officeDocument/2006/relationships/image" Target="../media/image44.emf"/><Relationship Id="rId4" Type="http://schemas.openxmlformats.org/officeDocument/2006/relationships/control" Target="../activeX/activeX38.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table" Target="../tables/table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45.emf"/><Relationship Id="rId4" Type="http://schemas.openxmlformats.org/officeDocument/2006/relationships/control" Target="../activeX/activeX39.xml"/></Relationships>
</file>

<file path=xl/worksheets/_rels/sheet13.xml.rels><?xml version="1.0" encoding="UTF-8" standalone="yes"?>
<Relationships xmlns="http://schemas.openxmlformats.org/package/2006/relationships"><Relationship Id="rId8" Type="http://schemas.openxmlformats.org/officeDocument/2006/relationships/table" Target="../tables/table13.xml"/><Relationship Id="rId3" Type="http://schemas.openxmlformats.org/officeDocument/2006/relationships/vmlDrawing" Target="../drawings/vmlDrawing8.vml"/><Relationship Id="rId7" Type="http://schemas.openxmlformats.org/officeDocument/2006/relationships/ctrlProp" Target="../ctrlProps/ctrlProp8.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7.xml"/><Relationship Id="rId11" Type="http://schemas.openxmlformats.org/officeDocument/2006/relationships/table" Target="../tables/table16.xml"/><Relationship Id="rId5" Type="http://schemas.openxmlformats.org/officeDocument/2006/relationships/ctrlProp" Target="../ctrlProps/ctrlProp6.xml"/><Relationship Id="rId10" Type="http://schemas.openxmlformats.org/officeDocument/2006/relationships/table" Target="../tables/table15.xml"/><Relationship Id="rId4" Type="http://schemas.openxmlformats.org/officeDocument/2006/relationships/ctrlProp" Target="../ctrlProps/ctrlProp5.xml"/><Relationship Id="rId9" Type="http://schemas.openxmlformats.org/officeDocument/2006/relationships/table" Target="../tables/table14.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8" Type="http://schemas.openxmlformats.org/officeDocument/2006/relationships/table" Target="../tables/table18.xml"/><Relationship Id="rId3" Type="http://schemas.openxmlformats.org/officeDocument/2006/relationships/vmlDrawing" Target="../drawings/vmlDrawing9.vml"/><Relationship Id="rId7" Type="http://schemas.openxmlformats.org/officeDocument/2006/relationships/ctrlProp" Target="../ctrlProps/ctrlProp12.x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 Id="rId9" Type="http://schemas.openxmlformats.org/officeDocument/2006/relationships/table" Target="../tables/table19.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printerSettings" Target="../printerSettings/printerSettings11.bin"/></Relationships>
</file>

<file path=xl/worksheets/_rels/sheet22.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3.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printerSettings" Target="../printerSettings/printerSettings12.bin"/></Relationships>
</file>

<file path=xl/worksheets/_rels/sheet24.xml.rels><?xml version="1.0" encoding="UTF-8" standalone="yes"?>
<Relationships xmlns="http://schemas.openxmlformats.org/package/2006/relationships"><Relationship Id="rId2" Type="http://schemas.openxmlformats.org/officeDocument/2006/relationships/table" Target="../tables/table27.xml"/><Relationship Id="rId1" Type="http://schemas.openxmlformats.org/officeDocument/2006/relationships/printerSettings" Target="../printerSettings/printerSettings13.bin"/></Relationships>
</file>

<file path=xl/worksheets/_rels/sheet26.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table" Target="../tables/table28.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30.xml"/></Relationships>
</file>

<file path=xl/worksheets/_rels/sheet28.xml.rels><?xml version="1.0" encoding="UTF-8" standalone="yes"?>
<Relationships xmlns="http://schemas.openxmlformats.org/package/2006/relationships"><Relationship Id="rId2" Type="http://schemas.openxmlformats.org/officeDocument/2006/relationships/table" Target="../tables/table31.xml"/><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3" Type="http://schemas.openxmlformats.org/officeDocument/2006/relationships/table" Target="../tables/table33.xml"/><Relationship Id="rId2" Type="http://schemas.openxmlformats.org/officeDocument/2006/relationships/table" Target="../tables/table32.xml"/><Relationship Id="rId1" Type="http://schemas.openxmlformats.org/officeDocument/2006/relationships/printerSettings" Target="../printerSettings/printerSettings15.bin"/><Relationship Id="rId4" Type="http://schemas.openxmlformats.org/officeDocument/2006/relationships/table" Target="../tables/table34.xml"/></Relationships>
</file>

<file path=xl/worksheets/_rels/sheet30.xml.rels><?xml version="1.0" encoding="UTF-8" standalone="yes"?>
<Relationships xmlns="http://schemas.openxmlformats.org/package/2006/relationships"><Relationship Id="rId3" Type="http://schemas.openxmlformats.org/officeDocument/2006/relationships/table" Target="../tables/table36.xml"/><Relationship Id="rId2" Type="http://schemas.openxmlformats.org/officeDocument/2006/relationships/table" Target="../tables/table35.xml"/><Relationship Id="rId1" Type="http://schemas.openxmlformats.org/officeDocument/2006/relationships/printerSettings" Target="../printerSettings/printerSettings16.bin"/><Relationship Id="rId4" Type="http://schemas.openxmlformats.org/officeDocument/2006/relationships/table" Target="../tables/table37.xml"/></Relationships>
</file>

<file path=xl/worksheets/_rels/sheet31.xml.rels><?xml version="1.0" encoding="UTF-8" standalone="yes"?>
<Relationships xmlns="http://schemas.openxmlformats.org/package/2006/relationships"><Relationship Id="rId3" Type="http://schemas.openxmlformats.org/officeDocument/2006/relationships/table" Target="../tables/table39.xml"/><Relationship Id="rId2" Type="http://schemas.openxmlformats.org/officeDocument/2006/relationships/table" Target="../tables/table38.xml"/><Relationship Id="rId1" Type="http://schemas.openxmlformats.org/officeDocument/2006/relationships/printerSettings" Target="../printerSettings/printerSettings17.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40.xml"/><Relationship Id="rId1" Type="http://schemas.openxmlformats.org/officeDocument/2006/relationships/printerSettings" Target="../printerSettings/printerSettings18.bin"/></Relationships>
</file>

<file path=xl/worksheets/_rels/sheet33.xml.rels><?xml version="1.0" encoding="UTF-8" standalone="yes"?>
<Relationships xmlns="http://schemas.openxmlformats.org/package/2006/relationships"><Relationship Id="rId1" Type="http://schemas.openxmlformats.org/officeDocument/2006/relationships/table" Target="../tables/table41.xml"/></Relationships>
</file>

<file path=xl/worksheets/_rels/sheet34.xml.rels><?xml version="1.0" encoding="UTF-8" standalone="yes"?>
<Relationships xmlns="http://schemas.openxmlformats.org/package/2006/relationships"><Relationship Id="rId2" Type="http://schemas.openxmlformats.org/officeDocument/2006/relationships/table" Target="../tables/table42.xml"/><Relationship Id="rId1" Type="http://schemas.openxmlformats.org/officeDocument/2006/relationships/printerSettings" Target="../printerSettings/printerSettings19.bin"/></Relationships>
</file>

<file path=xl/worksheets/_rels/sheet35.xml.rels><?xml version="1.0" encoding="UTF-8" standalone="yes"?>
<Relationships xmlns="http://schemas.openxmlformats.org/package/2006/relationships"><Relationship Id="rId2" Type="http://schemas.openxmlformats.org/officeDocument/2006/relationships/table" Target="../tables/table43.xml"/><Relationship Id="rId1" Type="http://schemas.openxmlformats.org/officeDocument/2006/relationships/printerSettings" Target="../printerSettings/printerSettings20.bin"/></Relationships>
</file>

<file path=xl/worksheets/_rels/sheet36.xml.rels><?xml version="1.0" encoding="UTF-8" standalone="yes"?>
<Relationships xmlns="http://schemas.openxmlformats.org/package/2006/relationships"><Relationship Id="rId2" Type="http://schemas.openxmlformats.org/officeDocument/2006/relationships/table" Target="../tables/table44.xml"/><Relationship Id="rId1" Type="http://schemas.openxmlformats.org/officeDocument/2006/relationships/printerSettings" Target="../printerSettings/printerSettings21.bin"/></Relationships>
</file>

<file path=xl/worksheets/_rels/sheet37.xml.rels><?xml version="1.0" encoding="UTF-8" standalone="yes"?>
<Relationships xmlns="http://schemas.openxmlformats.org/package/2006/relationships"><Relationship Id="rId3" Type="http://schemas.openxmlformats.org/officeDocument/2006/relationships/table" Target="../tables/table45.xml"/><Relationship Id="rId2" Type="http://schemas.openxmlformats.org/officeDocument/2006/relationships/vmlDrawing" Target="../drawings/vmlDrawing10.vml"/><Relationship Id="rId1" Type="http://schemas.openxmlformats.org/officeDocument/2006/relationships/printerSettings" Target="../printerSettings/printerSettings22.bin"/><Relationship Id="rId4" Type="http://schemas.openxmlformats.org/officeDocument/2006/relationships/comments" Target="../comments3.xml"/></Relationships>
</file>

<file path=xl/worksheets/_rels/sheet38.xml.rels><?xml version="1.0" encoding="UTF-8" standalone="yes"?>
<Relationships xmlns="http://schemas.openxmlformats.org/package/2006/relationships"><Relationship Id="rId2" Type="http://schemas.openxmlformats.org/officeDocument/2006/relationships/table" Target="../tables/table46.xml"/><Relationship Id="rId1" Type="http://schemas.openxmlformats.org/officeDocument/2006/relationships/printerSettings" Target="../printerSettings/printerSettings23.bin"/></Relationships>
</file>

<file path=xl/worksheets/_rels/sheet39.xml.rels><?xml version="1.0" encoding="UTF-8" standalone="yes"?>
<Relationships xmlns="http://schemas.openxmlformats.org/package/2006/relationships"><Relationship Id="rId2" Type="http://schemas.openxmlformats.org/officeDocument/2006/relationships/table" Target="../tables/table47.xml"/><Relationship Id="rId1" Type="http://schemas.openxmlformats.org/officeDocument/2006/relationships/printerSettings" Target="../printerSettings/printerSettings24.bin"/></Relationships>
</file>

<file path=xl/worksheets/_rels/sheet40.xml.rels><?xml version="1.0" encoding="UTF-8" standalone="yes"?>
<Relationships xmlns="http://schemas.openxmlformats.org/package/2006/relationships"><Relationship Id="rId8" Type="http://schemas.openxmlformats.org/officeDocument/2006/relationships/image" Target="../media/image68.emf"/><Relationship Id="rId3" Type="http://schemas.openxmlformats.org/officeDocument/2006/relationships/pivotTable" Target="../pivotTables/pivotTable4.xml"/><Relationship Id="rId7" Type="http://schemas.openxmlformats.org/officeDocument/2006/relationships/control" Target="../activeX/activeX40.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vmlDrawing" Target="../drawings/vmlDrawing11.vml"/><Relationship Id="rId11" Type="http://schemas.openxmlformats.org/officeDocument/2006/relationships/comments" Target="../comments4.xml"/><Relationship Id="rId5" Type="http://schemas.openxmlformats.org/officeDocument/2006/relationships/drawing" Target="../drawings/drawing9.xml"/><Relationship Id="rId10" Type="http://schemas.openxmlformats.org/officeDocument/2006/relationships/image" Target="../media/image69.emf"/><Relationship Id="rId4" Type="http://schemas.openxmlformats.org/officeDocument/2006/relationships/printerSettings" Target="../printerSettings/printerSettings25.bin"/><Relationship Id="rId9" Type="http://schemas.openxmlformats.org/officeDocument/2006/relationships/control" Target="../activeX/activeX41.xml"/></Relationships>
</file>

<file path=xl/worksheets/_rels/sheet41.xml.rels><?xml version="1.0" encoding="UTF-8" standalone="yes"?>
<Relationships xmlns="http://schemas.openxmlformats.org/package/2006/relationships"><Relationship Id="rId2" Type="http://schemas.openxmlformats.org/officeDocument/2006/relationships/table" Target="../tables/table48.xml"/><Relationship Id="rId1" Type="http://schemas.openxmlformats.org/officeDocument/2006/relationships/printerSettings" Target="../printerSettings/printerSettings26.bin"/></Relationships>
</file>

<file path=xl/worksheets/_rels/sheet42.xml.rels><?xml version="1.0" encoding="UTF-8" standalone="yes"?>
<Relationships xmlns="http://schemas.openxmlformats.org/package/2006/relationships"><Relationship Id="rId1" Type="http://schemas.openxmlformats.org/officeDocument/2006/relationships/table" Target="../tables/table49.xml"/></Relationships>
</file>

<file path=xl/worksheets/_rels/sheet43.xml.rels><?xml version="1.0" encoding="UTF-8" standalone="yes"?>
<Relationships xmlns="http://schemas.openxmlformats.org/package/2006/relationships"><Relationship Id="rId1" Type="http://schemas.openxmlformats.org/officeDocument/2006/relationships/table" Target="../tables/table50.xml"/></Relationships>
</file>

<file path=xl/worksheets/_rels/sheet44.xml.rels><?xml version="1.0" encoding="UTF-8" standalone="yes"?>
<Relationships xmlns="http://schemas.openxmlformats.org/package/2006/relationships"><Relationship Id="rId1" Type="http://schemas.openxmlformats.org/officeDocument/2006/relationships/hyperlink" Target="mailto:csemanate@mejoracontinua.biz" TargetMode="External"/></Relationships>
</file>

<file path=xl/worksheets/_rels/sheet46.xml.rels><?xml version="1.0" encoding="UTF-8" standalone="yes"?>
<Relationships xmlns="http://schemas.openxmlformats.org/package/2006/relationships"><Relationship Id="rId3" Type="http://schemas.openxmlformats.org/officeDocument/2006/relationships/table" Target="../tables/table52.xml"/><Relationship Id="rId2" Type="http://schemas.openxmlformats.org/officeDocument/2006/relationships/table" Target="../tables/table51.xml"/><Relationship Id="rId1" Type="http://schemas.openxmlformats.org/officeDocument/2006/relationships/printerSettings" Target="../printerSettings/printerSettings27.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8.xml.rels><?xml version="1.0" encoding="UTF-8" standalone="yes"?>
<Relationships xmlns="http://schemas.openxmlformats.org/package/2006/relationships"><Relationship Id="rId3" Type="http://schemas.openxmlformats.org/officeDocument/2006/relationships/table" Target="../tables/table54.xml"/><Relationship Id="rId2" Type="http://schemas.openxmlformats.org/officeDocument/2006/relationships/table" Target="../tables/table53.xml"/><Relationship Id="rId1" Type="http://schemas.openxmlformats.org/officeDocument/2006/relationships/printerSettings" Target="../printerSettings/printerSettings29.bin"/></Relationships>
</file>

<file path=xl/worksheets/_rels/sheet49.xml.rels><?xml version="1.0" encoding="UTF-8" standalone="yes"?>
<Relationships xmlns="http://schemas.openxmlformats.org/package/2006/relationships"><Relationship Id="rId2" Type="http://schemas.openxmlformats.org/officeDocument/2006/relationships/table" Target="../tables/table55.xml"/><Relationship Id="rId1" Type="http://schemas.openxmlformats.org/officeDocument/2006/relationships/printerSettings" Target="../printerSettings/printerSettings30.bin"/></Relationships>
</file>

<file path=xl/worksheets/_rels/sheet51.xml.rels><?xml version="1.0" encoding="UTF-8" standalone="yes"?>
<Relationships xmlns="http://schemas.openxmlformats.org/package/2006/relationships"><Relationship Id="rId1" Type="http://schemas.openxmlformats.org/officeDocument/2006/relationships/table" Target="../tables/table5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3"/>
    <pageSetUpPr fitToPage="1"/>
  </sheetPr>
  <dimension ref="A1:NI61"/>
  <sheetViews>
    <sheetView showGridLines="0" tabSelected="1" zoomScale="80" zoomScaleNormal="80" workbookViewId="0">
      <pane xSplit="13" ySplit="2" topLeftCell="N3" activePane="bottomRight" state="frozen"/>
      <selection pane="topRight" activeCell="N1" sqref="N1"/>
      <selection pane="bottomLeft" activeCell="A3" sqref="A3"/>
      <selection pane="bottomRight" activeCell="A2" sqref="A2"/>
    </sheetView>
  </sheetViews>
  <sheetFormatPr baseColWidth="10" defaultColWidth="10.7109375" defaultRowHeight="12.75" x14ac:dyDescent="0.2"/>
  <cols>
    <col min="1" max="1" width="19" customWidth="1"/>
    <col min="2" max="2" width="17.85546875" customWidth="1"/>
    <col min="3" max="3" width="17.85546875" hidden="1" customWidth="1"/>
    <col min="4" max="4" width="19.7109375" customWidth="1"/>
    <col min="5" max="5" width="17.85546875" hidden="1" customWidth="1"/>
    <col min="6" max="6" width="49.5703125" customWidth="1"/>
    <col min="7" max="7" width="21.85546875" hidden="1" customWidth="1"/>
    <col min="8" max="13" width="22.7109375" hidden="1" customWidth="1"/>
    <col min="14" max="14" width="22.7109375" customWidth="1"/>
    <col min="15" max="16" width="22.7109375" hidden="1" customWidth="1"/>
    <col min="17" max="17" width="10.42578125" style="68" hidden="1" customWidth="1"/>
    <col min="18" max="22" width="22.7109375" hidden="1" customWidth="1"/>
    <col min="23" max="23" width="9" hidden="1" customWidth="1"/>
    <col min="24" max="24" width="9" style="68" hidden="1" customWidth="1"/>
    <col min="25" max="25" width="16.28515625" style="68" hidden="1" customWidth="1"/>
    <col min="26" max="26" width="9.7109375" customWidth="1"/>
    <col min="27" max="27" width="9.7109375" hidden="1" customWidth="1"/>
    <col min="28" max="30" width="11.7109375" style="68" hidden="1" customWidth="1"/>
    <col min="31" max="33" width="8.7109375" hidden="1" customWidth="1"/>
    <col min="34" max="35" width="5.7109375" hidden="1" customWidth="1"/>
    <col min="36" max="36" width="11.7109375" hidden="1" customWidth="1"/>
    <col min="37" max="37" width="25.42578125" hidden="1" customWidth="1"/>
    <col min="38" max="38" width="10.7109375" customWidth="1"/>
    <col min="39" max="39" width="24.5703125" hidden="1" customWidth="1"/>
    <col min="40" max="40" width="10.42578125" hidden="1" customWidth="1"/>
    <col min="41" max="41" width="9.7109375" style="68" hidden="1" customWidth="1"/>
    <col min="42" max="47" width="9.7109375" hidden="1" customWidth="1"/>
    <col min="48" max="48" width="10.5703125" hidden="1" customWidth="1"/>
    <col min="49" max="49" width="26.85546875" hidden="1" customWidth="1"/>
    <col min="50" max="50" width="30.5703125" hidden="1" customWidth="1"/>
    <col min="51" max="51" width="10.7109375" style="68" hidden="1" customWidth="1"/>
    <col min="52" max="57" width="10.7109375" hidden="1" customWidth="1"/>
    <col min="58" max="58" width="7.85546875" hidden="1" customWidth="1"/>
    <col min="59" max="59" width="10.7109375" style="68" hidden="1" customWidth="1"/>
    <col min="60" max="60" width="45.140625" hidden="1" customWidth="1"/>
    <col min="61" max="61" width="10.7109375" customWidth="1"/>
    <col min="62" max="62" width="10.7109375" style="68" customWidth="1"/>
    <col min="63" max="63" width="10.7109375" customWidth="1"/>
    <col min="64" max="64" width="8.7109375" hidden="1" customWidth="1"/>
    <col min="65" max="66" width="8.7109375" style="68" hidden="1" customWidth="1"/>
    <col min="67" max="67" width="8.7109375" hidden="1" customWidth="1"/>
    <col min="68" max="70" width="10.7109375" hidden="1" customWidth="1"/>
    <col min="71" max="71" width="8.7109375" hidden="1" customWidth="1"/>
    <col min="72" max="74" width="8.7109375" customWidth="1"/>
    <col min="75" max="77" width="8.7109375" hidden="1" customWidth="1"/>
    <col min="78" max="80" width="8.7109375" customWidth="1"/>
    <col min="81" max="81" width="8.7109375" hidden="1" customWidth="1"/>
    <col min="82" max="82" width="8.7109375" customWidth="1"/>
    <col min="83" max="83" width="8.7109375" hidden="1" customWidth="1"/>
    <col min="84" max="84" width="8.7109375" customWidth="1"/>
    <col min="85" max="85" width="8.7109375" hidden="1" customWidth="1"/>
    <col min="86" max="86" width="8.7109375" customWidth="1"/>
    <col min="87" max="87" width="31" hidden="1" customWidth="1"/>
    <col min="88" max="88" width="110.7109375" hidden="1" customWidth="1"/>
    <col min="89" max="89" width="29.85546875" hidden="1" customWidth="1"/>
    <col min="90" max="95" width="8.7109375" hidden="1" customWidth="1"/>
    <col min="96" max="96" width="9.7109375" customWidth="1"/>
    <col min="97" max="102" width="9.7109375" hidden="1" customWidth="1"/>
    <col min="103" max="103" width="6.5703125" hidden="1" customWidth="1"/>
    <col min="104" max="104" width="10.140625" style="68" hidden="1" customWidth="1"/>
    <col min="105" max="105" width="7.7109375" style="68" customWidth="1"/>
    <col min="106" max="106" width="7.7109375" hidden="1" customWidth="1"/>
    <col min="107" max="109" width="7.7109375" customWidth="1"/>
    <col min="110" max="113" width="7.7109375" hidden="1" customWidth="1"/>
    <col min="114" max="114" width="8.28515625" hidden="1" customWidth="1"/>
    <col min="115" max="115" width="11.7109375" style="68" hidden="1" customWidth="1"/>
    <col min="116" max="116" width="15.85546875" hidden="1" customWidth="1"/>
    <col min="117" max="117" width="12.28515625" style="68" hidden="1" customWidth="1"/>
    <col min="118" max="118" width="11.5703125" style="68" hidden="1" customWidth="1"/>
    <col min="119" max="119" width="10" style="68" hidden="1" customWidth="1"/>
    <col min="120" max="120" width="12.7109375" style="68" hidden="1" customWidth="1"/>
    <col min="121" max="121" width="11.42578125" style="68" hidden="1" customWidth="1"/>
    <col min="122" max="122" width="11.85546875" hidden="1" customWidth="1"/>
    <col min="123" max="123" width="11.85546875" style="68" hidden="1" customWidth="1"/>
    <col min="124" max="127" width="12.28515625" style="68" hidden="1" customWidth="1"/>
    <col min="128" max="136" width="11.42578125" style="68" hidden="1" customWidth="1"/>
    <col min="137" max="244" width="6.7109375" customWidth="1"/>
    <col min="245" max="245" width="6.7109375" style="68" customWidth="1"/>
    <col min="246" max="1373" width="6.7109375" customWidth="1"/>
  </cols>
  <sheetData>
    <row r="1" spans="1:373" s="76" customFormat="1" ht="108" customHeight="1" x14ac:dyDescent="0.2">
      <c r="A1" s="114"/>
      <c r="B1" s="114"/>
      <c r="AE1" s="114"/>
      <c r="AF1" s="114"/>
      <c r="AJ1" s="114"/>
      <c r="AZ1" s="114"/>
      <c r="BA1" s="114"/>
      <c r="BB1" s="114"/>
      <c r="BC1" s="114"/>
      <c r="BD1" s="114"/>
      <c r="BE1" s="114"/>
      <c r="BF1" s="114"/>
      <c r="BG1" s="114"/>
      <c r="BH1" s="114"/>
      <c r="BI1" s="114"/>
      <c r="BJ1" s="114"/>
      <c r="BK1" s="114"/>
      <c r="BL1" s="114"/>
      <c r="BM1" s="114"/>
      <c r="BN1" s="114"/>
      <c r="BO1" s="114"/>
      <c r="BT1" s="114"/>
      <c r="BU1" s="114"/>
      <c r="BV1" s="114"/>
      <c r="CL1" s="114"/>
      <c r="CM1" s="114"/>
      <c r="CX1" s="114"/>
    </row>
    <row r="2" spans="1:373" s="76" customFormat="1" ht="51" customHeight="1" x14ac:dyDescent="0.2">
      <c r="A2" s="52" t="s">
        <v>63</v>
      </c>
      <c r="B2" s="52" t="s">
        <v>3</v>
      </c>
      <c r="C2" s="53" t="s">
        <v>352</v>
      </c>
      <c r="D2" s="53" t="s">
        <v>350</v>
      </c>
      <c r="E2" s="53" t="s">
        <v>351</v>
      </c>
      <c r="F2" s="53" t="s">
        <v>4</v>
      </c>
      <c r="G2" s="52" t="s">
        <v>23</v>
      </c>
      <c r="H2" s="52" t="s">
        <v>37</v>
      </c>
      <c r="I2" s="52" t="s">
        <v>279</v>
      </c>
      <c r="J2" s="52" t="s">
        <v>281</v>
      </c>
      <c r="K2" s="52" t="s">
        <v>282</v>
      </c>
      <c r="L2" s="52" t="s">
        <v>283</v>
      </c>
      <c r="M2" s="52" t="s">
        <v>22</v>
      </c>
      <c r="N2" s="52" t="s">
        <v>284</v>
      </c>
      <c r="O2" s="52" t="s">
        <v>280</v>
      </c>
      <c r="P2" s="52" t="s">
        <v>290</v>
      </c>
      <c r="Q2" s="52" t="s">
        <v>1314</v>
      </c>
      <c r="R2" s="52" t="s">
        <v>285</v>
      </c>
      <c r="S2" s="52" t="s">
        <v>286</v>
      </c>
      <c r="T2" s="52" t="s">
        <v>287</v>
      </c>
      <c r="U2" s="52" t="s">
        <v>288</v>
      </c>
      <c r="V2" s="52" t="s">
        <v>289</v>
      </c>
      <c r="W2" s="52" t="s">
        <v>403</v>
      </c>
      <c r="X2" s="52" t="s">
        <v>489</v>
      </c>
      <c r="Y2" s="52" t="s">
        <v>490</v>
      </c>
      <c r="Z2" s="52" t="s">
        <v>58</v>
      </c>
      <c r="AA2" s="52" t="s">
        <v>59</v>
      </c>
      <c r="AB2" s="52" t="s">
        <v>491</v>
      </c>
      <c r="AC2" s="52" t="s">
        <v>492</v>
      </c>
      <c r="AD2" s="52" t="s">
        <v>493</v>
      </c>
      <c r="AE2" s="52" t="s">
        <v>209</v>
      </c>
      <c r="AF2" s="52" t="s">
        <v>210</v>
      </c>
      <c r="AG2" s="52" t="s">
        <v>211</v>
      </c>
      <c r="AH2" s="48" t="s">
        <v>118</v>
      </c>
      <c r="AI2" s="48" t="s">
        <v>97</v>
      </c>
      <c r="AJ2" s="48" t="s">
        <v>485</v>
      </c>
      <c r="AK2" s="49" t="s">
        <v>615</v>
      </c>
      <c r="AL2" s="49" t="s">
        <v>13</v>
      </c>
      <c r="AM2" s="49" t="s">
        <v>379</v>
      </c>
      <c r="AN2" s="49" t="s">
        <v>256</v>
      </c>
      <c r="AO2" s="83" t="s">
        <v>372</v>
      </c>
      <c r="AP2" s="83" t="s">
        <v>373</v>
      </c>
      <c r="AQ2" s="83" t="s">
        <v>377</v>
      </c>
      <c r="AR2" s="83" t="s">
        <v>374</v>
      </c>
      <c r="AS2" s="83" t="s">
        <v>488</v>
      </c>
      <c r="AT2" s="28" t="s">
        <v>391</v>
      </c>
      <c r="AU2" s="28" t="s">
        <v>392</v>
      </c>
      <c r="AV2" s="28" t="s">
        <v>393</v>
      </c>
      <c r="AW2" s="71" t="s">
        <v>48</v>
      </c>
      <c r="AX2" s="71" t="s">
        <v>234</v>
      </c>
      <c r="AY2" s="71" t="s">
        <v>122</v>
      </c>
      <c r="AZ2" s="71" t="s">
        <v>375</v>
      </c>
      <c r="BA2" s="72" t="s">
        <v>130</v>
      </c>
      <c r="BB2" s="72" t="s">
        <v>522</v>
      </c>
      <c r="BC2" s="72" t="s">
        <v>353</v>
      </c>
      <c r="BD2" s="72" t="s">
        <v>263</v>
      </c>
      <c r="BE2" s="72" t="s">
        <v>521</v>
      </c>
      <c r="BF2" s="72" t="s">
        <v>131</v>
      </c>
      <c r="BG2" s="72" t="s">
        <v>205</v>
      </c>
      <c r="BH2" s="69" t="s">
        <v>52</v>
      </c>
      <c r="BI2" s="121" t="s">
        <v>14</v>
      </c>
      <c r="BJ2" s="121" t="s">
        <v>9</v>
      </c>
      <c r="BK2" s="121" t="s">
        <v>255</v>
      </c>
      <c r="BL2" s="122" t="s">
        <v>15</v>
      </c>
      <c r="BM2" s="122" t="s">
        <v>5</v>
      </c>
      <c r="BN2" s="39" t="s">
        <v>77</v>
      </c>
      <c r="BO2" s="122" t="s">
        <v>267</v>
      </c>
      <c r="BP2" s="121" t="s">
        <v>136</v>
      </c>
      <c r="BQ2" s="121" t="s">
        <v>165</v>
      </c>
      <c r="BR2" s="121" t="s">
        <v>164</v>
      </c>
      <c r="BS2" s="39" t="s">
        <v>53</v>
      </c>
      <c r="BT2" s="39" t="s">
        <v>16</v>
      </c>
      <c r="BU2" s="39" t="s">
        <v>17</v>
      </c>
      <c r="BV2" s="39" t="s">
        <v>10</v>
      </c>
      <c r="BW2" s="39" t="s">
        <v>354</v>
      </c>
      <c r="BX2" s="39" t="s">
        <v>355</v>
      </c>
      <c r="BY2" s="39" t="s">
        <v>356</v>
      </c>
      <c r="BZ2" s="39" t="s">
        <v>26</v>
      </c>
      <c r="CA2" s="39" t="s">
        <v>12</v>
      </c>
      <c r="CB2" s="39" t="s">
        <v>11</v>
      </c>
      <c r="CC2" s="39" t="s">
        <v>370</v>
      </c>
      <c r="CD2" s="39" t="s">
        <v>389</v>
      </c>
      <c r="CE2" s="39" t="s">
        <v>390</v>
      </c>
      <c r="CF2" s="121" t="s">
        <v>24</v>
      </c>
      <c r="CG2" s="39" t="s">
        <v>106</v>
      </c>
      <c r="CH2" s="71" t="s">
        <v>25</v>
      </c>
      <c r="CI2" s="71" t="s">
        <v>163</v>
      </c>
      <c r="CJ2" s="70" t="s">
        <v>200</v>
      </c>
      <c r="CK2" s="70" t="s">
        <v>199</v>
      </c>
      <c r="CL2" s="73" t="s">
        <v>107</v>
      </c>
      <c r="CM2" s="73" t="s">
        <v>108</v>
      </c>
      <c r="CN2" s="73" t="s">
        <v>35</v>
      </c>
      <c r="CO2" s="73" t="s">
        <v>371</v>
      </c>
      <c r="CP2" s="73" t="s">
        <v>105</v>
      </c>
      <c r="CQ2" s="73" t="s">
        <v>78</v>
      </c>
      <c r="CR2" s="121" t="s">
        <v>88</v>
      </c>
      <c r="CS2" s="73" t="s">
        <v>115</v>
      </c>
      <c r="CT2" s="73" t="s">
        <v>116</v>
      </c>
      <c r="CU2" s="73" t="s">
        <v>404</v>
      </c>
      <c r="CV2" s="73" t="s">
        <v>405</v>
      </c>
      <c r="CW2" s="73" t="s">
        <v>613</v>
      </c>
      <c r="CX2" s="73" t="s">
        <v>614</v>
      </c>
      <c r="CY2" s="73" t="s">
        <v>121</v>
      </c>
      <c r="CZ2" s="40" t="s">
        <v>8</v>
      </c>
      <c r="DA2" s="41" t="s">
        <v>6</v>
      </c>
      <c r="DB2" s="42" t="s">
        <v>0</v>
      </c>
      <c r="DC2" s="43" t="s">
        <v>1</v>
      </c>
      <c r="DD2" s="44" t="s">
        <v>2</v>
      </c>
      <c r="DE2" s="45" t="s">
        <v>7</v>
      </c>
      <c r="DF2" s="196" t="s">
        <v>378</v>
      </c>
      <c r="DG2" s="196" t="s">
        <v>618</v>
      </c>
      <c r="DH2" s="196" t="s">
        <v>616</v>
      </c>
      <c r="DI2" s="123" t="s">
        <v>380</v>
      </c>
      <c r="DJ2" s="123" t="s">
        <v>557</v>
      </c>
      <c r="DK2" s="123" t="s">
        <v>123</v>
      </c>
      <c r="DL2" s="123" t="s">
        <v>117</v>
      </c>
      <c r="DM2" s="123" t="s">
        <v>524</v>
      </c>
      <c r="DN2" s="123" t="s">
        <v>264</v>
      </c>
      <c r="DO2" s="123" t="s">
        <v>539</v>
      </c>
      <c r="DP2" s="123" t="s">
        <v>540</v>
      </c>
      <c r="DQ2" s="123" t="s">
        <v>546</v>
      </c>
      <c r="DR2" s="244" t="s">
        <v>547</v>
      </c>
      <c r="DS2" s="123" t="s">
        <v>551</v>
      </c>
      <c r="DT2" s="123" t="s">
        <v>552</v>
      </c>
      <c r="DU2" s="123" t="s">
        <v>543</v>
      </c>
      <c r="DV2" s="123" t="s">
        <v>617</v>
      </c>
      <c r="DW2" s="123" t="s">
        <v>649</v>
      </c>
      <c r="DX2" s="123" t="s">
        <v>545</v>
      </c>
      <c r="DY2" s="166" t="s">
        <v>589</v>
      </c>
      <c r="DZ2" s="166" t="s">
        <v>3392</v>
      </c>
      <c r="EA2" s="166" t="s">
        <v>3409</v>
      </c>
      <c r="EB2" s="166" t="s">
        <v>3398</v>
      </c>
      <c r="EC2" s="166" t="s">
        <v>3404</v>
      </c>
      <c r="ED2" s="166" t="s">
        <v>3447</v>
      </c>
      <c r="EE2" s="166" t="s">
        <v>3465</v>
      </c>
      <c r="EF2" s="166" t="s">
        <v>3450</v>
      </c>
      <c r="EG2" s="82" t="s">
        <v>1397</v>
      </c>
      <c r="EH2" s="82" t="s">
        <v>1398</v>
      </c>
      <c r="EI2" s="82" t="s">
        <v>1399</v>
      </c>
      <c r="EJ2" s="82" t="s">
        <v>1400</v>
      </c>
      <c r="EK2" s="82" t="s">
        <v>1401</v>
      </c>
      <c r="EL2" s="82" t="s">
        <v>1402</v>
      </c>
      <c r="EM2" s="82" t="s">
        <v>1403</v>
      </c>
      <c r="EN2" s="82" t="s">
        <v>1404</v>
      </c>
      <c r="EO2" s="82" t="s">
        <v>1405</v>
      </c>
      <c r="EP2" s="82" t="s">
        <v>1406</v>
      </c>
      <c r="EQ2" s="82" t="s">
        <v>1407</v>
      </c>
      <c r="ER2" s="82" t="s">
        <v>1408</v>
      </c>
      <c r="ES2" s="82" t="s">
        <v>1409</v>
      </c>
      <c r="ET2" s="82" t="s">
        <v>1410</v>
      </c>
      <c r="EU2" s="82" t="s">
        <v>1411</v>
      </c>
      <c r="EV2" s="82" t="s">
        <v>1412</v>
      </c>
      <c r="EW2" s="82" t="s">
        <v>1413</v>
      </c>
      <c r="EX2" s="82" t="s">
        <v>1414</v>
      </c>
      <c r="EY2" s="82" t="s">
        <v>1415</v>
      </c>
      <c r="EZ2" s="82" t="s">
        <v>1416</v>
      </c>
      <c r="FA2" s="82" t="s">
        <v>1417</v>
      </c>
      <c r="FB2" s="82" t="s">
        <v>1418</v>
      </c>
      <c r="FC2" s="82" t="s">
        <v>1419</v>
      </c>
      <c r="FD2" s="82" t="s">
        <v>1420</v>
      </c>
      <c r="FE2" s="82" t="s">
        <v>1421</v>
      </c>
      <c r="FF2" s="82" t="s">
        <v>1422</v>
      </c>
      <c r="FG2" s="82" t="s">
        <v>1423</v>
      </c>
      <c r="FH2" s="82" t="s">
        <v>1424</v>
      </c>
      <c r="FI2" s="82" t="s">
        <v>1425</v>
      </c>
      <c r="FJ2" s="82" t="s">
        <v>1426</v>
      </c>
      <c r="FK2" s="82" t="s">
        <v>1427</v>
      </c>
      <c r="FL2" s="82" t="s">
        <v>1428</v>
      </c>
      <c r="FM2" s="82" t="s">
        <v>1429</v>
      </c>
      <c r="FN2" s="82" t="s">
        <v>1430</v>
      </c>
      <c r="FO2" s="82" t="s">
        <v>1431</v>
      </c>
      <c r="FP2" s="82" t="s">
        <v>1432</v>
      </c>
      <c r="FQ2" s="82" t="s">
        <v>1433</v>
      </c>
      <c r="FR2" s="82" t="s">
        <v>1434</v>
      </c>
      <c r="FS2" s="82" t="s">
        <v>1435</v>
      </c>
      <c r="FT2" s="82" t="s">
        <v>1436</v>
      </c>
      <c r="FU2" s="82" t="s">
        <v>1437</v>
      </c>
      <c r="FV2" s="82" t="s">
        <v>1438</v>
      </c>
      <c r="FW2" s="82" t="s">
        <v>1439</v>
      </c>
      <c r="FX2" s="82" t="s">
        <v>1440</v>
      </c>
      <c r="FY2" s="82" t="s">
        <v>1441</v>
      </c>
      <c r="FZ2" s="82" t="s">
        <v>1442</v>
      </c>
      <c r="GA2" s="82" t="s">
        <v>1443</v>
      </c>
      <c r="GB2" s="82" t="s">
        <v>1444</v>
      </c>
      <c r="GC2" s="82" t="s">
        <v>1445</v>
      </c>
      <c r="GD2" s="82" t="s">
        <v>1446</v>
      </c>
      <c r="GE2" s="82" t="s">
        <v>1447</v>
      </c>
      <c r="GF2" s="82" t="s">
        <v>1448</v>
      </c>
      <c r="GG2" s="82" t="s">
        <v>1449</v>
      </c>
      <c r="GH2" s="82" t="s">
        <v>1450</v>
      </c>
      <c r="GI2" s="82" t="s">
        <v>1451</v>
      </c>
      <c r="GJ2" s="82" t="s">
        <v>1452</v>
      </c>
      <c r="GK2" s="82" t="s">
        <v>1453</v>
      </c>
      <c r="GL2" s="82" t="s">
        <v>1454</v>
      </c>
      <c r="GM2" s="82" t="s">
        <v>1455</v>
      </c>
      <c r="GN2" s="82" t="s">
        <v>1456</v>
      </c>
      <c r="GO2" s="82" t="s">
        <v>1457</v>
      </c>
      <c r="GP2" s="82" t="s">
        <v>962</v>
      </c>
      <c r="GQ2" s="82" t="s">
        <v>656</v>
      </c>
      <c r="GR2" s="82" t="s">
        <v>657</v>
      </c>
      <c r="GS2" s="82" t="s">
        <v>658</v>
      </c>
      <c r="GT2" s="82" t="s">
        <v>659</v>
      </c>
      <c r="GU2" s="82" t="s">
        <v>660</v>
      </c>
      <c r="GV2" s="82" t="s">
        <v>1135</v>
      </c>
      <c r="GW2" s="82" t="s">
        <v>1151</v>
      </c>
      <c r="GX2" s="82" t="s">
        <v>661</v>
      </c>
      <c r="GY2" s="82" t="s">
        <v>662</v>
      </c>
      <c r="GZ2" s="82" t="s">
        <v>663</v>
      </c>
      <c r="HA2" s="82" t="s">
        <v>664</v>
      </c>
      <c r="HB2" s="82" t="s">
        <v>665</v>
      </c>
      <c r="HC2" s="82" t="s">
        <v>1152</v>
      </c>
      <c r="HD2" s="82" t="s">
        <v>1153</v>
      </c>
      <c r="HE2" s="82" t="s">
        <v>666</v>
      </c>
      <c r="HF2" s="82" t="s">
        <v>667</v>
      </c>
      <c r="HG2" s="82" t="s">
        <v>668</v>
      </c>
      <c r="HH2" s="82" t="s">
        <v>669</v>
      </c>
      <c r="HI2" s="82" t="s">
        <v>670</v>
      </c>
      <c r="HJ2" s="82" t="s">
        <v>1154</v>
      </c>
      <c r="HK2" s="82" t="s">
        <v>1155</v>
      </c>
      <c r="HL2" s="82" t="s">
        <v>671</v>
      </c>
      <c r="HM2" s="82" t="s">
        <v>672</v>
      </c>
      <c r="HN2" s="82" t="s">
        <v>673</v>
      </c>
      <c r="HO2" s="82" t="s">
        <v>674</v>
      </c>
      <c r="HP2" s="82" t="s">
        <v>675</v>
      </c>
      <c r="HQ2" s="82" t="s">
        <v>1320</v>
      </c>
      <c r="HR2" s="82" t="s">
        <v>1321</v>
      </c>
      <c r="HS2" s="82" t="s">
        <v>676</v>
      </c>
      <c r="HT2" s="82" t="s">
        <v>677</v>
      </c>
      <c r="HU2" s="82" t="s">
        <v>678</v>
      </c>
      <c r="HV2" s="82" t="s">
        <v>679</v>
      </c>
      <c r="HW2" s="82" t="s">
        <v>680</v>
      </c>
      <c r="HX2" s="82" t="s">
        <v>1159</v>
      </c>
      <c r="HY2" s="82" t="s">
        <v>681</v>
      </c>
      <c r="HZ2" s="82" t="s">
        <v>682</v>
      </c>
      <c r="IA2" s="82" t="s">
        <v>683</v>
      </c>
      <c r="IB2" s="82" t="s">
        <v>684</v>
      </c>
      <c r="IC2" s="82" t="s">
        <v>686</v>
      </c>
      <c r="ID2" s="82" t="s">
        <v>1322</v>
      </c>
      <c r="IE2" s="82" t="s">
        <v>1323</v>
      </c>
      <c r="IF2" s="82" t="s">
        <v>687</v>
      </c>
      <c r="IG2" s="82" t="s">
        <v>688</v>
      </c>
      <c r="IH2" s="82" t="s">
        <v>689</v>
      </c>
      <c r="II2" s="82" t="s">
        <v>690</v>
      </c>
      <c r="IJ2" s="82" t="s">
        <v>691</v>
      </c>
      <c r="IK2" s="82" t="s">
        <v>3580</v>
      </c>
      <c r="IL2" s="82" t="s">
        <v>692</v>
      </c>
      <c r="IM2" s="82" t="s">
        <v>693</v>
      </c>
      <c r="IN2" s="82" t="s">
        <v>694</v>
      </c>
      <c r="IO2" s="82" t="s">
        <v>695</v>
      </c>
      <c r="IP2" s="82" t="s">
        <v>696</v>
      </c>
      <c r="IQ2" s="82" t="s">
        <v>697</v>
      </c>
      <c r="IR2" s="82" t="s">
        <v>698</v>
      </c>
      <c r="IS2" s="82" t="s">
        <v>699</v>
      </c>
      <c r="IT2" s="82" t="s">
        <v>700</v>
      </c>
      <c r="IU2" s="82" t="s">
        <v>701</v>
      </c>
      <c r="IV2" s="82" t="s">
        <v>702</v>
      </c>
      <c r="IW2" s="82" t="s">
        <v>703</v>
      </c>
      <c r="IX2" s="82" t="s">
        <v>704</v>
      </c>
      <c r="IY2" s="82" t="s">
        <v>705</v>
      </c>
      <c r="IZ2" s="82" t="s">
        <v>706</v>
      </c>
      <c r="JA2" s="82" t="s">
        <v>707</v>
      </c>
      <c r="JB2" s="82" t="s">
        <v>708</v>
      </c>
      <c r="JC2" s="82" t="s">
        <v>709</v>
      </c>
      <c r="JD2" s="82" t="s">
        <v>710</v>
      </c>
      <c r="JE2" s="82" t="s">
        <v>711</v>
      </c>
      <c r="JF2" s="82" t="s">
        <v>712</v>
      </c>
      <c r="JG2" s="82" t="s">
        <v>713</v>
      </c>
      <c r="JH2" s="82" t="s">
        <v>714</v>
      </c>
      <c r="JI2" s="82" t="s">
        <v>715</v>
      </c>
      <c r="JJ2" s="82" t="s">
        <v>725</v>
      </c>
      <c r="JK2" s="82" t="s">
        <v>726</v>
      </c>
      <c r="JL2" s="82" t="s">
        <v>727</v>
      </c>
      <c r="JM2" s="82" t="s">
        <v>728</v>
      </c>
      <c r="JN2" s="82" t="s">
        <v>729</v>
      </c>
      <c r="JO2" s="82" t="s">
        <v>730</v>
      </c>
      <c r="JP2" s="82" t="s">
        <v>731</v>
      </c>
      <c r="JQ2" s="82" t="s">
        <v>732</v>
      </c>
      <c r="JR2" s="82" t="s">
        <v>733</v>
      </c>
      <c r="JS2" s="82" t="s">
        <v>1136</v>
      </c>
      <c r="JT2" s="82" t="s">
        <v>1137</v>
      </c>
      <c r="JU2" s="82" t="s">
        <v>1138</v>
      </c>
      <c r="JV2" s="82" t="s">
        <v>1458</v>
      </c>
      <c r="JW2" s="82" t="s">
        <v>1459</v>
      </c>
      <c r="JX2" s="82" t="s">
        <v>1460</v>
      </c>
      <c r="JY2" s="82" t="s">
        <v>1461</v>
      </c>
      <c r="JZ2" s="82" t="s">
        <v>1462</v>
      </c>
      <c r="KA2" s="82" t="s">
        <v>1463</v>
      </c>
      <c r="KB2" s="82" t="s">
        <v>1464</v>
      </c>
      <c r="KC2" s="82" t="s">
        <v>1465</v>
      </c>
      <c r="KD2" s="82" t="s">
        <v>1466</v>
      </c>
      <c r="KE2" s="82" t="s">
        <v>1467</v>
      </c>
      <c r="KF2" s="82" t="s">
        <v>1468</v>
      </c>
      <c r="KG2" s="82" t="s">
        <v>1469</v>
      </c>
      <c r="KH2" s="82" t="s">
        <v>1470</v>
      </c>
      <c r="KI2" s="82" t="s">
        <v>1471</v>
      </c>
      <c r="KJ2" s="82" t="s">
        <v>1472</v>
      </c>
      <c r="KK2" s="82" t="s">
        <v>1473</v>
      </c>
      <c r="KL2" s="82" t="s">
        <v>1474</v>
      </c>
      <c r="KM2" s="82" t="s">
        <v>1475</v>
      </c>
      <c r="KN2" s="82" t="s">
        <v>1476</v>
      </c>
      <c r="KO2" s="82" t="s">
        <v>1477</v>
      </c>
      <c r="KP2" s="82" t="s">
        <v>1478</v>
      </c>
      <c r="KQ2" s="82" t="s">
        <v>1479</v>
      </c>
      <c r="KR2" s="82" t="s">
        <v>1480</v>
      </c>
      <c r="KS2" s="82" t="s">
        <v>1481</v>
      </c>
      <c r="KT2" s="82" t="s">
        <v>1482</v>
      </c>
      <c r="KU2" s="82" t="s">
        <v>1483</v>
      </c>
      <c r="KV2" s="82" t="s">
        <v>1484</v>
      </c>
      <c r="KW2" s="82" t="s">
        <v>1485</v>
      </c>
      <c r="KX2" s="82" t="s">
        <v>1486</v>
      </c>
      <c r="KY2" s="82" t="s">
        <v>1487</v>
      </c>
      <c r="KZ2" s="82" t="s">
        <v>1488</v>
      </c>
      <c r="LA2" s="82" t="s">
        <v>1489</v>
      </c>
      <c r="LB2" s="82" t="s">
        <v>1490</v>
      </c>
      <c r="LC2" s="82" t="s">
        <v>1491</v>
      </c>
      <c r="LD2" s="82" t="s">
        <v>1492</v>
      </c>
      <c r="LE2" s="82" t="s">
        <v>1493</v>
      </c>
      <c r="LF2" s="82" t="s">
        <v>1494</v>
      </c>
      <c r="LG2" s="82" t="s">
        <v>1495</v>
      </c>
      <c r="LH2" s="82" t="s">
        <v>1496</v>
      </c>
      <c r="LI2" s="82" t="s">
        <v>1497</v>
      </c>
      <c r="LJ2" s="82" t="s">
        <v>1498</v>
      </c>
      <c r="LK2" s="82" t="s">
        <v>1499</v>
      </c>
      <c r="LL2" s="82" t="s">
        <v>1500</v>
      </c>
      <c r="LM2" s="82" t="s">
        <v>1501</v>
      </c>
      <c r="LN2" s="82" t="s">
        <v>1502</v>
      </c>
      <c r="LO2" s="82" t="s">
        <v>1503</v>
      </c>
      <c r="LP2" s="82" t="s">
        <v>1504</v>
      </c>
      <c r="LQ2" s="82" t="s">
        <v>1505</v>
      </c>
      <c r="LR2" s="82" t="s">
        <v>1506</v>
      </c>
      <c r="LS2" s="82" t="s">
        <v>1507</v>
      </c>
      <c r="LT2" s="82" t="s">
        <v>1508</v>
      </c>
      <c r="LU2" s="82" t="s">
        <v>1509</v>
      </c>
      <c r="LV2" s="82" t="s">
        <v>1510</v>
      </c>
      <c r="LW2" s="82" t="s">
        <v>1511</v>
      </c>
      <c r="LX2" s="82" t="s">
        <v>1512</v>
      </c>
      <c r="LY2" s="82" t="s">
        <v>1513</v>
      </c>
      <c r="LZ2" s="82" t="s">
        <v>1514</v>
      </c>
      <c r="MA2" s="82" t="s">
        <v>1515</v>
      </c>
      <c r="MB2" s="82" t="s">
        <v>1516</v>
      </c>
      <c r="MC2" s="82" t="s">
        <v>1517</v>
      </c>
      <c r="MD2" s="82" t="s">
        <v>1518</v>
      </c>
      <c r="ME2" s="82" t="s">
        <v>1519</v>
      </c>
      <c r="MF2" s="82" t="s">
        <v>3594</v>
      </c>
      <c r="MG2" s="82" t="s">
        <v>3595</v>
      </c>
      <c r="MH2" s="82" t="s">
        <v>3596</v>
      </c>
      <c r="MI2" s="82" t="s">
        <v>3597</v>
      </c>
      <c r="MJ2" s="82" t="s">
        <v>3598</v>
      </c>
      <c r="MK2" s="82" t="s">
        <v>3599</v>
      </c>
      <c r="ML2" s="82" t="s">
        <v>3600</v>
      </c>
      <c r="MM2" s="82" t="s">
        <v>3601</v>
      </c>
      <c r="MN2" s="82" t="s">
        <v>3602</v>
      </c>
      <c r="MO2" s="82" t="s">
        <v>3603</v>
      </c>
      <c r="MP2" s="82" t="s">
        <v>3604</v>
      </c>
      <c r="MQ2" s="82" t="s">
        <v>3605</v>
      </c>
      <c r="MR2" s="82" t="s">
        <v>3606</v>
      </c>
      <c r="MS2" s="82" t="s">
        <v>3607</v>
      </c>
      <c r="MT2" s="82" t="s">
        <v>3608</v>
      </c>
      <c r="MU2" s="82" t="s">
        <v>3609</v>
      </c>
      <c r="MV2" s="82" t="s">
        <v>3610</v>
      </c>
      <c r="MW2" s="82" t="s">
        <v>3611</v>
      </c>
      <c r="MX2" s="82" t="s">
        <v>3612</v>
      </c>
      <c r="MY2" s="82" t="s">
        <v>3613</v>
      </c>
      <c r="MZ2" s="82" t="s">
        <v>3614</v>
      </c>
      <c r="NA2" s="82" t="s">
        <v>3615</v>
      </c>
      <c r="NB2" s="82" t="s">
        <v>3616</v>
      </c>
      <c r="NC2" s="82" t="s">
        <v>3617</v>
      </c>
      <c r="ND2" s="82" t="s">
        <v>3618</v>
      </c>
      <c r="NE2" s="82" t="s">
        <v>3619</v>
      </c>
      <c r="NF2" s="82" t="s">
        <v>3620</v>
      </c>
      <c r="NG2" s="82" t="s">
        <v>3621</v>
      </c>
      <c r="NH2" s="82" t="s">
        <v>3622</v>
      </c>
      <c r="NI2" s="82" t="s">
        <v>3623</v>
      </c>
    </row>
    <row r="3" spans="1:373" x14ac:dyDescent="0.2">
      <c r="A3" s="132" t="s">
        <v>739</v>
      </c>
      <c r="B3" s="133" t="s">
        <v>921</v>
      </c>
      <c r="C3" s="134"/>
      <c r="D3" s="242" t="s">
        <v>1287</v>
      </c>
      <c r="E3" s="242">
        <v>0</v>
      </c>
      <c r="F3" s="243" t="s">
        <v>1288</v>
      </c>
      <c r="G3" s="243" t="s">
        <v>1242</v>
      </c>
      <c r="H3" s="243" t="s">
        <v>961</v>
      </c>
      <c r="I3" s="243">
        <v>0</v>
      </c>
      <c r="J3" s="243">
        <v>0</v>
      </c>
      <c r="K3" s="243">
        <v>0</v>
      </c>
      <c r="L3" s="243" t="s">
        <v>1243</v>
      </c>
      <c r="M3" s="243">
        <v>0</v>
      </c>
      <c r="N3" s="243" t="s">
        <v>1218</v>
      </c>
      <c r="O3" s="243">
        <v>0</v>
      </c>
      <c r="P3" s="243">
        <v>0</v>
      </c>
      <c r="Q3" s="243">
        <v>0</v>
      </c>
      <c r="R3" s="135"/>
      <c r="S3" s="135"/>
      <c r="T3" s="135"/>
      <c r="U3" s="135"/>
      <c r="V3" s="135"/>
      <c r="W3" s="135">
        <v>0</v>
      </c>
      <c r="X3" s="135">
        <v>0</v>
      </c>
      <c r="Y3" s="135">
        <v>0</v>
      </c>
      <c r="Z3" s="136">
        <v>371.02</v>
      </c>
      <c r="AA3" s="136">
        <v>793</v>
      </c>
      <c r="AB3" s="136">
        <v>0</v>
      </c>
      <c r="AC3" s="137">
        <v>0</v>
      </c>
      <c r="AD3" s="137">
        <v>0</v>
      </c>
      <c r="AE3" s="138">
        <v>10</v>
      </c>
      <c r="AF3" s="138">
        <v>8</v>
      </c>
      <c r="AG3" s="138">
        <v>2</v>
      </c>
      <c r="AH3" s="139">
        <v>1</v>
      </c>
      <c r="AI3" s="139" t="s">
        <v>1387</v>
      </c>
      <c r="AJ3" s="138" t="s">
        <v>3624</v>
      </c>
      <c r="AK3" s="195" t="s">
        <v>3625</v>
      </c>
      <c r="AL3" s="138" t="s">
        <v>1316</v>
      </c>
      <c r="AM3" s="27" t="s">
        <v>1316</v>
      </c>
      <c r="AN3" s="138">
        <v>5.18</v>
      </c>
      <c r="AO3" s="140">
        <v>3.3783783783783785</v>
      </c>
      <c r="AP3" s="140">
        <v>1.3513513513513513</v>
      </c>
      <c r="AQ3" s="140">
        <v>4.8262548262548263E-2</v>
      </c>
      <c r="AR3" s="138">
        <v>0</v>
      </c>
      <c r="AS3" s="138">
        <v>0</v>
      </c>
      <c r="AT3" s="198"/>
      <c r="AU3" s="198"/>
      <c r="AV3" s="198"/>
      <c r="AW3" s="211" t="s">
        <v>790</v>
      </c>
      <c r="AX3" s="211" t="s">
        <v>1324</v>
      </c>
      <c r="AY3" s="141"/>
      <c r="AZ3" s="141"/>
      <c r="BA3" s="142">
        <v>1</v>
      </c>
      <c r="BB3" s="142" t="s">
        <v>527</v>
      </c>
      <c r="BC3" s="142"/>
      <c r="BD3" s="142">
        <v>1</v>
      </c>
      <c r="BE3" s="143" t="s">
        <v>541</v>
      </c>
      <c r="BF3" s="144">
        <v>1</v>
      </c>
      <c r="BG3" s="145"/>
      <c r="BH3" s="212"/>
      <c r="BI3" s="213"/>
      <c r="BJ3" s="146">
        <v>70</v>
      </c>
      <c r="BK3" s="214">
        <v>78</v>
      </c>
      <c r="BL3" s="13">
        <v>47</v>
      </c>
      <c r="BM3" s="13">
        <v>23</v>
      </c>
      <c r="BN3" s="27" t="s">
        <v>1392</v>
      </c>
      <c r="BO3" s="13" t="s">
        <v>1392</v>
      </c>
      <c r="BP3" s="147">
        <v>90</v>
      </c>
      <c r="BQ3" s="148"/>
      <c r="BR3" s="149"/>
      <c r="BS3" s="138">
        <v>1000000000</v>
      </c>
      <c r="BT3" s="150">
        <v>28</v>
      </c>
      <c r="BU3" s="151">
        <v>0.6</v>
      </c>
      <c r="BV3" s="150">
        <v>0</v>
      </c>
      <c r="BW3" s="152">
        <v>0</v>
      </c>
      <c r="BX3" s="152">
        <v>0</v>
      </c>
      <c r="BY3" s="152">
        <v>0</v>
      </c>
      <c r="BZ3" s="150">
        <v>0</v>
      </c>
      <c r="CA3" s="150">
        <v>0</v>
      </c>
      <c r="CB3" s="150">
        <v>28</v>
      </c>
      <c r="CC3" s="151">
        <v>0.6</v>
      </c>
      <c r="CD3" s="150"/>
      <c r="CE3" s="150"/>
      <c r="CF3" s="153">
        <v>42</v>
      </c>
      <c r="CG3" s="154">
        <v>14</v>
      </c>
      <c r="CH3" s="148">
        <v>0</v>
      </c>
      <c r="CI3" s="155"/>
      <c r="CJ3" s="156" t="s">
        <v>1316</v>
      </c>
      <c r="CK3" s="157" t="s">
        <v>1316</v>
      </c>
      <c r="CL3" s="154">
        <v>0</v>
      </c>
      <c r="CM3" s="154">
        <v>0</v>
      </c>
      <c r="CN3" s="151">
        <v>0</v>
      </c>
      <c r="CO3" s="151">
        <v>5.4592852137351091</v>
      </c>
      <c r="CP3" s="158"/>
      <c r="CQ3" s="151">
        <v>1</v>
      </c>
      <c r="CR3" s="199">
        <v>43211</v>
      </c>
      <c r="CS3" s="200">
        <v>43211</v>
      </c>
      <c r="CT3" s="201">
        <v>43283</v>
      </c>
      <c r="CU3" s="201">
        <v>43168</v>
      </c>
      <c r="CV3" s="201">
        <v>43179</v>
      </c>
      <c r="CW3" s="201">
        <v>43182</v>
      </c>
      <c r="CX3" s="201">
        <v>43224</v>
      </c>
      <c r="CY3" s="151">
        <v>0.11568772653376092</v>
      </c>
      <c r="CZ3" s="150">
        <v>0</v>
      </c>
      <c r="DA3" s="151">
        <v>0</v>
      </c>
      <c r="DB3" s="151">
        <v>0</v>
      </c>
      <c r="DC3" s="151">
        <v>0.66666666666666663</v>
      </c>
      <c r="DD3" s="151">
        <v>0</v>
      </c>
      <c r="DE3" s="159">
        <v>0</v>
      </c>
      <c r="DF3" s="13" t="s">
        <v>1316</v>
      </c>
      <c r="DG3" s="85" t="s">
        <v>1394</v>
      </c>
      <c r="DH3" s="18" t="b">
        <v>0</v>
      </c>
      <c r="DI3" s="84"/>
      <c r="DJ3" s="84"/>
      <c r="DK3" s="215"/>
      <c r="DL3" s="194"/>
      <c r="DM3" s="216"/>
      <c r="DN3" s="151"/>
      <c r="DO3" s="84"/>
      <c r="DP3" s="84"/>
      <c r="DQ3" s="84"/>
      <c r="DR3" s="84"/>
      <c r="DS3" s="84"/>
      <c r="DT3" s="84"/>
      <c r="DU3" s="84"/>
      <c r="DV3" s="18"/>
      <c r="DW3" s="18"/>
      <c r="DX3" s="18"/>
      <c r="DY3" s="197"/>
      <c r="DZ3" s="197">
        <v>0</v>
      </c>
      <c r="EA3" s="197">
        <v>0</v>
      </c>
      <c r="EB3" s="197">
        <v>0</v>
      </c>
      <c r="EC3" s="197">
        <v>0</v>
      </c>
      <c r="ED3" s="197">
        <v>0</v>
      </c>
      <c r="EE3" s="197">
        <v>0</v>
      </c>
      <c r="EF3" s="197">
        <v>0</v>
      </c>
      <c r="EG3" s="221"/>
      <c r="EH3" s="255">
        <v>29</v>
      </c>
      <c r="EI3" s="255">
        <v>33</v>
      </c>
      <c r="EJ3" s="255">
        <v>35</v>
      </c>
      <c r="EK3" s="254">
        <v>34</v>
      </c>
      <c r="EL3" s="254">
        <v>34</v>
      </c>
      <c r="EM3" s="254">
        <v>25</v>
      </c>
      <c r="EN3" s="255">
        <v>42</v>
      </c>
      <c r="EO3" s="254">
        <v>35</v>
      </c>
      <c r="EP3" s="254">
        <v>35</v>
      </c>
      <c r="EQ3" s="257">
        <v>15</v>
      </c>
      <c r="ER3" s="257">
        <v>24</v>
      </c>
      <c r="ES3" s="257">
        <v>15</v>
      </c>
      <c r="ET3" s="257">
        <v>29</v>
      </c>
      <c r="EU3" s="254">
        <v>50</v>
      </c>
      <c r="EV3" s="254">
        <v>52</v>
      </c>
      <c r="EW3" s="254">
        <v>40</v>
      </c>
      <c r="EX3" s="254">
        <v>40</v>
      </c>
      <c r="EY3" s="254">
        <v>40</v>
      </c>
      <c r="EZ3" s="254">
        <v>40</v>
      </c>
      <c r="FA3" s="254">
        <v>40</v>
      </c>
      <c r="FB3" s="254">
        <v>40</v>
      </c>
      <c r="FC3" s="254">
        <v>40</v>
      </c>
      <c r="FD3" s="254">
        <v>40</v>
      </c>
      <c r="FE3" s="254">
        <v>40</v>
      </c>
      <c r="FF3" s="255">
        <v>61</v>
      </c>
      <c r="FG3" s="255">
        <v>61</v>
      </c>
      <c r="FH3" s="255">
        <v>61</v>
      </c>
      <c r="FI3" s="255">
        <v>61</v>
      </c>
      <c r="FJ3" s="254">
        <v>60</v>
      </c>
      <c r="FK3" s="254">
        <v>60</v>
      </c>
      <c r="FL3" s="254">
        <v>60</v>
      </c>
      <c r="FM3" s="254">
        <v>60</v>
      </c>
      <c r="FN3" s="254">
        <v>60</v>
      </c>
      <c r="FO3" s="254">
        <v>60</v>
      </c>
      <c r="FP3" s="254">
        <v>60</v>
      </c>
      <c r="FQ3" s="254">
        <v>58</v>
      </c>
      <c r="FR3" s="254">
        <v>58</v>
      </c>
      <c r="FS3" s="254">
        <v>58</v>
      </c>
      <c r="FT3" s="254">
        <v>58</v>
      </c>
      <c r="FU3" s="254">
        <v>58</v>
      </c>
      <c r="FV3" s="254">
        <v>58</v>
      </c>
      <c r="FW3" s="254">
        <v>58</v>
      </c>
      <c r="FX3" s="254">
        <v>58</v>
      </c>
      <c r="FY3" s="254">
        <v>58</v>
      </c>
      <c r="FZ3" s="254">
        <v>58</v>
      </c>
      <c r="GA3" s="254">
        <v>58</v>
      </c>
      <c r="GB3" s="254">
        <v>56</v>
      </c>
      <c r="GC3" s="254">
        <v>56</v>
      </c>
      <c r="GD3" s="254">
        <v>56</v>
      </c>
      <c r="GE3" s="258"/>
      <c r="GF3" s="254">
        <v>55</v>
      </c>
      <c r="GG3" s="254">
        <v>55</v>
      </c>
      <c r="GH3" s="254">
        <v>55</v>
      </c>
      <c r="GI3" s="254">
        <v>53</v>
      </c>
      <c r="GJ3" s="254">
        <v>53</v>
      </c>
      <c r="GK3" s="254">
        <v>52</v>
      </c>
      <c r="GL3" s="254">
        <v>52</v>
      </c>
      <c r="GM3" s="258"/>
      <c r="GN3" s="254">
        <v>45</v>
      </c>
      <c r="GO3" s="254">
        <v>45</v>
      </c>
      <c r="GP3" s="254">
        <v>45</v>
      </c>
      <c r="GQ3" s="254">
        <v>45</v>
      </c>
      <c r="GR3" s="254">
        <v>46</v>
      </c>
      <c r="GS3" s="254">
        <v>45</v>
      </c>
      <c r="GT3" s="254">
        <v>45</v>
      </c>
      <c r="GU3" s="254">
        <v>39</v>
      </c>
      <c r="GV3" s="254">
        <v>39</v>
      </c>
      <c r="GW3" s="254">
        <v>39</v>
      </c>
      <c r="GX3" s="254">
        <v>39</v>
      </c>
      <c r="GY3" s="254">
        <v>38</v>
      </c>
      <c r="GZ3" s="254">
        <v>38</v>
      </c>
      <c r="HA3" s="254">
        <v>37</v>
      </c>
      <c r="HB3" s="254">
        <v>37</v>
      </c>
      <c r="HC3" s="254">
        <v>37</v>
      </c>
      <c r="HD3" s="254">
        <v>37</v>
      </c>
      <c r="HE3" s="254">
        <v>37</v>
      </c>
      <c r="HF3" s="254">
        <v>37</v>
      </c>
      <c r="HG3" s="254">
        <v>37</v>
      </c>
      <c r="HH3" s="254">
        <v>37</v>
      </c>
      <c r="HI3" s="254">
        <v>35</v>
      </c>
      <c r="HJ3" s="254">
        <v>35</v>
      </c>
      <c r="HK3" s="254">
        <v>35</v>
      </c>
      <c r="HL3" s="254">
        <v>35</v>
      </c>
      <c r="HM3" s="254">
        <v>31</v>
      </c>
      <c r="HN3" s="254">
        <v>31</v>
      </c>
      <c r="HO3" s="254">
        <v>31</v>
      </c>
      <c r="HP3" s="254">
        <v>31</v>
      </c>
      <c r="HQ3" s="254">
        <v>31</v>
      </c>
      <c r="HR3" s="254">
        <v>31</v>
      </c>
      <c r="HS3" s="254">
        <v>31</v>
      </c>
      <c r="HT3" s="254">
        <v>31</v>
      </c>
      <c r="HU3" s="254">
        <v>31</v>
      </c>
      <c r="HV3" s="254">
        <v>31</v>
      </c>
      <c r="HW3" s="254">
        <v>31</v>
      </c>
      <c r="HX3" s="254">
        <v>31</v>
      </c>
      <c r="HY3" s="254">
        <v>31</v>
      </c>
      <c r="HZ3" s="254">
        <v>29</v>
      </c>
      <c r="IA3" s="254">
        <v>29</v>
      </c>
      <c r="IB3" s="254">
        <v>29</v>
      </c>
      <c r="IC3" s="254">
        <v>29</v>
      </c>
      <c r="ID3" s="254">
        <v>29</v>
      </c>
      <c r="IE3" s="254">
        <v>29</v>
      </c>
      <c r="IF3" s="254">
        <v>29</v>
      </c>
      <c r="IG3" s="254">
        <v>28</v>
      </c>
      <c r="IH3" s="254">
        <v>28</v>
      </c>
      <c r="II3" s="254">
        <v>28</v>
      </c>
      <c r="IJ3" s="258"/>
      <c r="IK3" s="254">
        <v>28</v>
      </c>
      <c r="IL3" s="254">
        <v>28</v>
      </c>
      <c r="IM3" s="258"/>
      <c r="IN3" s="258"/>
      <c r="IO3" s="258"/>
      <c r="IP3" s="258"/>
      <c r="IQ3" s="258"/>
      <c r="IR3" s="258"/>
      <c r="IS3" s="258"/>
      <c r="IT3" s="258"/>
      <c r="IU3" s="258"/>
      <c r="IV3" s="258"/>
      <c r="IW3" s="258"/>
      <c r="IX3" s="258"/>
      <c r="IY3" s="258"/>
      <c r="IZ3" s="258"/>
      <c r="JA3" s="258"/>
      <c r="JB3" s="258"/>
      <c r="JC3" s="258"/>
      <c r="JD3" s="258"/>
      <c r="JE3" s="258"/>
      <c r="JF3" s="258"/>
      <c r="JG3" s="258"/>
      <c r="JH3" s="258"/>
      <c r="JI3" s="258"/>
      <c r="JJ3" s="258"/>
      <c r="JK3" s="258"/>
      <c r="JL3" s="258"/>
      <c r="JM3" s="258"/>
      <c r="JN3" s="258"/>
      <c r="JO3" s="258"/>
      <c r="JP3" s="258"/>
      <c r="JQ3" s="258"/>
      <c r="JR3" s="258"/>
      <c r="JS3" s="258"/>
      <c r="JT3" s="258"/>
      <c r="JU3" s="258"/>
      <c r="JV3" s="258"/>
      <c r="JW3" s="258"/>
      <c r="JX3" s="258"/>
      <c r="JY3" s="258"/>
      <c r="JZ3" s="258"/>
      <c r="KA3" s="258"/>
      <c r="KB3" s="258"/>
      <c r="KC3" s="258"/>
      <c r="KD3" s="258"/>
      <c r="KE3" s="258"/>
      <c r="KF3" s="258"/>
      <c r="KG3" s="258"/>
      <c r="KH3" s="258"/>
      <c r="KI3" s="258"/>
      <c r="KJ3" s="258"/>
      <c r="KK3" s="258"/>
      <c r="KL3" s="258"/>
      <c r="KM3" s="258"/>
      <c r="KN3" s="258"/>
      <c r="KO3" s="258"/>
      <c r="KP3" s="258"/>
      <c r="KQ3" s="258"/>
      <c r="KR3" s="258"/>
      <c r="KS3" s="258"/>
      <c r="KT3" s="258"/>
      <c r="KU3" s="258"/>
      <c r="KV3" s="258"/>
      <c r="KW3" s="258"/>
      <c r="KX3" s="258"/>
      <c r="KY3" s="258"/>
      <c r="KZ3" s="258"/>
      <c r="LA3" s="258"/>
      <c r="LB3" s="258"/>
      <c r="LC3" s="258"/>
      <c r="LD3" s="258"/>
      <c r="LE3" s="258"/>
      <c r="LF3" s="258"/>
      <c r="LG3" s="258"/>
      <c r="LH3" s="258"/>
      <c r="LI3" s="258"/>
      <c r="LJ3" s="258"/>
      <c r="LK3" s="258"/>
      <c r="LL3" s="258"/>
      <c r="LM3" s="258"/>
      <c r="LN3" s="258"/>
      <c r="LO3" s="258"/>
      <c r="LP3" s="258"/>
      <c r="LQ3" s="258"/>
      <c r="LR3" s="258"/>
      <c r="LS3" s="258"/>
      <c r="LT3" s="258"/>
      <c r="LU3" s="258"/>
      <c r="LV3" s="258"/>
      <c r="LW3" s="258"/>
      <c r="LX3" s="258"/>
      <c r="LY3" s="258"/>
      <c r="LZ3" s="258"/>
      <c r="MA3" s="258"/>
      <c r="MB3" s="258"/>
      <c r="MC3" s="258"/>
      <c r="MD3" s="258"/>
      <c r="ME3" s="258"/>
      <c r="MF3" s="303"/>
      <c r="MG3" s="303"/>
      <c r="MH3" s="303"/>
      <c r="MI3" s="303"/>
      <c r="MJ3" s="303"/>
      <c r="MK3" s="303"/>
      <c r="ML3" s="303"/>
      <c r="MM3" s="303"/>
      <c r="MN3" s="303"/>
      <c r="MO3" s="303"/>
      <c r="MP3" s="303"/>
      <c r="MQ3" s="303"/>
      <c r="MR3" s="303"/>
      <c r="MS3" s="303"/>
      <c r="MT3" s="303"/>
      <c r="MU3" s="303"/>
      <c r="MV3" s="303"/>
      <c r="MW3" s="303"/>
      <c r="MX3" s="303"/>
      <c r="MY3" s="303"/>
      <c r="MZ3" s="303"/>
      <c r="NA3" s="303"/>
      <c r="NB3" s="303"/>
      <c r="NC3" s="303"/>
      <c r="ND3" s="303"/>
      <c r="NE3" s="303"/>
      <c r="NF3" s="303"/>
      <c r="NG3" s="303"/>
      <c r="NH3" s="303"/>
      <c r="NI3" s="303"/>
    </row>
    <row r="4" spans="1:373" x14ac:dyDescent="0.2">
      <c r="A4" s="132" t="s">
        <v>739</v>
      </c>
      <c r="B4" s="133" t="s">
        <v>922</v>
      </c>
      <c r="C4" s="134"/>
      <c r="D4" s="242" t="s">
        <v>1250</v>
      </c>
      <c r="E4" s="242">
        <v>0</v>
      </c>
      <c r="F4" s="243" t="s">
        <v>1251</v>
      </c>
      <c r="G4" s="243" t="s">
        <v>1223</v>
      </c>
      <c r="H4" s="243" t="s">
        <v>961</v>
      </c>
      <c r="I4" s="243">
        <v>0</v>
      </c>
      <c r="J4" s="243">
        <v>0</v>
      </c>
      <c r="K4" s="243">
        <v>0</v>
      </c>
      <c r="L4" s="243" t="s">
        <v>1224</v>
      </c>
      <c r="M4" s="243">
        <v>0</v>
      </c>
      <c r="N4" s="243" t="s">
        <v>1217</v>
      </c>
      <c r="O4" s="243">
        <v>0</v>
      </c>
      <c r="P4" s="243">
        <v>0</v>
      </c>
      <c r="Q4" s="243">
        <v>0</v>
      </c>
      <c r="R4" s="135"/>
      <c r="S4" s="135"/>
      <c r="T4" s="135"/>
      <c r="U4" s="135"/>
      <c r="V4" s="135"/>
      <c r="W4" s="135">
        <v>0</v>
      </c>
      <c r="X4" s="135">
        <v>0</v>
      </c>
      <c r="Y4" s="135">
        <v>0</v>
      </c>
      <c r="Z4" s="136">
        <v>367.53</v>
      </c>
      <c r="AA4" s="136">
        <v>762.61</v>
      </c>
      <c r="AB4" s="136">
        <v>0</v>
      </c>
      <c r="AC4" s="137">
        <v>0</v>
      </c>
      <c r="AD4" s="137">
        <v>0</v>
      </c>
      <c r="AE4" s="138">
        <v>10</v>
      </c>
      <c r="AF4" s="138">
        <v>8</v>
      </c>
      <c r="AG4" s="138">
        <v>2</v>
      </c>
      <c r="AH4" s="139">
        <v>1</v>
      </c>
      <c r="AI4" s="139" t="s">
        <v>1387</v>
      </c>
      <c r="AJ4" s="138" t="s">
        <v>3626</v>
      </c>
      <c r="AK4" s="195" t="s">
        <v>3627</v>
      </c>
      <c r="AL4" s="138" t="s">
        <v>1316</v>
      </c>
      <c r="AM4" s="27" t="s">
        <v>1316</v>
      </c>
      <c r="AN4" s="138">
        <v>8.68</v>
      </c>
      <c r="AO4" s="140">
        <v>3.4562211981566819</v>
      </c>
      <c r="AP4" s="140">
        <v>0.37442396313364057</v>
      </c>
      <c r="AQ4" s="140">
        <v>2.880184331797235E-2</v>
      </c>
      <c r="AR4" s="138">
        <v>0</v>
      </c>
      <c r="AS4" s="138">
        <v>0</v>
      </c>
      <c r="AT4" s="198"/>
      <c r="AU4" s="198"/>
      <c r="AV4" s="198"/>
      <c r="AW4" s="211" t="s">
        <v>790</v>
      </c>
      <c r="AX4" s="211" t="s">
        <v>1324</v>
      </c>
      <c r="AY4" s="141"/>
      <c r="AZ4" s="141"/>
      <c r="BA4" s="142">
        <v>1</v>
      </c>
      <c r="BB4" s="142" t="s">
        <v>527</v>
      </c>
      <c r="BC4" s="142"/>
      <c r="BD4" s="142">
        <v>1</v>
      </c>
      <c r="BE4" s="143" t="s">
        <v>541</v>
      </c>
      <c r="BF4" s="144">
        <v>1</v>
      </c>
      <c r="BG4" s="145"/>
      <c r="BH4" s="212"/>
      <c r="BI4" s="213"/>
      <c r="BJ4" s="146">
        <v>120</v>
      </c>
      <c r="BK4" s="214">
        <v>131</v>
      </c>
      <c r="BL4" s="13">
        <v>80</v>
      </c>
      <c r="BM4" s="13">
        <v>40</v>
      </c>
      <c r="BN4" s="27" t="s">
        <v>1393</v>
      </c>
      <c r="BO4" s="13" t="s">
        <v>1393</v>
      </c>
      <c r="BP4" s="147">
        <v>100</v>
      </c>
      <c r="BQ4" s="148"/>
      <c r="BR4" s="149"/>
      <c r="BS4" s="138">
        <v>1000000000</v>
      </c>
      <c r="BT4" s="150">
        <v>9</v>
      </c>
      <c r="BU4" s="151">
        <v>0.93</v>
      </c>
      <c r="BV4" s="150">
        <v>4</v>
      </c>
      <c r="BW4" s="152">
        <v>0</v>
      </c>
      <c r="BX4" s="152">
        <v>0</v>
      </c>
      <c r="BY4" s="152">
        <v>0</v>
      </c>
      <c r="BZ4" s="150">
        <v>0</v>
      </c>
      <c r="CA4" s="150">
        <v>0</v>
      </c>
      <c r="CB4" s="150">
        <v>13</v>
      </c>
      <c r="CC4" s="151">
        <v>0.89</v>
      </c>
      <c r="CD4" s="150"/>
      <c r="CE4" s="150"/>
      <c r="CF4" s="153">
        <v>107</v>
      </c>
      <c r="CG4" s="154">
        <v>24</v>
      </c>
      <c r="CH4" s="148">
        <v>0</v>
      </c>
      <c r="CI4" s="155"/>
      <c r="CJ4" s="156" t="s">
        <v>1316</v>
      </c>
      <c r="CK4" s="157" t="s">
        <v>1316</v>
      </c>
      <c r="CL4" s="154">
        <v>12247.480000000001</v>
      </c>
      <c r="CM4" s="154">
        <v>0</v>
      </c>
      <c r="CN4" s="151">
        <v>0</v>
      </c>
      <c r="CO4" s="151">
        <v>5.1598073626642735</v>
      </c>
      <c r="CP4" s="158"/>
      <c r="CQ4" s="151">
        <v>0.13</v>
      </c>
      <c r="CR4" s="199">
        <v>43087</v>
      </c>
      <c r="CS4" s="200">
        <v>43185</v>
      </c>
      <c r="CT4" s="201">
        <v>43255</v>
      </c>
      <c r="CU4" s="201">
        <v>43195</v>
      </c>
      <c r="CV4" s="201">
        <v>43179</v>
      </c>
      <c r="CW4" s="201">
        <v>43209</v>
      </c>
      <c r="CX4" s="201">
        <v>43251</v>
      </c>
      <c r="CY4" s="151">
        <v>0.55571561214212162</v>
      </c>
      <c r="CZ4" s="150">
        <v>0</v>
      </c>
      <c r="DA4" s="151">
        <v>0</v>
      </c>
      <c r="DB4" s="151">
        <v>0.453125</v>
      </c>
      <c r="DC4" s="151">
        <v>0.328125</v>
      </c>
      <c r="DD4" s="151">
        <v>0.171875</v>
      </c>
      <c r="DE4" s="159">
        <v>0</v>
      </c>
      <c r="DF4" s="13" t="s">
        <v>1316</v>
      </c>
      <c r="DG4" s="85" t="s">
        <v>1394</v>
      </c>
      <c r="DH4" s="18" t="b">
        <v>0</v>
      </c>
      <c r="DI4" s="84"/>
      <c r="DJ4" s="84"/>
      <c r="DK4" s="215"/>
      <c r="DL4" s="194"/>
      <c r="DM4" s="216"/>
      <c r="DN4" s="151"/>
      <c r="DO4" s="84"/>
      <c r="DP4" s="84"/>
      <c r="DQ4" s="84"/>
      <c r="DR4" s="84"/>
      <c r="DS4" s="84"/>
      <c r="DT4" s="84"/>
      <c r="DU4" s="84"/>
      <c r="DV4" s="18"/>
      <c r="DW4" s="18"/>
      <c r="DX4" s="18"/>
      <c r="DY4" s="197"/>
      <c r="DZ4" s="197">
        <v>0</v>
      </c>
      <c r="EA4" s="197">
        <v>0</v>
      </c>
      <c r="EB4" s="197">
        <v>0</v>
      </c>
      <c r="EC4" s="197">
        <v>0</v>
      </c>
      <c r="ED4" s="197">
        <v>0</v>
      </c>
      <c r="EE4" s="197">
        <v>0</v>
      </c>
      <c r="EF4" s="197">
        <v>4</v>
      </c>
      <c r="EG4" s="219"/>
      <c r="EH4" s="224">
        <v>40</v>
      </c>
      <c r="EI4" s="223">
        <v>2</v>
      </c>
      <c r="EJ4" s="224">
        <v>44</v>
      </c>
      <c r="EK4" s="224">
        <v>42</v>
      </c>
      <c r="EL4" s="224">
        <v>42</v>
      </c>
      <c r="EM4" s="225">
        <v>73</v>
      </c>
      <c r="EN4" s="225">
        <v>92</v>
      </c>
      <c r="EO4" s="225">
        <v>73</v>
      </c>
      <c r="EP4" s="224">
        <v>66</v>
      </c>
      <c r="EQ4" s="223">
        <v>2</v>
      </c>
      <c r="ER4" s="223">
        <v>3</v>
      </c>
      <c r="ES4" s="223">
        <v>6</v>
      </c>
      <c r="ET4" s="222">
        <v>0</v>
      </c>
      <c r="EU4" s="223">
        <v>19</v>
      </c>
      <c r="EV4" s="223">
        <v>30</v>
      </c>
      <c r="EW4" s="223">
        <v>17</v>
      </c>
      <c r="EX4" s="223">
        <v>17</v>
      </c>
      <c r="EY4" s="223">
        <v>17</v>
      </c>
      <c r="EZ4" s="223">
        <v>2</v>
      </c>
      <c r="FA4" s="223">
        <v>2</v>
      </c>
      <c r="FB4" s="225">
        <v>118</v>
      </c>
      <c r="FC4" s="225">
        <v>118</v>
      </c>
      <c r="FD4" s="225">
        <v>118</v>
      </c>
      <c r="FE4" s="225">
        <v>118</v>
      </c>
      <c r="FF4" s="226">
        <v>236</v>
      </c>
      <c r="FG4" s="226">
        <v>236</v>
      </c>
      <c r="FH4" s="225">
        <v>116</v>
      </c>
      <c r="FI4" s="225">
        <v>116</v>
      </c>
      <c r="FJ4" s="225">
        <v>116</v>
      </c>
      <c r="FK4" s="225">
        <v>115</v>
      </c>
      <c r="FL4" s="225">
        <v>115</v>
      </c>
      <c r="FM4" s="225">
        <v>115</v>
      </c>
      <c r="FN4" s="225">
        <v>115</v>
      </c>
      <c r="FO4" s="225">
        <v>115</v>
      </c>
      <c r="FP4" s="225">
        <v>115</v>
      </c>
      <c r="FQ4" s="225">
        <v>114</v>
      </c>
      <c r="FR4" s="225">
        <v>114</v>
      </c>
      <c r="FS4" s="225">
        <v>114</v>
      </c>
      <c r="FT4" s="225">
        <v>114</v>
      </c>
      <c r="FU4" s="225">
        <v>98</v>
      </c>
      <c r="FV4" s="225">
        <v>96</v>
      </c>
      <c r="FW4" s="225">
        <v>95</v>
      </c>
      <c r="FX4" s="225">
        <v>95</v>
      </c>
      <c r="FY4" s="225">
        <v>95</v>
      </c>
      <c r="FZ4" s="225">
        <v>95</v>
      </c>
      <c r="GA4" s="225">
        <v>95</v>
      </c>
      <c r="GB4" s="225">
        <v>93</v>
      </c>
      <c r="GC4" s="225">
        <v>93</v>
      </c>
      <c r="GD4" s="225">
        <v>90</v>
      </c>
      <c r="GE4" s="247"/>
      <c r="GF4" s="225">
        <v>90</v>
      </c>
      <c r="GG4" s="225">
        <v>90</v>
      </c>
      <c r="GH4" s="225">
        <v>90</v>
      </c>
      <c r="GI4" s="225">
        <v>90</v>
      </c>
      <c r="GJ4" s="225">
        <v>90</v>
      </c>
      <c r="GK4" s="225">
        <v>90</v>
      </c>
      <c r="GL4" s="225">
        <v>90</v>
      </c>
      <c r="GM4" s="247"/>
      <c r="GN4" s="224">
        <v>76</v>
      </c>
      <c r="GO4" s="224">
        <v>77</v>
      </c>
      <c r="GP4" s="224">
        <v>77</v>
      </c>
      <c r="GQ4" s="224">
        <v>77</v>
      </c>
      <c r="GR4" s="224">
        <v>77</v>
      </c>
      <c r="GS4" s="224">
        <v>77</v>
      </c>
      <c r="GT4" s="224">
        <v>77</v>
      </c>
      <c r="GU4" s="224">
        <v>76</v>
      </c>
      <c r="GV4" s="224">
        <v>72</v>
      </c>
      <c r="GW4" s="224">
        <v>72</v>
      </c>
      <c r="GX4" s="224">
        <v>72</v>
      </c>
      <c r="GY4" s="224">
        <v>60</v>
      </c>
      <c r="GZ4" s="224">
        <v>60</v>
      </c>
      <c r="HA4" s="224">
        <v>47</v>
      </c>
      <c r="HB4" s="224">
        <v>47</v>
      </c>
      <c r="HC4" s="224">
        <v>46</v>
      </c>
      <c r="HD4" s="224">
        <v>46</v>
      </c>
      <c r="HE4" s="224">
        <v>46</v>
      </c>
      <c r="HF4" s="224">
        <v>46</v>
      </c>
      <c r="HG4" s="224">
        <v>46</v>
      </c>
      <c r="HH4" s="224">
        <v>46</v>
      </c>
      <c r="HI4" s="223">
        <v>40</v>
      </c>
      <c r="HJ4" s="223">
        <v>40</v>
      </c>
      <c r="HK4" s="223">
        <v>40</v>
      </c>
      <c r="HL4" s="223">
        <v>40</v>
      </c>
      <c r="HM4" s="223">
        <v>32</v>
      </c>
      <c r="HN4" s="223">
        <v>32</v>
      </c>
      <c r="HO4" s="223">
        <v>29</v>
      </c>
      <c r="HP4" s="223">
        <v>29</v>
      </c>
      <c r="HQ4" s="223">
        <v>29</v>
      </c>
      <c r="HR4" s="223">
        <v>29</v>
      </c>
      <c r="HS4" s="223">
        <v>29</v>
      </c>
      <c r="HT4" s="223">
        <v>29</v>
      </c>
      <c r="HU4" s="223">
        <v>29</v>
      </c>
      <c r="HV4" s="223">
        <v>29</v>
      </c>
      <c r="HW4" s="223">
        <v>29</v>
      </c>
      <c r="HX4" s="223">
        <v>29</v>
      </c>
      <c r="HY4" s="223">
        <v>29</v>
      </c>
      <c r="HZ4" s="223">
        <v>29</v>
      </c>
      <c r="IA4" s="223">
        <v>29</v>
      </c>
      <c r="IB4" s="223">
        <v>29</v>
      </c>
      <c r="IC4" s="223">
        <v>14</v>
      </c>
      <c r="ID4" s="223">
        <v>14</v>
      </c>
      <c r="IE4" s="223">
        <v>14</v>
      </c>
      <c r="IF4" s="223">
        <v>14</v>
      </c>
      <c r="IG4" s="223">
        <v>11</v>
      </c>
      <c r="IH4" s="223">
        <v>11</v>
      </c>
      <c r="II4" s="223">
        <v>9</v>
      </c>
      <c r="IJ4" s="247"/>
      <c r="IK4" s="223">
        <v>9</v>
      </c>
      <c r="IL4" s="223">
        <v>9</v>
      </c>
      <c r="IM4" s="247"/>
      <c r="IN4" s="247"/>
      <c r="IO4" s="247"/>
      <c r="IP4" s="247"/>
      <c r="IQ4" s="247"/>
      <c r="IR4" s="247"/>
      <c r="IS4" s="247"/>
      <c r="IT4" s="247"/>
      <c r="IU4" s="247"/>
      <c r="IV4" s="247"/>
      <c r="IW4" s="247"/>
      <c r="IX4" s="247"/>
      <c r="IY4" s="247"/>
      <c r="IZ4" s="247"/>
      <c r="JA4" s="247"/>
      <c r="JB4" s="247"/>
      <c r="JC4" s="247"/>
      <c r="JD4" s="247"/>
      <c r="JE4" s="247"/>
      <c r="JF4" s="247"/>
      <c r="JG4" s="247"/>
      <c r="JH4" s="247"/>
      <c r="JI4" s="247"/>
      <c r="JJ4" s="247"/>
      <c r="JK4" s="247"/>
      <c r="JL4" s="247"/>
      <c r="JM4" s="247"/>
      <c r="JN4" s="247"/>
      <c r="JO4" s="247"/>
      <c r="JP4" s="247"/>
      <c r="JQ4" s="247"/>
      <c r="JR4" s="247"/>
      <c r="JS4" s="247"/>
      <c r="JT4" s="247"/>
      <c r="JU4" s="247"/>
      <c r="JV4" s="247"/>
      <c r="JW4" s="247"/>
      <c r="JX4" s="247"/>
      <c r="JY4" s="247"/>
      <c r="JZ4" s="247"/>
      <c r="KA4" s="247"/>
      <c r="KB4" s="247"/>
      <c r="KC4" s="247"/>
      <c r="KD4" s="247"/>
      <c r="KE4" s="247"/>
      <c r="KF4" s="247"/>
      <c r="KG4" s="247"/>
      <c r="KH4" s="247"/>
      <c r="KI4" s="247"/>
      <c r="KJ4" s="247"/>
      <c r="KK4" s="247"/>
      <c r="KL4" s="247"/>
      <c r="KM4" s="247"/>
      <c r="KN4" s="247"/>
      <c r="KO4" s="247"/>
      <c r="KP4" s="247"/>
      <c r="KQ4" s="247"/>
      <c r="KR4" s="247"/>
      <c r="KS4" s="247"/>
      <c r="KT4" s="247"/>
      <c r="KU4" s="247"/>
      <c r="KV4" s="247"/>
      <c r="KW4" s="247"/>
      <c r="KX4" s="247"/>
      <c r="KY4" s="247"/>
      <c r="KZ4" s="247"/>
      <c r="LA4" s="247"/>
      <c r="LB4" s="247"/>
      <c r="LC4" s="247"/>
      <c r="LD4" s="247"/>
      <c r="LE4" s="247"/>
      <c r="LF4" s="247"/>
      <c r="LG4" s="247"/>
      <c r="LH4" s="247"/>
      <c r="LI4" s="247"/>
      <c r="LJ4" s="247"/>
      <c r="LK4" s="247"/>
      <c r="LL4" s="247"/>
      <c r="LM4" s="247"/>
      <c r="LN4" s="247"/>
      <c r="LO4" s="247"/>
      <c r="LP4" s="247"/>
      <c r="LQ4" s="247"/>
      <c r="LR4" s="247"/>
      <c r="LS4" s="247"/>
      <c r="LT4" s="247"/>
      <c r="LU4" s="247"/>
      <c r="LV4" s="247"/>
      <c r="LW4" s="247"/>
      <c r="LX4" s="247"/>
      <c r="LY4" s="247"/>
      <c r="LZ4" s="247"/>
      <c r="MA4" s="247"/>
      <c r="MB4" s="247"/>
      <c r="MC4" s="247"/>
      <c r="MD4" s="247"/>
      <c r="ME4" s="247"/>
      <c r="MF4" s="304"/>
      <c r="MG4" s="304"/>
      <c r="MH4" s="304"/>
      <c r="MI4" s="304"/>
      <c r="MJ4" s="304"/>
      <c r="MK4" s="304"/>
      <c r="ML4" s="304"/>
      <c r="MM4" s="304"/>
      <c r="MN4" s="304"/>
      <c r="MO4" s="304"/>
      <c r="MP4" s="304"/>
      <c r="MQ4" s="304"/>
      <c r="MR4" s="304"/>
      <c r="MS4" s="304"/>
      <c r="MT4" s="304"/>
      <c r="MU4" s="304"/>
      <c r="MV4" s="304"/>
      <c r="MW4" s="304"/>
      <c r="MX4" s="304"/>
      <c r="MY4" s="304"/>
      <c r="MZ4" s="304"/>
      <c r="NA4" s="304"/>
      <c r="NB4" s="304"/>
      <c r="NC4" s="304"/>
      <c r="ND4" s="304"/>
      <c r="NE4" s="304"/>
      <c r="NF4" s="304"/>
      <c r="NG4" s="304"/>
      <c r="NH4" s="304"/>
      <c r="NI4" s="304"/>
    </row>
    <row r="5" spans="1:373" x14ac:dyDescent="0.2">
      <c r="A5" s="132" t="s">
        <v>739</v>
      </c>
      <c r="B5" s="133" t="s">
        <v>923</v>
      </c>
      <c r="C5" s="134"/>
      <c r="D5" s="242" t="s">
        <v>1302</v>
      </c>
      <c r="E5" s="242">
        <v>0</v>
      </c>
      <c r="F5" s="243" t="s">
        <v>959</v>
      </c>
      <c r="G5" s="243" t="s">
        <v>960</v>
      </c>
      <c r="H5" s="243" t="s">
        <v>961</v>
      </c>
      <c r="I5" s="243">
        <v>0</v>
      </c>
      <c r="J5" s="243">
        <v>0</v>
      </c>
      <c r="K5" s="243">
        <v>0</v>
      </c>
      <c r="L5" s="243" t="s">
        <v>1219</v>
      </c>
      <c r="M5" s="243">
        <v>0</v>
      </c>
      <c r="N5" s="243" t="s">
        <v>1217</v>
      </c>
      <c r="O5" s="243">
        <v>0</v>
      </c>
      <c r="P5" s="243">
        <v>0</v>
      </c>
      <c r="Q5" s="243">
        <v>0</v>
      </c>
      <c r="R5" s="135"/>
      <c r="S5" s="135"/>
      <c r="T5" s="135"/>
      <c r="U5" s="135"/>
      <c r="V5" s="135"/>
      <c r="W5" s="135">
        <v>0</v>
      </c>
      <c r="X5" s="135">
        <v>0</v>
      </c>
      <c r="Y5" s="135">
        <v>0</v>
      </c>
      <c r="Z5" s="136">
        <v>356.56</v>
      </c>
      <c r="AA5" s="136">
        <v>864.54</v>
      </c>
      <c r="AB5" s="136">
        <v>0</v>
      </c>
      <c r="AC5" s="137">
        <v>0</v>
      </c>
      <c r="AD5" s="137">
        <v>0</v>
      </c>
      <c r="AE5" s="138">
        <v>10</v>
      </c>
      <c r="AF5" s="138">
        <v>8</v>
      </c>
      <c r="AG5" s="138">
        <v>2</v>
      </c>
      <c r="AH5" s="139">
        <v>1</v>
      </c>
      <c r="AI5" s="139" t="s">
        <v>1387</v>
      </c>
      <c r="AJ5" s="138" t="s">
        <v>3628</v>
      </c>
      <c r="AK5" s="195" t="s">
        <v>3627</v>
      </c>
      <c r="AL5" s="138" t="s">
        <v>1316</v>
      </c>
      <c r="AM5" s="27" t="s">
        <v>1391</v>
      </c>
      <c r="AN5" s="138">
        <v>0</v>
      </c>
      <c r="AO5" s="140">
        <v>0</v>
      </c>
      <c r="AP5" s="140">
        <v>0</v>
      </c>
      <c r="AQ5" s="140">
        <v>0</v>
      </c>
      <c r="AR5" s="138">
        <v>10</v>
      </c>
      <c r="AS5" s="138">
        <v>0</v>
      </c>
      <c r="AT5" s="198"/>
      <c r="AU5" s="198"/>
      <c r="AV5" s="198"/>
      <c r="AW5" s="211" t="s">
        <v>790</v>
      </c>
      <c r="AX5" s="211" t="s">
        <v>1324</v>
      </c>
      <c r="AY5" s="141"/>
      <c r="AZ5" s="141"/>
      <c r="BA5" s="142">
        <v>1</v>
      </c>
      <c r="BB5" s="142" t="s">
        <v>527</v>
      </c>
      <c r="BC5" s="142"/>
      <c r="BD5" s="142">
        <v>1</v>
      </c>
      <c r="BE5" s="143" t="s">
        <v>541</v>
      </c>
      <c r="BF5" s="144">
        <v>1</v>
      </c>
      <c r="BG5" s="145"/>
      <c r="BH5" s="212"/>
      <c r="BI5" s="213"/>
      <c r="BJ5" s="146">
        <v>100</v>
      </c>
      <c r="BK5" s="214">
        <v>0</v>
      </c>
      <c r="BL5" s="13">
        <v>67</v>
      </c>
      <c r="BM5" s="13">
        <v>33</v>
      </c>
      <c r="BN5" s="27" t="s">
        <v>1394</v>
      </c>
      <c r="BO5" s="13" t="s">
        <v>1392</v>
      </c>
      <c r="BP5" s="147">
        <v>138</v>
      </c>
      <c r="BQ5" s="148"/>
      <c r="BR5" s="149"/>
      <c r="BS5" s="138">
        <v>1000000000</v>
      </c>
      <c r="BT5" s="150">
        <v>0</v>
      </c>
      <c r="BU5" s="151">
        <v>1</v>
      </c>
      <c r="BV5" s="150">
        <v>34</v>
      </c>
      <c r="BW5" s="152">
        <v>0</v>
      </c>
      <c r="BX5" s="152">
        <v>0</v>
      </c>
      <c r="BY5" s="152">
        <v>0</v>
      </c>
      <c r="BZ5" s="150">
        <v>0</v>
      </c>
      <c r="CA5" s="150">
        <v>4</v>
      </c>
      <c r="CB5" s="150">
        <v>38</v>
      </c>
      <c r="CC5" s="151">
        <v>0.62</v>
      </c>
      <c r="CD5" s="150"/>
      <c r="CE5" s="150"/>
      <c r="CF5" s="153">
        <v>62</v>
      </c>
      <c r="CG5" s="154">
        <v>20</v>
      </c>
      <c r="CH5" s="148">
        <v>20</v>
      </c>
      <c r="CI5" s="155"/>
      <c r="CJ5" s="156" t="s">
        <v>1316</v>
      </c>
      <c r="CK5" s="157" t="s">
        <v>1316</v>
      </c>
      <c r="CL5" s="154">
        <v>16763.34</v>
      </c>
      <c r="CM5" s="154">
        <v>0</v>
      </c>
      <c r="CN5" s="151">
        <v>0</v>
      </c>
      <c r="CO5" s="151">
        <v>6.8384114875476767</v>
      </c>
      <c r="CP5" s="158"/>
      <c r="CQ5" s="151">
        <v>0.5</v>
      </c>
      <c r="CR5" s="199">
        <v>42095</v>
      </c>
      <c r="CS5" s="200">
        <v>43185</v>
      </c>
      <c r="CT5" s="201">
        <v>43255</v>
      </c>
      <c r="CU5" s="201">
        <v>43195</v>
      </c>
      <c r="CV5" s="201">
        <v>43179</v>
      </c>
      <c r="CW5" s="201">
        <v>43209</v>
      </c>
      <c r="CX5" s="201">
        <v>43251</v>
      </c>
      <c r="CY5" s="151">
        <v>1.1531524143516443</v>
      </c>
      <c r="CZ5" s="150">
        <v>0</v>
      </c>
      <c r="DA5" s="151">
        <v>0.15625</v>
      </c>
      <c r="DB5" s="151">
        <v>0.75</v>
      </c>
      <c r="DC5" s="151">
        <v>4.6875E-2</v>
      </c>
      <c r="DD5" s="151">
        <v>0</v>
      </c>
      <c r="DE5" s="159">
        <v>0</v>
      </c>
      <c r="DF5" s="13" t="s">
        <v>1316</v>
      </c>
      <c r="DG5" s="85" t="s">
        <v>1394</v>
      </c>
      <c r="DH5" s="18" t="b">
        <v>0</v>
      </c>
      <c r="DI5" s="84"/>
      <c r="DJ5" s="84"/>
      <c r="DK5" s="215"/>
      <c r="DL5" s="194"/>
      <c r="DM5" s="216"/>
      <c r="DN5" s="151"/>
      <c r="DO5" s="84"/>
      <c r="DP5" s="84"/>
      <c r="DQ5" s="84"/>
      <c r="DR5" s="84"/>
      <c r="DS5" s="84"/>
      <c r="DT5" s="84"/>
      <c r="DU5" s="84"/>
      <c r="DV5" s="18"/>
      <c r="DW5" s="18"/>
      <c r="DX5" s="18"/>
      <c r="DY5" s="197"/>
      <c r="DZ5" s="197">
        <v>0</v>
      </c>
      <c r="EA5" s="197">
        <v>0</v>
      </c>
      <c r="EB5" s="197">
        <v>0</v>
      </c>
      <c r="EC5" s="197">
        <v>0</v>
      </c>
      <c r="ED5" s="197">
        <v>0</v>
      </c>
      <c r="EE5" s="197">
        <v>0</v>
      </c>
      <c r="EF5" s="197">
        <v>34</v>
      </c>
      <c r="EG5" s="221"/>
      <c r="EH5" s="255">
        <v>76</v>
      </c>
      <c r="EI5" s="254">
        <v>51</v>
      </c>
      <c r="EJ5" s="254">
        <v>48</v>
      </c>
      <c r="EK5" s="254">
        <v>47</v>
      </c>
      <c r="EL5" s="254">
        <v>45</v>
      </c>
      <c r="EM5" s="254">
        <v>43</v>
      </c>
      <c r="EN5" s="254">
        <v>39</v>
      </c>
      <c r="EO5" s="254">
        <v>41</v>
      </c>
      <c r="EP5" s="254">
        <v>40</v>
      </c>
      <c r="EQ5" s="254">
        <v>61</v>
      </c>
      <c r="ER5" s="255">
        <v>68</v>
      </c>
      <c r="ES5" s="254">
        <v>59</v>
      </c>
      <c r="ET5" s="254">
        <v>45</v>
      </c>
      <c r="EU5" s="254">
        <v>43</v>
      </c>
      <c r="EV5" s="254">
        <v>43</v>
      </c>
      <c r="EW5" s="254">
        <v>49</v>
      </c>
      <c r="EX5" s="254">
        <v>49</v>
      </c>
      <c r="EY5" s="254">
        <v>49</v>
      </c>
      <c r="EZ5" s="254">
        <v>47</v>
      </c>
      <c r="FA5" s="254">
        <v>47</v>
      </c>
      <c r="FB5" s="254">
        <v>39</v>
      </c>
      <c r="FC5" s="254">
        <v>39</v>
      </c>
      <c r="FD5" s="254">
        <v>39</v>
      </c>
      <c r="FE5" s="254">
        <v>39</v>
      </c>
      <c r="FF5" s="254">
        <v>44</v>
      </c>
      <c r="FG5" s="254">
        <v>44</v>
      </c>
      <c r="FH5" s="254">
        <v>43</v>
      </c>
      <c r="FI5" s="254">
        <v>42</v>
      </c>
      <c r="FJ5" s="254">
        <v>42</v>
      </c>
      <c r="FK5" s="254">
        <v>37</v>
      </c>
      <c r="FL5" s="254">
        <v>37</v>
      </c>
      <c r="FM5" s="254">
        <v>37</v>
      </c>
      <c r="FN5" s="254">
        <v>37</v>
      </c>
      <c r="FO5" s="254">
        <v>34</v>
      </c>
      <c r="FP5" s="254">
        <v>34</v>
      </c>
      <c r="FQ5" s="257">
        <v>33</v>
      </c>
      <c r="FR5" s="257">
        <v>33</v>
      </c>
      <c r="FS5" s="257">
        <v>33</v>
      </c>
      <c r="FT5" s="257">
        <v>33</v>
      </c>
      <c r="FU5" s="257">
        <v>33</v>
      </c>
      <c r="FV5" s="257">
        <v>29</v>
      </c>
      <c r="FW5" s="257">
        <v>28</v>
      </c>
      <c r="FX5" s="254">
        <v>41</v>
      </c>
      <c r="FY5" s="254">
        <v>41</v>
      </c>
      <c r="FZ5" s="254">
        <v>41</v>
      </c>
      <c r="GA5" s="254">
        <v>41</v>
      </c>
      <c r="GB5" s="254">
        <v>39</v>
      </c>
      <c r="GC5" s="254">
        <v>38</v>
      </c>
      <c r="GD5" s="257">
        <v>32</v>
      </c>
      <c r="GE5" s="258"/>
      <c r="GF5" s="257">
        <v>31</v>
      </c>
      <c r="GG5" s="257">
        <v>30</v>
      </c>
      <c r="GH5" s="257">
        <v>29</v>
      </c>
      <c r="GI5" s="257">
        <v>26</v>
      </c>
      <c r="GJ5" s="257">
        <v>26</v>
      </c>
      <c r="GK5" s="257">
        <v>24</v>
      </c>
      <c r="GL5" s="257">
        <v>24</v>
      </c>
      <c r="GM5" s="258"/>
      <c r="GN5" s="257">
        <v>24</v>
      </c>
      <c r="GO5" s="257">
        <v>24</v>
      </c>
      <c r="GP5" s="257">
        <v>24</v>
      </c>
      <c r="GQ5" s="257">
        <v>24</v>
      </c>
      <c r="GR5" s="257">
        <v>21</v>
      </c>
      <c r="GS5" s="257">
        <v>19</v>
      </c>
      <c r="GT5" s="257">
        <v>19</v>
      </c>
      <c r="GU5" s="257">
        <v>12</v>
      </c>
      <c r="GV5" s="257">
        <v>11</v>
      </c>
      <c r="GW5" s="257">
        <v>11</v>
      </c>
      <c r="GX5" s="257">
        <v>11</v>
      </c>
      <c r="GY5" s="257">
        <v>11</v>
      </c>
      <c r="GZ5" s="257">
        <v>11</v>
      </c>
      <c r="HA5" s="257">
        <v>9</v>
      </c>
      <c r="HB5" s="257">
        <v>8</v>
      </c>
      <c r="HC5" s="257">
        <v>5</v>
      </c>
      <c r="HD5" s="257">
        <v>5</v>
      </c>
      <c r="HE5" s="257">
        <v>5</v>
      </c>
      <c r="HF5" s="257">
        <v>5</v>
      </c>
      <c r="HG5" s="257">
        <v>5</v>
      </c>
      <c r="HH5" s="257">
        <v>5</v>
      </c>
      <c r="HI5" s="257">
        <v>3</v>
      </c>
      <c r="HJ5" s="257">
        <v>3</v>
      </c>
      <c r="HK5" s="257">
        <v>3</v>
      </c>
      <c r="HL5" s="257">
        <v>3</v>
      </c>
      <c r="HM5" s="257">
        <v>3</v>
      </c>
      <c r="HN5" s="257">
        <v>1</v>
      </c>
      <c r="HO5" s="257">
        <v>1</v>
      </c>
      <c r="HP5" s="257">
        <v>1</v>
      </c>
      <c r="HQ5" s="257">
        <v>1</v>
      </c>
      <c r="HR5" s="257">
        <v>1</v>
      </c>
      <c r="HS5" s="257">
        <v>1</v>
      </c>
      <c r="HT5" s="257">
        <v>1</v>
      </c>
      <c r="HU5" s="256">
        <v>0</v>
      </c>
      <c r="HV5" s="257">
        <v>1</v>
      </c>
      <c r="HW5" s="257">
        <v>1</v>
      </c>
      <c r="HX5" s="257">
        <v>1</v>
      </c>
      <c r="HY5" s="257">
        <v>1</v>
      </c>
      <c r="HZ5" s="257">
        <v>1</v>
      </c>
      <c r="IA5" s="257">
        <v>1</v>
      </c>
      <c r="IB5" s="257">
        <v>2</v>
      </c>
      <c r="IC5" s="256">
        <v>0</v>
      </c>
      <c r="ID5" s="256">
        <v>0</v>
      </c>
      <c r="IE5" s="256">
        <v>0</v>
      </c>
      <c r="IF5" s="256">
        <v>0</v>
      </c>
      <c r="IG5" s="256">
        <v>0</v>
      </c>
      <c r="IH5" s="256">
        <v>0</v>
      </c>
      <c r="II5" s="256">
        <v>0</v>
      </c>
      <c r="IJ5" s="258"/>
      <c r="IK5" s="256">
        <v>0</v>
      </c>
      <c r="IL5" s="256">
        <v>0</v>
      </c>
      <c r="IM5" s="258"/>
      <c r="IN5" s="258"/>
      <c r="IO5" s="258"/>
      <c r="IP5" s="258"/>
      <c r="IQ5" s="258"/>
      <c r="IR5" s="258"/>
      <c r="IS5" s="258"/>
      <c r="IT5" s="258"/>
      <c r="IU5" s="258"/>
      <c r="IV5" s="258"/>
      <c r="IW5" s="258"/>
      <c r="IX5" s="258"/>
      <c r="IY5" s="258"/>
      <c r="IZ5" s="258"/>
      <c r="JA5" s="258"/>
      <c r="JB5" s="258"/>
      <c r="JC5" s="258"/>
      <c r="JD5" s="258"/>
      <c r="JE5" s="258"/>
      <c r="JF5" s="258"/>
      <c r="JG5" s="258"/>
      <c r="JH5" s="258"/>
      <c r="JI5" s="258"/>
      <c r="JJ5" s="258"/>
      <c r="JK5" s="258"/>
      <c r="JL5" s="258"/>
      <c r="JM5" s="258"/>
      <c r="JN5" s="258"/>
      <c r="JO5" s="258"/>
      <c r="JP5" s="258"/>
      <c r="JQ5" s="258"/>
      <c r="JR5" s="258"/>
      <c r="JS5" s="258"/>
      <c r="JT5" s="258"/>
      <c r="JU5" s="258"/>
      <c r="JV5" s="258"/>
      <c r="JW5" s="258"/>
      <c r="JX5" s="258"/>
      <c r="JY5" s="258"/>
      <c r="JZ5" s="258"/>
      <c r="KA5" s="258"/>
      <c r="KB5" s="258"/>
      <c r="KC5" s="258"/>
      <c r="KD5" s="258"/>
      <c r="KE5" s="258"/>
      <c r="KF5" s="258"/>
      <c r="KG5" s="258"/>
      <c r="KH5" s="258"/>
      <c r="KI5" s="258"/>
      <c r="KJ5" s="258"/>
      <c r="KK5" s="258"/>
      <c r="KL5" s="258"/>
      <c r="KM5" s="258"/>
      <c r="KN5" s="258"/>
      <c r="KO5" s="258"/>
      <c r="KP5" s="258"/>
      <c r="KQ5" s="258"/>
      <c r="KR5" s="258"/>
      <c r="KS5" s="258"/>
      <c r="KT5" s="258"/>
      <c r="KU5" s="258"/>
      <c r="KV5" s="258"/>
      <c r="KW5" s="258"/>
      <c r="KX5" s="258"/>
      <c r="KY5" s="258"/>
      <c r="KZ5" s="258"/>
      <c r="LA5" s="258"/>
      <c r="LB5" s="258"/>
      <c r="LC5" s="258"/>
      <c r="LD5" s="258"/>
      <c r="LE5" s="258"/>
      <c r="LF5" s="258"/>
      <c r="LG5" s="258"/>
      <c r="LH5" s="258"/>
      <c r="LI5" s="258"/>
      <c r="LJ5" s="258"/>
      <c r="LK5" s="258"/>
      <c r="LL5" s="258"/>
      <c r="LM5" s="258"/>
      <c r="LN5" s="258"/>
      <c r="LO5" s="258"/>
      <c r="LP5" s="258"/>
      <c r="LQ5" s="258"/>
      <c r="LR5" s="258"/>
      <c r="LS5" s="258"/>
      <c r="LT5" s="258"/>
      <c r="LU5" s="258"/>
      <c r="LV5" s="258"/>
      <c r="LW5" s="258"/>
      <c r="LX5" s="258"/>
      <c r="LY5" s="258"/>
      <c r="LZ5" s="258"/>
      <c r="MA5" s="258"/>
      <c r="MB5" s="258"/>
      <c r="MC5" s="258"/>
      <c r="MD5" s="258"/>
      <c r="ME5" s="258"/>
      <c r="MF5" s="303"/>
      <c r="MG5" s="303"/>
      <c r="MH5" s="303"/>
      <c r="MI5" s="303"/>
      <c r="MJ5" s="303"/>
      <c r="MK5" s="303"/>
      <c r="ML5" s="303"/>
      <c r="MM5" s="303"/>
      <c r="MN5" s="303"/>
      <c r="MO5" s="303"/>
      <c r="MP5" s="303"/>
      <c r="MQ5" s="303"/>
      <c r="MR5" s="303"/>
      <c r="MS5" s="303"/>
      <c r="MT5" s="303"/>
      <c r="MU5" s="303"/>
      <c r="MV5" s="303"/>
      <c r="MW5" s="303"/>
      <c r="MX5" s="303"/>
      <c r="MY5" s="303"/>
      <c r="MZ5" s="303"/>
      <c r="NA5" s="303"/>
      <c r="NB5" s="303"/>
      <c r="NC5" s="303"/>
      <c r="ND5" s="303"/>
      <c r="NE5" s="303"/>
      <c r="NF5" s="303"/>
      <c r="NG5" s="303"/>
      <c r="NH5" s="303"/>
      <c r="NI5" s="303"/>
    </row>
    <row r="6" spans="1:373" x14ac:dyDescent="0.2">
      <c r="A6" s="132" t="s">
        <v>739</v>
      </c>
      <c r="B6" s="133" t="s">
        <v>1328</v>
      </c>
      <c r="C6" s="134"/>
      <c r="D6" s="242" t="s">
        <v>1347</v>
      </c>
      <c r="E6" s="242">
        <v>0</v>
      </c>
      <c r="F6" s="243" t="s">
        <v>1366</v>
      </c>
      <c r="G6" s="243" t="s">
        <v>1262</v>
      </c>
      <c r="H6" s="243" t="s">
        <v>961</v>
      </c>
      <c r="I6" s="243">
        <v>0</v>
      </c>
      <c r="J6" s="243">
        <v>0</v>
      </c>
      <c r="K6" s="243">
        <v>0</v>
      </c>
      <c r="L6" s="243" t="s">
        <v>1263</v>
      </c>
      <c r="M6" s="243">
        <v>0</v>
      </c>
      <c r="N6" s="243" t="s">
        <v>1218</v>
      </c>
      <c r="O6" s="243">
        <v>0</v>
      </c>
      <c r="P6" s="243">
        <v>0</v>
      </c>
      <c r="Q6" s="243">
        <v>0</v>
      </c>
      <c r="R6" s="135"/>
      <c r="S6" s="135"/>
      <c r="T6" s="135"/>
      <c r="U6" s="135"/>
      <c r="V6" s="135"/>
      <c r="W6" s="135">
        <v>0</v>
      </c>
      <c r="X6" s="135">
        <v>0</v>
      </c>
      <c r="Y6" s="135">
        <v>0</v>
      </c>
      <c r="Z6" s="136">
        <v>350.96</v>
      </c>
      <c r="AA6" s="136">
        <v>759</v>
      </c>
      <c r="AB6" s="136">
        <v>0</v>
      </c>
      <c r="AC6" s="137">
        <v>0</v>
      </c>
      <c r="AD6" s="137">
        <v>0</v>
      </c>
      <c r="AE6" s="138">
        <v>10</v>
      </c>
      <c r="AF6" s="138">
        <v>8</v>
      </c>
      <c r="AG6" s="138">
        <v>2</v>
      </c>
      <c r="AH6" s="139">
        <v>1</v>
      </c>
      <c r="AI6" s="139" t="s">
        <v>1316</v>
      </c>
      <c r="AJ6" s="138" t="s">
        <v>3629</v>
      </c>
      <c r="AK6" s="195" t="s">
        <v>1316</v>
      </c>
      <c r="AL6" s="138" t="s">
        <v>1316</v>
      </c>
      <c r="AM6" s="27" t="s">
        <v>1316</v>
      </c>
      <c r="AN6" s="138">
        <v>0</v>
      </c>
      <c r="AO6" s="140">
        <v>0</v>
      </c>
      <c r="AP6" s="140">
        <v>0</v>
      </c>
      <c r="AQ6" s="140">
        <v>0</v>
      </c>
      <c r="AR6" s="138">
        <v>0</v>
      </c>
      <c r="AS6" s="138">
        <v>0</v>
      </c>
      <c r="AT6" s="198"/>
      <c r="AU6" s="198"/>
      <c r="AV6" s="198"/>
      <c r="AW6" s="211" t="s">
        <v>790</v>
      </c>
      <c r="AX6" s="211" t="s">
        <v>1324</v>
      </c>
      <c r="AY6" s="141"/>
      <c r="AZ6" s="141"/>
      <c r="BA6" s="142">
        <v>1</v>
      </c>
      <c r="BB6" s="142" t="s">
        <v>527</v>
      </c>
      <c r="BC6" s="142"/>
      <c r="BD6" s="142">
        <v>1</v>
      </c>
      <c r="BE6" s="143" t="s">
        <v>541</v>
      </c>
      <c r="BF6" s="144">
        <v>1</v>
      </c>
      <c r="BG6" s="145"/>
      <c r="BH6" s="212"/>
      <c r="BI6" s="213"/>
      <c r="BJ6" s="146">
        <v>0</v>
      </c>
      <c r="BK6" s="214">
        <v>0</v>
      </c>
      <c r="BL6" s="13">
        <v>0</v>
      </c>
      <c r="BM6" s="13">
        <v>0</v>
      </c>
      <c r="BN6" s="27" t="s">
        <v>1317</v>
      </c>
      <c r="BO6" s="13" t="s">
        <v>1317</v>
      </c>
      <c r="BP6" s="147">
        <v>2</v>
      </c>
      <c r="BQ6" s="148"/>
      <c r="BR6" s="149"/>
      <c r="BS6" s="138">
        <v>1000000000</v>
      </c>
      <c r="BT6" s="150">
        <v>0</v>
      </c>
      <c r="BU6" s="151">
        <v>0</v>
      </c>
      <c r="BV6" s="150">
        <v>2</v>
      </c>
      <c r="BW6" s="152">
        <v>0</v>
      </c>
      <c r="BX6" s="152">
        <v>0</v>
      </c>
      <c r="BY6" s="152">
        <v>0</v>
      </c>
      <c r="BZ6" s="150">
        <v>0</v>
      </c>
      <c r="CA6" s="150">
        <v>0</v>
      </c>
      <c r="CB6" s="150">
        <v>2</v>
      </c>
      <c r="CC6" s="151">
        <v>0</v>
      </c>
      <c r="CD6" s="150"/>
      <c r="CE6" s="150"/>
      <c r="CF6" s="153">
        <v>0</v>
      </c>
      <c r="CG6" s="154">
        <v>0</v>
      </c>
      <c r="CH6" s="148">
        <v>0</v>
      </c>
      <c r="CI6" s="155"/>
      <c r="CJ6" s="156" t="s">
        <v>1316</v>
      </c>
      <c r="CK6" s="157" t="s">
        <v>1316</v>
      </c>
      <c r="CL6" s="154">
        <v>0</v>
      </c>
      <c r="CM6" s="154">
        <v>0</v>
      </c>
      <c r="CN6" s="151">
        <v>0</v>
      </c>
      <c r="CO6" s="151">
        <v>0</v>
      </c>
      <c r="CP6" s="158"/>
      <c r="CQ6" s="151">
        <v>0</v>
      </c>
      <c r="CR6" s="199">
        <v>42895</v>
      </c>
      <c r="CS6" s="200">
        <v>43185</v>
      </c>
      <c r="CT6" s="201">
        <v>43255</v>
      </c>
      <c r="CU6" s="201">
        <v>43180</v>
      </c>
      <c r="CV6" s="201">
        <v>43168</v>
      </c>
      <c r="CW6" s="201">
        <v>43194</v>
      </c>
      <c r="CX6" s="201">
        <v>43236</v>
      </c>
      <c r="CY6" s="151">
        <v>2.5348241227614459</v>
      </c>
      <c r="CZ6" s="150">
        <v>0</v>
      </c>
      <c r="DA6" s="151">
        <v>0.8125</v>
      </c>
      <c r="DB6" s="151">
        <v>0</v>
      </c>
      <c r="DC6" s="151">
        <v>0</v>
      </c>
      <c r="DD6" s="151">
        <v>0</v>
      </c>
      <c r="DE6" s="159">
        <v>0.140625</v>
      </c>
      <c r="DF6" s="13" t="s">
        <v>1316</v>
      </c>
      <c r="DG6" s="85" t="s">
        <v>1316</v>
      </c>
      <c r="DH6" s="18" t="b">
        <v>0</v>
      </c>
      <c r="DI6" s="84"/>
      <c r="DJ6" s="84"/>
      <c r="DK6" s="215"/>
      <c r="DL6" s="194"/>
      <c r="DM6" s="216"/>
      <c r="DN6" s="151"/>
      <c r="DO6" s="84"/>
      <c r="DP6" s="84"/>
      <c r="DQ6" s="84"/>
      <c r="DR6" s="84"/>
      <c r="DS6" s="84"/>
      <c r="DT6" s="84"/>
      <c r="DU6" s="84"/>
      <c r="DV6" s="18"/>
      <c r="DW6" s="18"/>
      <c r="DX6" s="18"/>
      <c r="DY6" s="197"/>
      <c r="DZ6" s="197">
        <v>0</v>
      </c>
      <c r="EA6" s="197">
        <v>2</v>
      </c>
      <c r="EB6" s="197">
        <v>0</v>
      </c>
      <c r="EC6" s="197">
        <v>0</v>
      </c>
      <c r="ED6" s="197">
        <v>0</v>
      </c>
      <c r="EE6" s="197">
        <v>0</v>
      </c>
      <c r="EF6" s="197">
        <v>0</v>
      </c>
      <c r="EG6" s="219"/>
      <c r="EH6" s="224">
        <v>2</v>
      </c>
      <c r="EI6" s="223">
        <v>1</v>
      </c>
      <c r="EJ6" s="222">
        <v>0</v>
      </c>
      <c r="EK6" s="222">
        <v>0</v>
      </c>
      <c r="EL6" s="218">
        <v>0</v>
      </c>
      <c r="EM6" s="218">
        <v>0</v>
      </c>
      <c r="EN6" s="218">
        <v>1</v>
      </c>
      <c r="EO6" s="218">
        <v>1</v>
      </c>
      <c r="EP6" s="218">
        <v>1</v>
      </c>
      <c r="EQ6" s="218">
        <v>0</v>
      </c>
      <c r="ER6" s="218">
        <v>0</v>
      </c>
      <c r="ES6" s="218">
        <v>0</v>
      </c>
      <c r="ET6" s="218">
        <v>0</v>
      </c>
      <c r="EU6" s="218">
        <v>0</v>
      </c>
      <c r="EV6" s="218">
        <v>0</v>
      </c>
      <c r="EW6" s="218">
        <v>0</v>
      </c>
      <c r="EX6" s="218">
        <v>0</v>
      </c>
      <c r="EY6" s="218">
        <v>0</v>
      </c>
      <c r="EZ6" s="218">
        <v>0</v>
      </c>
      <c r="FA6" s="218">
        <v>0</v>
      </c>
      <c r="FB6" s="218">
        <v>0</v>
      </c>
      <c r="FC6" s="218">
        <v>0</v>
      </c>
      <c r="FD6" s="218">
        <v>0</v>
      </c>
      <c r="FE6" s="218">
        <v>0</v>
      </c>
      <c r="FF6" s="218">
        <v>1</v>
      </c>
      <c r="FG6" s="218">
        <v>1</v>
      </c>
      <c r="FH6" s="218">
        <v>1</v>
      </c>
      <c r="FI6" s="218">
        <v>1</v>
      </c>
      <c r="FJ6" s="218">
        <v>1</v>
      </c>
      <c r="FK6" s="218">
        <v>1</v>
      </c>
      <c r="FL6" s="218">
        <v>1</v>
      </c>
      <c r="FM6" s="218">
        <v>1</v>
      </c>
      <c r="FN6" s="218">
        <v>1</v>
      </c>
      <c r="FO6" s="218">
        <v>1</v>
      </c>
      <c r="FP6" s="218">
        <v>1</v>
      </c>
      <c r="FQ6" s="218">
        <v>1</v>
      </c>
      <c r="FR6" s="218">
        <v>0</v>
      </c>
      <c r="FS6" s="218">
        <v>0</v>
      </c>
      <c r="FT6" s="218">
        <v>0</v>
      </c>
      <c r="FU6" s="218">
        <v>0</v>
      </c>
      <c r="FV6" s="218">
        <v>0</v>
      </c>
      <c r="FW6" s="218">
        <v>0</v>
      </c>
      <c r="FX6" s="218">
        <v>0</v>
      </c>
      <c r="FY6" s="218">
        <v>0</v>
      </c>
      <c r="FZ6" s="218">
        <v>0</v>
      </c>
      <c r="GA6" s="218">
        <v>0</v>
      </c>
      <c r="GB6" s="218">
        <v>0</v>
      </c>
      <c r="GC6" s="218">
        <v>0</v>
      </c>
      <c r="GD6" s="218">
        <v>0</v>
      </c>
      <c r="GE6" s="219"/>
      <c r="GF6" s="218">
        <v>0</v>
      </c>
      <c r="GG6" s="218">
        <v>0</v>
      </c>
      <c r="GH6" s="218">
        <v>0</v>
      </c>
      <c r="GI6" s="218">
        <v>0</v>
      </c>
      <c r="GJ6" s="218">
        <v>0</v>
      </c>
      <c r="GK6" s="218">
        <v>0</v>
      </c>
      <c r="GL6" s="218">
        <v>0</v>
      </c>
      <c r="GM6" s="219"/>
      <c r="GN6" s="218">
        <v>0</v>
      </c>
      <c r="GO6" s="218">
        <v>0</v>
      </c>
      <c r="GP6" s="218">
        <v>0</v>
      </c>
      <c r="GQ6" s="218">
        <v>0</v>
      </c>
      <c r="GR6" s="218">
        <v>0</v>
      </c>
      <c r="GS6" s="218">
        <v>0</v>
      </c>
      <c r="GT6" s="218">
        <v>0</v>
      </c>
      <c r="GU6" s="218">
        <v>0</v>
      </c>
      <c r="GV6" s="218">
        <v>0</v>
      </c>
      <c r="GW6" s="218">
        <v>0</v>
      </c>
      <c r="GX6" s="218">
        <v>0</v>
      </c>
      <c r="GY6" s="218">
        <v>0</v>
      </c>
      <c r="GZ6" s="218">
        <v>0</v>
      </c>
      <c r="HA6" s="218">
        <v>2</v>
      </c>
      <c r="HB6" s="218">
        <v>1</v>
      </c>
      <c r="HC6" s="218">
        <v>1</v>
      </c>
      <c r="HD6" s="218">
        <v>1</v>
      </c>
      <c r="HE6" s="218">
        <v>1</v>
      </c>
      <c r="HF6" s="218">
        <v>1</v>
      </c>
      <c r="HG6" s="218">
        <v>1</v>
      </c>
      <c r="HH6" s="218">
        <v>1</v>
      </c>
      <c r="HI6" s="218">
        <v>1</v>
      </c>
      <c r="HJ6" s="218">
        <v>0</v>
      </c>
      <c r="HK6" s="218">
        <v>0</v>
      </c>
      <c r="HL6" s="218">
        <v>0</v>
      </c>
      <c r="HM6" s="218">
        <v>0</v>
      </c>
      <c r="HN6" s="218">
        <v>0</v>
      </c>
      <c r="HO6" s="218">
        <v>0</v>
      </c>
      <c r="HP6" s="218">
        <v>0</v>
      </c>
      <c r="HQ6" s="218">
        <v>0</v>
      </c>
      <c r="HR6" s="218">
        <v>0</v>
      </c>
      <c r="HS6" s="218">
        <v>0</v>
      </c>
      <c r="HT6" s="218">
        <v>0</v>
      </c>
      <c r="HU6" s="218">
        <v>0</v>
      </c>
      <c r="HV6" s="218">
        <v>0</v>
      </c>
      <c r="HW6" s="218">
        <v>0</v>
      </c>
      <c r="HX6" s="218">
        <v>0</v>
      </c>
      <c r="HY6" s="218">
        <v>0</v>
      </c>
      <c r="HZ6" s="218">
        <v>0</v>
      </c>
      <c r="IA6" s="218">
        <v>0</v>
      </c>
      <c r="IB6" s="218">
        <v>0</v>
      </c>
      <c r="IC6" s="218">
        <v>0</v>
      </c>
      <c r="ID6" s="218">
        <v>0</v>
      </c>
      <c r="IE6" s="218">
        <v>0</v>
      </c>
      <c r="IF6" s="218">
        <v>0</v>
      </c>
      <c r="IG6" s="218">
        <v>0</v>
      </c>
      <c r="IH6" s="218">
        <v>0</v>
      </c>
      <c r="II6" s="218">
        <v>0</v>
      </c>
      <c r="IJ6" s="219"/>
      <c r="IK6" s="218">
        <v>0</v>
      </c>
      <c r="IL6" s="218">
        <v>0</v>
      </c>
      <c r="IM6" s="219"/>
      <c r="IN6" s="219"/>
      <c r="IO6" s="219"/>
      <c r="IP6" s="219"/>
      <c r="IQ6" s="219"/>
      <c r="IR6" s="219"/>
      <c r="IS6" s="219"/>
      <c r="IT6" s="219"/>
      <c r="IU6" s="219"/>
      <c r="IV6" s="219"/>
      <c r="IW6" s="219"/>
      <c r="IX6" s="219"/>
      <c r="IY6" s="219"/>
      <c r="IZ6" s="219"/>
      <c r="JA6" s="219"/>
      <c r="JB6" s="219"/>
      <c r="JC6" s="219"/>
      <c r="JD6" s="219"/>
      <c r="JE6" s="219"/>
      <c r="JF6" s="219"/>
      <c r="JG6" s="219"/>
      <c r="JH6" s="219"/>
      <c r="JI6" s="219"/>
      <c r="JJ6" s="219"/>
      <c r="JK6" s="219"/>
      <c r="JL6" s="219"/>
      <c r="JM6" s="219"/>
      <c r="JN6" s="219"/>
      <c r="JO6" s="219"/>
      <c r="JP6" s="219"/>
      <c r="JQ6" s="219"/>
      <c r="JR6" s="219"/>
      <c r="JS6" s="219"/>
      <c r="JT6" s="219"/>
      <c r="JU6" s="219"/>
      <c r="JV6" s="219"/>
      <c r="JW6" s="219"/>
      <c r="JX6" s="219"/>
      <c r="JY6" s="219"/>
      <c r="JZ6" s="219"/>
      <c r="KA6" s="219"/>
      <c r="KB6" s="219"/>
      <c r="KC6" s="219"/>
      <c r="KD6" s="219"/>
      <c r="KE6" s="219"/>
      <c r="KF6" s="219"/>
      <c r="KG6" s="219"/>
      <c r="KH6" s="219"/>
      <c r="KI6" s="219"/>
      <c r="KJ6" s="219"/>
      <c r="KK6" s="219"/>
      <c r="KL6" s="219"/>
      <c r="KM6" s="219"/>
      <c r="KN6" s="219"/>
      <c r="KO6" s="219"/>
      <c r="KP6" s="219"/>
      <c r="KQ6" s="219"/>
      <c r="KR6" s="219"/>
      <c r="KS6" s="219"/>
      <c r="KT6" s="219"/>
      <c r="KU6" s="219"/>
      <c r="KV6" s="219"/>
      <c r="KW6" s="219"/>
      <c r="KX6" s="219"/>
      <c r="KY6" s="219"/>
      <c r="KZ6" s="219"/>
      <c r="LA6" s="219"/>
      <c r="LB6" s="219"/>
      <c r="LC6" s="219"/>
      <c r="LD6" s="219"/>
      <c r="LE6" s="219"/>
      <c r="LF6" s="219"/>
      <c r="LG6" s="219"/>
      <c r="LH6" s="219"/>
      <c r="LI6" s="219"/>
      <c r="LJ6" s="219"/>
      <c r="LK6" s="219"/>
      <c r="LL6" s="219"/>
      <c r="LM6" s="219"/>
      <c r="LN6" s="219"/>
      <c r="LO6" s="219"/>
      <c r="LP6" s="219"/>
      <c r="LQ6" s="219"/>
      <c r="LR6" s="219"/>
      <c r="LS6" s="219"/>
      <c r="LT6" s="219"/>
      <c r="LU6" s="219"/>
      <c r="LV6" s="219"/>
      <c r="LW6" s="219"/>
      <c r="LX6" s="219"/>
      <c r="LY6" s="219"/>
      <c r="LZ6" s="219"/>
      <c r="MA6" s="219"/>
      <c r="MB6" s="219"/>
      <c r="MC6" s="219"/>
      <c r="MD6" s="219"/>
      <c r="ME6" s="219"/>
      <c r="MF6" s="305"/>
      <c r="MG6" s="305"/>
      <c r="MH6" s="305"/>
      <c r="MI6" s="305"/>
      <c r="MJ6" s="305"/>
      <c r="MK6" s="305"/>
      <c r="ML6" s="305"/>
      <c r="MM6" s="305"/>
      <c r="MN6" s="305"/>
      <c r="MO6" s="305"/>
      <c r="MP6" s="305"/>
      <c r="MQ6" s="305"/>
      <c r="MR6" s="305"/>
      <c r="MS6" s="305"/>
      <c r="MT6" s="305"/>
      <c r="MU6" s="305"/>
      <c r="MV6" s="305"/>
      <c r="MW6" s="305"/>
      <c r="MX6" s="305"/>
      <c r="MY6" s="305"/>
      <c r="MZ6" s="305"/>
      <c r="NA6" s="305"/>
      <c r="NB6" s="305"/>
      <c r="NC6" s="305"/>
      <c r="ND6" s="305"/>
      <c r="NE6" s="305"/>
      <c r="NF6" s="305"/>
      <c r="NG6" s="305"/>
      <c r="NH6" s="305"/>
      <c r="NI6" s="305"/>
    </row>
    <row r="7" spans="1:373" x14ac:dyDescent="0.2">
      <c r="A7" s="132" t="s">
        <v>739</v>
      </c>
      <c r="B7" s="133" t="s">
        <v>924</v>
      </c>
      <c r="C7" s="134"/>
      <c r="D7" s="242" t="s">
        <v>1279</v>
      </c>
      <c r="E7" s="242">
        <v>0</v>
      </c>
      <c r="F7" s="243" t="s">
        <v>1280</v>
      </c>
      <c r="G7" s="243" t="s">
        <v>1281</v>
      </c>
      <c r="H7" s="243" t="s">
        <v>961</v>
      </c>
      <c r="I7" s="243">
        <v>0</v>
      </c>
      <c r="J7" s="243">
        <v>0</v>
      </c>
      <c r="K7" s="243">
        <v>0</v>
      </c>
      <c r="L7" s="243" t="s">
        <v>1282</v>
      </c>
      <c r="M7" s="243">
        <v>0</v>
      </c>
      <c r="N7" s="243" t="s">
        <v>1218</v>
      </c>
      <c r="O7" s="243">
        <v>0</v>
      </c>
      <c r="P7" s="243">
        <v>0</v>
      </c>
      <c r="Q7" s="243">
        <v>0</v>
      </c>
      <c r="R7" s="135"/>
      <c r="S7" s="135"/>
      <c r="T7" s="135"/>
      <c r="U7" s="135"/>
      <c r="V7" s="135"/>
      <c r="W7" s="135">
        <v>0</v>
      </c>
      <c r="X7" s="135">
        <v>0</v>
      </c>
      <c r="Y7" s="135">
        <v>0</v>
      </c>
      <c r="Z7" s="136">
        <v>342.65</v>
      </c>
      <c r="AA7" s="136">
        <v>709</v>
      </c>
      <c r="AB7" s="136">
        <v>0</v>
      </c>
      <c r="AC7" s="137">
        <v>0</v>
      </c>
      <c r="AD7" s="137">
        <v>0</v>
      </c>
      <c r="AE7" s="138">
        <v>10</v>
      </c>
      <c r="AF7" s="138">
        <v>8</v>
      </c>
      <c r="AG7" s="138">
        <v>2</v>
      </c>
      <c r="AH7" s="139">
        <v>1</v>
      </c>
      <c r="AI7" s="139" t="s">
        <v>1387</v>
      </c>
      <c r="AJ7" s="138" t="s">
        <v>3630</v>
      </c>
      <c r="AK7" s="195" t="s">
        <v>3627</v>
      </c>
      <c r="AL7" s="138" t="s">
        <v>1316</v>
      </c>
      <c r="AM7" s="27" t="s">
        <v>1316</v>
      </c>
      <c r="AN7" s="138">
        <v>2.0499999999999998</v>
      </c>
      <c r="AO7" s="140">
        <v>3.6585365853658538</v>
      </c>
      <c r="AP7" s="140">
        <v>1.3414634146341464</v>
      </c>
      <c r="AQ7" s="140">
        <v>0.12195121951219513</v>
      </c>
      <c r="AR7" s="138">
        <v>0</v>
      </c>
      <c r="AS7" s="138">
        <v>0</v>
      </c>
      <c r="AT7" s="198"/>
      <c r="AU7" s="198"/>
      <c r="AV7" s="198"/>
      <c r="AW7" s="211" t="s">
        <v>790</v>
      </c>
      <c r="AX7" s="211" t="s">
        <v>1324</v>
      </c>
      <c r="AY7" s="141"/>
      <c r="AZ7" s="141"/>
      <c r="BA7" s="142">
        <v>1</v>
      </c>
      <c r="BB7" s="142" t="s">
        <v>527</v>
      </c>
      <c r="BC7" s="142"/>
      <c r="BD7" s="142">
        <v>1</v>
      </c>
      <c r="BE7" s="143" t="s">
        <v>541</v>
      </c>
      <c r="BF7" s="144">
        <v>1</v>
      </c>
      <c r="BG7" s="145"/>
      <c r="BH7" s="212"/>
      <c r="BI7" s="213"/>
      <c r="BJ7" s="146">
        <v>30</v>
      </c>
      <c r="BK7" s="214">
        <v>31</v>
      </c>
      <c r="BL7" s="13">
        <v>20</v>
      </c>
      <c r="BM7" s="13">
        <v>10</v>
      </c>
      <c r="BN7" s="27" t="s">
        <v>1393</v>
      </c>
      <c r="BO7" s="13" t="s">
        <v>1392</v>
      </c>
      <c r="BP7" s="147">
        <v>23</v>
      </c>
      <c r="BQ7" s="148"/>
      <c r="BR7" s="149"/>
      <c r="BS7" s="138">
        <v>1000000000</v>
      </c>
      <c r="BT7" s="150">
        <v>3</v>
      </c>
      <c r="BU7" s="151">
        <v>0.9</v>
      </c>
      <c r="BV7" s="150">
        <v>8</v>
      </c>
      <c r="BW7" s="152">
        <v>0</v>
      </c>
      <c r="BX7" s="152">
        <v>0</v>
      </c>
      <c r="BY7" s="152">
        <v>0</v>
      </c>
      <c r="BZ7" s="150">
        <v>0</v>
      </c>
      <c r="CA7" s="150">
        <v>0</v>
      </c>
      <c r="CB7" s="150">
        <v>11</v>
      </c>
      <c r="CC7" s="151">
        <v>0.63</v>
      </c>
      <c r="CD7" s="150"/>
      <c r="CE7" s="150"/>
      <c r="CF7" s="153">
        <v>19</v>
      </c>
      <c r="CG7" s="154">
        <v>6</v>
      </c>
      <c r="CH7" s="148">
        <v>0</v>
      </c>
      <c r="CI7" s="155"/>
      <c r="CJ7" s="156" t="s">
        <v>1316</v>
      </c>
      <c r="CK7" s="157" t="s">
        <v>1316</v>
      </c>
      <c r="CL7" s="154">
        <v>2564.4500000000003</v>
      </c>
      <c r="CM7" s="154">
        <v>0</v>
      </c>
      <c r="CN7" s="151">
        <v>0</v>
      </c>
      <c r="CO7" s="151">
        <v>5.1320005836859774</v>
      </c>
      <c r="CP7" s="158"/>
      <c r="CQ7" s="151">
        <v>0.5</v>
      </c>
      <c r="CR7" s="199">
        <v>42636</v>
      </c>
      <c r="CS7" s="200">
        <v>43185</v>
      </c>
      <c r="CT7" s="201">
        <v>43255</v>
      </c>
      <c r="CU7" s="201">
        <v>43195</v>
      </c>
      <c r="CV7" s="201">
        <v>43179</v>
      </c>
      <c r="CW7" s="201">
        <v>43209</v>
      </c>
      <c r="CX7" s="201">
        <v>43251</v>
      </c>
      <c r="CY7" s="151">
        <v>0.52872357630802436</v>
      </c>
      <c r="CZ7" s="150">
        <v>0</v>
      </c>
      <c r="DA7" s="151">
        <v>0</v>
      </c>
      <c r="DB7" s="151">
        <v>0.6875</v>
      </c>
      <c r="DC7" s="151">
        <v>0.265625</v>
      </c>
      <c r="DD7" s="151">
        <v>0</v>
      </c>
      <c r="DE7" s="159">
        <v>0</v>
      </c>
      <c r="DF7" s="13" t="s">
        <v>1316</v>
      </c>
      <c r="DG7" s="85" t="s">
        <v>1394</v>
      </c>
      <c r="DH7" s="18" t="b">
        <v>0</v>
      </c>
      <c r="DI7" s="84"/>
      <c r="DJ7" s="84"/>
      <c r="DK7" s="215"/>
      <c r="DL7" s="194"/>
      <c r="DM7" s="216"/>
      <c r="DN7" s="151"/>
      <c r="DO7" s="84"/>
      <c r="DP7" s="84"/>
      <c r="DQ7" s="84"/>
      <c r="DR7" s="84"/>
      <c r="DS7" s="84"/>
      <c r="DT7" s="84"/>
      <c r="DU7" s="84"/>
      <c r="DV7" s="18"/>
      <c r="DW7" s="18"/>
      <c r="DX7" s="18"/>
      <c r="DY7" s="197"/>
      <c r="DZ7" s="197">
        <v>0</v>
      </c>
      <c r="EA7" s="197">
        <v>0</v>
      </c>
      <c r="EB7" s="197">
        <v>0</v>
      </c>
      <c r="EC7" s="197">
        <v>0</v>
      </c>
      <c r="ED7" s="197">
        <v>0</v>
      </c>
      <c r="EE7" s="197">
        <v>0</v>
      </c>
      <c r="EF7" s="197">
        <v>8</v>
      </c>
      <c r="EG7" s="221"/>
      <c r="EH7" s="254">
        <v>19</v>
      </c>
      <c r="EI7" s="256">
        <v>0</v>
      </c>
      <c r="EJ7" s="257">
        <v>6</v>
      </c>
      <c r="EK7" s="257">
        <v>5</v>
      </c>
      <c r="EL7" s="257">
        <v>6</v>
      </c>
      <c r="EM7" s="254">
        <v>14</v>
      </c>
      <c r="EN7" s="259">
        <v>31</v>
      </c>
      <c r="EO7" s="255">
        <v>25</v>
      </c>
      <c r="EP7" s="255">
        <v>25</v>
      </c>
      <c r="EQ7" s="254">
        <v>15</v>
      </c>
      <c r="ER7" s="254">
        <v>16</v>
      </c>
      <c r="ES7" s="254">
        <v>14</v>
      </c>
      <c r="ET7" s="254">
        <v>13</v>
      </c>
      <c r="EU7" s="254">
        <v>16</v>
      </c>
      <c r="EV7" s="254">
        <v>16</v>
      </c>
      <c r="EW7" s="254">
        <v>15</v>
      </c>
      <c r="EX7" s="254">
        <v>15</v>
      </c>
      <c r="EY7" s="254">
        <v>15</v>
      </c>
      <c r="EZ7" s="254">
        <v>14</v>
      </c>
      <c r="FA7" s="254">
        <v>13</v>
      </c>
      <c r="FB7" s="254">
        <v>13</v>
      </c>
      <c r="FC7" s="254">
        <v>13</v>
      </c>
      <c r="FD7" s="254">
        <v>13</v>
      </c>
      <c r="FE7" s="254">
        <v>13</v>
      </c>
      <c r="FF7" s="255">
        <v>24</v>
      </c>
      <c r="FG7" s="255">
        <v>24</v>
      </c>
      <c r="FH7" s="255">
        <v>24</v>
      </c>
      <c r="FI7" s="255">
        <v>24</v>
      </c>
      <c r="FJ7" s="255">
        <v>22</v>
      </c>
      <c r="FK7" s="255">
        <v>22</v>
      </c>
      <c r="FL7" s="255">
        <v>22</v>
      </c>
      <c r="FM7" s="255">
        <v>22</v>
      </c>
      <c r="FN7" s="255">
        <v>22</v>
      </c>
      <c r="FO7" s="255">
        <v>22</v>
      </c>
      <c r="FP7" s="255">
        <v>22</v>
      </c>
      <c r="FQ7" s="255">
        <v>22</v>
      </c>
      <c r="FR7" s="255">
        <v>22</v>
      </c>
      <c r="FS7" s="255">
        <v>22</v>
      </c>
      <c r="FT7" s="255">
        <v>22</v>
      </c>
      <c r="FU7" s="255">
        <v>21</v>
      </c>
      <c r="FV7" s="255">
        <v>21</v>
      </c>
      <c r="FW7" s="254">
        <v>19</v>
      </c>
      <c r="FX7" s="254">
        <v>19</v>
      </c>
      <c r="FY7" s="254">
        <v>18</v>
      </c>
      <c r="FZ7" s="254">
        <v>18</v>
      </c>
      <c r="GA7" s="254">
        <v>18</v>
      </c>
      <c r="GB7" s="254">
        <v>18</v>
      </c>
      <c r="GC7" s="254">
        <v>18</v>
      </c>
      <c r="GD7" s="254">
        <v>16</v>
      </c>
      <c r="GE7" s="258"/>
      <c r="GF7" s="254">
        <v>16</v>
      </c>
      <c r="GG7" s="254">
        <v>14</v>
      </c>
      <c r="GH7" s="254">
        <v>14</v>
      </c>
      <c r="GI7" s="254">
        <v>14</v>
      </c>
      <c r="GJ7" s="254">
        <v>14</v>
      </c>
      <c r="GK7" s="254">
        <v>14</v>
      </c>
      <c r="GL7" s="254">
        <v>12</v>
      </c>
      <c r="GM7" s="258"/>
      <c r="GN7" s="254">
        <v>12</v>
      </c>
      <c r="GO7" s="254">
        <v>12</v>
      </c>
      <c r="GP7" s="254">
        <v>12</v>
      </c>
      <c r="GQ7" s="254">
        <v>12</v>
      </c>
      <c r="GR7" s="254">
        <v>12</v>
      </c>
      <c r="GS7" s="254">
        <v>11</v>
      </c>
      <c r="GT7" s="257">
        <v>9</v>
      </c>
      <c r="GU7" s="257">
        <v>9</v>
      </c>
      <c r="GV7" s="257">
        <v>9</v>
      </c>
      <c r="GW7" s="257">
        <v>9</v>
      </c>
      <c r="GX7" s="257">
        <v>9</v>
      </c>
      <c r="GY7" s="257">
        <v>9</v>
      </c>
      <c r="GZ7" s="257">
        <v>9</v>
      </c>
      <c r="HA7" s="257">
        <v>9</v>
      </c>
      <c r="HB7" s="257">
        <v>9</v>
      </c>
      <c r="HC7" s="257">
        <v>7</v>
      </c>
      <c r="HD7" s="257">
        <v>7</v>
      </c>
      <c r="HE7" s="257">
        <v>7</v>
      </c>
      <c r="HF7" s="257">
        <v>7</v>
      </c>
      <c r="HG7" s="257">
        <v>7</v>
      </c>
      <c r="HH7" s="257">
        <v>7</v>
      </c>
      <c r="HI7" s="257">
        <v>6</v>
      </c>
      <c r="HJ7" s="257">
        <v>6</v>
      </c>
      <c r="HK7" s="257">
        <v>6</v>
      </c>
      <c r="HL7" s="257">
        <v>6</v>
      </c>
      <c r="HM7" s="257">
        <v>6</v>
      </c>
      <c r="HN7" s="257">
        <v>6</v>
      </c>
      <c r="HO7" s="257">
        <v>6</v>
      </c>
      <c r="HP7" s="257">
        <v>6</v>
      </c>
      <c r="HQ7" s="257">
        <v>6</v>
      </c>
      <c r="HR7" s="257">
        <v>6</v>
      </c>
      <c r="HS7" s="257">
        <v>6</v>
      </c>
      <c r="HT7" s="257">
        <v>5</v>
      </c>
      <c r="HU7" s="257">
        <v>5</v>
      </c>
      <c r="HV7" s="257">
        <v>5</v>
      </c>
      <c r="HW7" s="257">
        <v>5</v>
      </c>
      <c r="HX7" s="257">
        <v>5</v>
      </c>
      <c r="HY7" s="257">
        <v>5</v>
      </c>
      <c r="HZ7" s="257">
        <v>5</v>
      </c>
      <c r="IA7" s="257">
        <v>3</v>
      </c>
      <c r="IB7" s="257">
        <v>3</v>
      </c>
      <c r="IC7" s="257">
        <v>3</v>
      </c>
      <c r="ID7" s="257">
        <v>3</v>
      </c>
      <c r="IE7" s="257">
        <v>3</v>
      </c>
      <c r="IF7" s="257">
        <v>3</v>
      </c>
      <c r="IG7" s="257">
        <v>3</v>
      </c>
      <c r="IH7" s="257">
        <v>3</v>
      </c>
      <c r="II7" s="257">
        <v>3</v>
      </c>
      <c r="IJ7" s="258"/>
      <c r="IK7" s="257">
        <v>3</v>
      </c>
      <c r="IL7" s="257">
        <v>3</v>
      </c>
      <c r="IM7" s="258"/>
      <c r="IN7" s="258"/>
      <c r="IO7" s="258"/>
      <c r="IP7" s="258"/>
      <c r="IQ7" s="258"/>
      <c r="IR7" s="258"/>
      <c r="IS7" s="258"/>
      <c r="IT7" s="258"/>
      <c r="IU7" s="258"/>
      <c r="IV7" s="258"/>
      <c r="IW7" s="258"/>
      <c r="IX7" s="258"/>
      <c r="IY7" s="258"/>
      <c r="IZ7" s="258"/>
      <c r="JA7" s="258"/>
      <c r="JB7" s="258"/>
      <c r="JC7" s="258"/>
      <c r="JD7" s="258"/>
      <c r="JE7" s="258"/>
      <c r="JF7" s="258"/>
      <c r="JG7" s="258"/>
      <c r="JH7" s="258"/>
      <c r="JI7" s="258"/>
      <c r="JJ7" s="258"/>
      <c r="JK7" s="258"/>
      <c r="JL7" s="258"/>
      <c r="JM7" s="258"/>
      <c r="JN7" s="258"/>
      <c r="JO7" s="258"/>
      <c r="JP7" s="258"/>
      <c r="JQ7" s="258"/>
      <c r="JR7" s="258"/>
      <c r="JS7" s="258"/>
      <c r="JT7" s="258"/>
      <c r="JU7" s="258"/>
      <c r="JV7" s="258"/>
      <c r="JW7" s="258"/>
      <c r="JX7" s="258"/>
      <c r="JY7" s="258"/>
      <c r="JZ7" s="258"/>
      <c r="KA7" s="258"/>
      <c r="KB7" s="258"/>
      <c r="KC7" s="258"/>
      <c r="KD7" s="258"/>
      <c r="KE7" s="258"/>
      <c r="KF7" s="258"/>
      <c r="KG7" s="258"/>
      <c r="KH7" s="258"/>
      <c r="KI7" s="258"/>
      <c r="KJ7" s="258"/>
      <c r="KK7" s="258"/>
      <c r="KL7" s="258"/>
      <c r="KM7" s="258"/>
      <c r="KN7" s="258"/>
      <c r="KO7" s="258"/>
      <c r="KP7" s="258"/>
      <c r="KQ7" s="258"/>
      <c r="KR7" s="258"/>
      <c r="KS7" s="258"/>
      <c r="KT7" s="258"/>
      <c r="KU7" s="258"/>
      <c r="KV7" s="258"/>
      <c r="KW7" s="258"/>
      <c r="KX7" s="258"/>
      <c r="KY7" s="258"/>
      <c r="KZ7" s="258"/>
      <c r="LA7" s="258"/>
      <c r="LB7" s="258"/>
      <c r="LC7" s="258"/>
      <c r="LD7" s="258"/>
      <c r="LE7" s="258"/>
      <c r="LF7" s="258"/>
      <c r="LG7" s="258"/>
      <c r="LH7" s="258"/>
      <c r="LI7" s="258"/>
      <c r="LJ7" s="258"/>
      <c r="LK7" s="258"/>
      <c r="LL7" s="258"/>
      <c r="LM7" s="258"/>
      <c r="LN7" s="258"/>
      <c r="LO7" s="258"/>
      <c r="LP7" s="258"/>
      <c r="LQ7" s="258"/>
      <c r="LR7" s="258"/>
      <c r="LS7" s="258"/>
      <c r="LT7" s="258"/>
      <c r="LU7" s="258"/>
      <c r="LV7" s="258"/>
      <c r="LW7" s="258"/>
      <c r="LX7" s="258"/>
      <c r="LY7" s="258"/>
      <c r="LZ7" s="258"/>
      <c r="MA7" s="258"/>
      <c r="MB7" s="258"/>
      <c r="MC7" s="258"/>
      <c r="MD7" s="258"/>
      <c r="ME7" s="258"/>
      <c r="MF7" s="303"/>
      <c r="MG7" s="303"/>
      <c r="MH7" s="303"/>
      <c r="MI7" s="303"/>
      <c r="MJ7" s="303"/>
      <c r="MK7" s="303"/>
      <c r="ML7" s="303"/>
      <c r="MM7" s="303"/>
      <c r="MN7" s="303"/>
      <c r="MO7" s="303"/>
      <c r="MP7" s="303"/>
      <c r="MQ7" s="303"/>
      <c r="MR7" s="303"/>
      <c r="MS7" s="303"/>
      <c r="MT7" s="303"/>
      <c r="MU7" s="303"/>
      <c r="MV7" s="303"/>
      <c r="MW7" s="303"/>
      <c r="MX7" s="303"/>
      <c r="MY7" s="303"/>
      <c r="MZ7" s="303"/>
      <c r="NA7" s="303"/>
      <c r="NB7" s="303"/>
      <c r="NC7" s="303"/>
      <c r="ND7" s="303"/>
      <c r="NE7" s="303"/>
      <c r="NF7" s="303"/>
      <c r="NG7" s="303"/>
      <c r="NH7" s="303"/>
      <c r="NI7" s="303"/>
    </row>
    <row r="8" spans="1:373" x14ac:dyDescent="0.2">
      <c r="A8" s="132" t="s">
        <v>739</v>
      </c>
      <c r="B8" s="133" t="s">
        <v>925</v>
      </c>
      <c r="C8" s="134"/>
      <c r="D8" s="242" t="s">
        <v>1308</v>
      </c>
      <c r="E8" s="242">
        <v>0</v>
      </c>
      <c r="F8" s="243" t="s">
        <v>1309</v>
      </c>
      <c r="G8" s="243" t="s">
        <v>1223</v>
      </c>
      <c r="H8" s="243" t="s">
        <v>961</v>
      </c>
      <c r="I8" s="243">
        <v>0</v>
      </c>
      <c r="J8" s="243">
        <v>0</v>
      </c>
      <c r="K8" s="243">
        <v>0</v>
      </c>
      <c r="L8" s="243" t="s">
        <v>1224</v>
      </c>
      <c r="M8" s="243">
        <v>0</v>
      </c>
      <c r="N8" s="243" t="s">
        <v>1218</v>
      </c>
      <c r="O8" s="243">
        <v>0</v>
      </c>
      <c r="P8" s="243">
        <v>0</v>
      </c>
      <c r="Q8" s="243">
        <v>0</v>
      </c>
      <c r="R8" s="135"/>
      <c r="S8" s="135"/>
      <c r="T8" s="135"/>
      <c r="U8" s="135"/>
      <c r="V8" s="135"/>
      <c r="W8" s="135">
        <v>0</v>
      </c>
      <c r="X8" s="135">
        <v>0</v>
      </c>
      <c r="Y8" s="135">
        <v>0</v>
      </c>
      <c r="Z8" s="136">
        <v>340.13</v>
      </c>
      <c r="AA8" s="136">
        <v>699</v>
      </c>
      <c r="AB8" s="136">
        <v>0</v>
      </c>
      <c r="AC8" s="137">
        <v>0</v>
      </c>
      <c r="AD8" s="137">
        <v>0</v>
      </c>
      <c r="AE8" s="138">
        <v>10</v>
      </c>
      <c r="AF8" s="138">
        <v>8</v>
      </c>
      <c r="AG8" s="138">
        <v>2</v>
      </c>
      <c r="AH8" s="139">
        <v>1</v>
      </c>
      <c r="AI8" s="139" t="s">
        <v>1316</v>
      </c>
      <c r="AJ8" s="138" t="s">
        <v>3631</v>
      </c>
      <c r="AK8" s="195" t="s">
        <v>1316</v>
      </c>
      <c r="AL8" s="138" t="s">
        <v>1316</v>
      </c>
      <c r="AM8" s="27" t="s">
        <v>1316</v>
      </c>
      <c r="AN8" s="138">
        <v>0</v>
      </c>
      <c r="AO8" s="140">
        <v>0</v>
      </c>
      <c r="AP8" s="140">
        <v>0</v>
      </c>
      <c r="AQ8" s="140">
        <v>0</v>
      </c>
      <c r="AR8" s="138">
        <v>0</v>
      </c>
      <c r="AS8" s="138">
        <v>0</v>
      </c>
      <c r="AT8" s="198"/>
      <c r="AU8" s="198"/>
      <c r="AV8" s="198"/>
      <c r="AW8" s="211" t="s">
        <v>790</v>
      </c>
      <c r="AX8" s="211" t="s">
        <v>1324</v>
      </c>
      <c r="AY8" s="141"/>
      <c r="AZ8" s="141"/>
      <c r="BA8" s="142">
        <v>2</v>
      </c>
      <c r="BB8" s="142" t="s">
        <v>527</v>
      </c>
      <c r="BC8" s="142"/>
      <c r="BD8" s="142">
        <v>1</v>
      </c>
      <c r="BE8" s="143" t="s">
        <v>541</v>
      </c>
      <c r="BF8" s="144">
        <v>1</v>
      </c>
      <c r="BG8" s="145"/>
      <c r="BH8" s="212"/>
      <c r="BI8" s="213"/>
      <c r="BJ8" s="146">
        <v>0</v>
      </c>
      <c r="BK8" s="214">
        <v>0</v>
      </c>
      <c r="BL8" s="13">
        <v>0</v>
      </c>
      <c r="BM8" s="13">
        <v>0</v>
      </c>
      <c r="BN8" s="27" t="s">
        <v>1317</v>
      </c>
      <c r="BO8" s="13" t="s">
        <v>1317</v>
      </c>
      <c r="BP8" s="147">
        <v>5</v>
      </c>
      <c r="BQ8" s="148"/>
      <c r="BR8" s="149"/>
      <c r="BS8" s="138">
        <v>1000000000</v>
      </c>
      <c r="BT8" s="150">
        <v>0</v>
      </c>
      <c r="BU8" s="151">
        <v>0</v>
      </c>
      <c r="BV8" s="150">
        <v>0</v>
      </c>
      <c r="BW8" s="152">
        <v>0</v>
      </c>
      <c r="BX8" s="152">
        <v>0</v>
      </c>
      <c r="BY8" s="152">
        <v>0</v>
      </c>
      <c r="BZ8" s="150">
        <v>0</v>
      </c>
      <c r="CA8" s="150">
        <v>0</v>
      </c>
      <c r="CB8" s="150">
        <v>0</v>
      </c>
      <c r="CC8" s="151">
        <v>0</v>
      </c>
      <c r="CD8" s="150"/>
      <c r="CE8" s="150"/>
      <c r="CF8" s="153">
        <v>0</v>
      </c>
      <c r="CG8" s="154">
        <v>0</v>
      </c>
      <c r="CH8" s="148">
        <v>0</v>
      </c>
      <c r="CI8" s="155"/>
      <c r="CJ8" s="156" t="s">
        <v>1316</v>
      </c>
      <c r="CK8" s="157" t="s">
        <v>1316</v>
      </c>
      <c r="CL8" s="154">
        <v>0</v>
      </c>
      <c r="CM8" s="154">
        <v>0</v>
      </c>
      <c r="CN8" s="151">
        <v>0</v>
      </c>
      <c r="CO8" s="151">
        <v>0</v>
      </c>
      <c r="CP8" s="158"/>
      <c r="CQ8" s="151">
        <v>0</v>
      </c>
      <c r="CR8" s="199">
        <v>43125</v>
      </c>
      <c r="CS8" s="200">
        <v>43185</v>
      </c>
      <c r="CT8" s="201">
        <v>43255</v>
      </c>
      <c r="CU8" s="201">
        <v>43020</v>
      </c>
      <c r="CV8" s="201">
        <v>43069</v>
      </c>
      <c r="CW8" s="201">
        <v>43034</v>
      </c>
      <c r="CX8" s="201">
        <v>43076</v>
      </c>
      <c r="CY8" s="151">
        <v>0.35370791648924949</v>
      </c>
      <c r="CZ8" s="150">
        <v>0</v>
      </c>
      <c r="DA8" s="151">
        <v>7.8125E-2</v>
      </c>
      <c r="DB8" s="151">
        <v>0</v>
      </c>
      <c r="DC8" s="151">
        <v>0</v>
      </c>
      <c r="DD8" s="151">
        <v>0</v>
      </c>
      <c r="DE8" s="159">
        <v>0.875</v>
      </c>
      <c r="DF8" s="13" t="s">
        <v>1316</v>
      </c>
      <c r="DG8" s="85" t="s">
        <v>1316</v>
      </c>
      <c r="DH8" s="18" t="b">
        <v>0</v>
      </c>
      <c r="DI8" s="84"/>
      <c r="DJ8" s="84"/>
      <c r="DK8" s="215"/>
      <c r="DL8" s="194"/>
      <c r="DM8" s="216"/>
      <c r="DN8" s="151"/>
      <c r="DO8" s="84"/>
      <c r="DP8" s="84"/>
      <c r="DQ8" s="84"/>
      <c r="DR8" s="84"/>
      <c r="DS8" s="84"/>
      <c r="DT8" s="84"/>
      <c r="DU8" s="84"/>
      <c r="DV8" s="18"/>
      <c r="DW8" s="18"/>
      <c r="DX8" s="18"/>
      <c r="DY8" s="197"/>
      <c r="DZ8" s="197">
        <v>0</v>
      </c>
      <c r="EA8" s="197">
        <v>0</v>
      </c>
      <c r="EB8" s="197">
        <v>0</v>
      </c>
      <c r="EC8" s="197">
        <v>0</v>
      </c>
      <c r="ED8" s="197">
        <v>0</v>
      </c>
      <c r="EE8" s="197">
        <v>0</v>
      </c>
      <c r="EF8" s="197">
        <v>0</v>
      </c>
      <c r="EG8" s="219"/>
      <c r="EH8" s="223">
        <v>1</v>
      </c>
      <c r="EI8" s="223">
        <v>1</v>
      </c>
      <c r="EJ8" s="224">
        <v>3</v>
      </c>
      <c r="EK8" s="224">
        <v>3</v>
      </c>
      <c r="EL8" s="225">
        <v>4</v>
      </c>
      <c r="EM8" s="225">
        <v>5</v>
      </c>
      <c r="EN8" s="225">
        <v>5</v>
      </c>
      <c r="EO8" s="224">
        <v>3</v>
      </c>
      <c r="EP8" s="224">
        <v>3</v>
      </c>
      <c r="EQ8" s="223">
        <v>2</v>
      </c>
      <c r="ER8" s="225">
        <v>4</v>
      </c>
      <c r="ES8" s="225">
        <v>4</v>
      </c>
      <c r="ET8" s="225">
        <v>5</v>
      </c>
      <c r="EU8" s="218">
        <v>5</v>
      </c>
      <c r="EV8" s="218">
        <v>5</v>
      </c>
      <c r="EW8" s="218">
        <v>5</v>
      </c>
      <c r="EX8" s="218">
        <v>5</v>
      </c>
      <c r="EY8" s="218">
        <v>5</v>
      </c>
      <c r="EZ8" s="218">
        <v>5</v>
      </c>
      <c r="FA8" s="218">
        <v>5</v>
      </c>
      <c r="FB8" s="218">
        <v>5</v>
      </c>
      <c r="FC8" s="218">
        <v>5</v>
      </c>
      <c r="FD8" s="218">
        <v>5</v>
      </c>
      <c r="FE8" s="218">
        <v>5</v>
      </c>
      <c r="FF8" s="218">
        <v>5</v>
      </c>
      <c r="FG8" s="218">
        <v>5</v>
      </c>
      <c r="FH8" s="218">
        <v>5</v>
      </c>
      <c r="FI8" s="218">
        <v>5</v>
      </c>
      <c r="FJ8" s="218">
        <v>5</v>
      </c>
      <c r="FK8" s="218">
        <v>5</v>
      </c>
      <c r="FL8" s="218">
        <v>5</v>
      </c>
      <c r="FM8" s="218">
        <v>5</v>
      </c>
      <c r="FN8" s="218">
        <v>5</v>
      </c>
      <c r="FO8" s="218">
        <v>5</v>
      </c>
      <c r="FP8" s="218">
        <v>5</v>
      </c>
      <c r="FQ8" s="218">
        <v>5</v>
      </c>
      <c r="FR8" s="218">
        <v>5</v>
      </c>
      <c r="FS8" s="218">
        <v>5</v>
      </c>
      <c r="FT8" s="218">
        <v>5</v>
      </c>
      <c r="FU8" s="218">
        <v>5</v>
      </c>
      <c r="FV8" s="218">
        <v>5</v>
      </c>
      <c r="FW8" s="218">
        <v>5</v>
      </c>
      <c r="FX8" s="218">
        <v>5</v>
      </c>
      <c r="FY8" s="218">
        <v>5</v>
      </c>
      <c r="FZ8" s="218">
        <v>5</v>
      </c>
      <c r="GA8" s="218">
        <v>5</v>
      </c>
      <c r="GB8" s="218">
        <v>5</v>
      </c>
      <c r="GC8" s="218">
        <v>5</v>
      </c>
      <c r="GD8" s="218">
        <v>5</v>
      </c>
      <c r="GE8" s="219"/>
      <c r="GF8" s="218">
        <v>5</v>
      </c>
      <c r="GG8" s="218">
        <v>5</v>
      </c>
      <c r="GH8" s="218">
        <v>5</v>
      </c>
      <c r="GI8" s="218">
        <v>5</v>
      </c>
      <c r="GJ8" s="218">
        <v>5</v>
      </c>
      <c r="GK8" s="218">
        <v>5</v>
      </c>
      <c r="GL8" s="218">
        <v>5</v>
      </c>
      <c r="GM8" s="219"/>
      <c r="GN8" s="218">
        <v>4</v>
      </c>
      <c r="GO8" s="218">
        <v>4</v>
      </c>
      <c r="GP8" s="218">
        <v>4</v>
      </c>
      <c r="GQ8" s="218">
        <v>4</v>
      </c>
      <c r="GR8" s="218">
        <v>4</v>
      </c>
      <c r="GS8" s="218">
        <v>4</v>
      </c>
      <c r="GT8" s="218">
        <v>4</v>
      </c>
      <c r="GU8" s="218">
        <v>4</v>
      </c>
      <c r="GV8" s="218">
        <v>4</v>
      </c>
      <c r="GW8" s="218">
        <v>4</v>
      </c>
      <c r="GX8" s="218">
        <v>4</v>
      </c>
      <c r="GY8" s="218">
        <v>4</v>
      </c>
      <c r="GZ8" s="218">
        <v>4</v>
      </c>
      <c r="HA8" s="218">
        <v>4</v>
      </c>
      <c r="HB8" s="218">
        <v>4</v>
      </c>
      <c r="HC8" s="218">
        <v>4</v>
      </c>
      <c r="HD8" s="218">
        <v>4</v>
      </c>
      <c r="HE8" s="218">
        <v>4</v>
      </c>
      <c r="HF8" s="218">
        <v>4</v>
      </c>
      <c r="HG8" s="218">
        <v>4</v>
      </c>
      <c r="HH8" s="218">
        <v>4</v>
      </c>
      <c r="HI8" s="218">
        <v>4</v>
      </c>
      <c r="HJ8" s="218">
        <v>4</v>
      </c>
      <c r="HK8" s="218">
        <v>4</v>
      </c>
      <c r="HL8" s="218">
        <v>4</v>
      </c>
      <c r="HM8" s="218">
        <v>4</v>
      </c>
      <c r="HN8" s="218">
        <v>4</v>
      </c>
      <c r="HO8" s="218">
        <v>4</v>
      </c>
      <c r="HP8" s="218">
        <v>4</v>
      </c>
      <c r="HQ8" s="218">
        <v>3</v>
      </c>
      <c r="HR8" s="218">
        <v>3</v>
      </c>
      <c r="HS8" s="218">
        <v>3</v>
      </c>
      <c r="HT8" s="218">
        <v>3</v>
      </c>
      <c r="HU8" s="218">
        <v>3</v>
      </c>
      <c r="HV8" s="218">
        <v>3</v>
      </c>
      <c r="HW8" s="218">
        <v>3</v>
      </c>
      <c r="HX8" s="218">
        <v>3</v>
      </c>
      <c r="HY8" s="218">
        <v>3</v>
      </c>
      <c r="HZ8" s="218">
        <v>3</v>
      </c>
      <c r="IA8" s="218">
        <v>3</v>
      </c>
      <c r="IB8" s="218">
        <v>3</v>
      </c>
      <c r="IC8" s="218">
        <v>3</v>
      </c>
      <c r="ID8" s="218">
        <v>3</v>
      </c>
      <c r="IE8" s="218">
        <v>3</v>
      </c>
      <c r="IF8" s="218">
        <v>3</v>
      </c>
      <c r="IG8" s="218">
        <v>0</v>
      </c>
      <c r="IH8" s="218">
        <v>0</v>
      </c>
      <c r="II8" s="218">
        <v>0</v>
      </c>
      <c r="IJ8" s="219"/>
      <c r="IK8" s="218">
        <v>0</v>
      </c>
      <c r="IL8" s="218">
        <v>0</v>
      </c>
      <c r="IM8" s="219"/>
      <c r="IN8" s="219"/>
      <c r="IO8" s="219"/>
      <c r="IP8" s="219"/>
      <c r="IQ8" s="219"/>
      <c r="IR8" s="219"/>
      <c r="IS8" s="219"/>
      <c r="IT8" s="219"/>
      <c r="IU8" s="219"/>
      <c r="IV8" s="219"/>
      <c r="IW8" s="219"/>
      <c r="IX8" s="219"/>
      <c r="IY8" s="219"/>
      <c r="IZ8" s="219"/>
      <c r="JA8" s="219"/>
      <c r="JB8" s="219"/>
      <c r="JC8" s="219"/>
      <c r="JD8" s="219"/>
      <c r="JE8" s="219"/>
      <c r="JF8" s="219"/>
      <c r="JG8" s="219"/>
      <c r="JH8" s="219"/>
      <c r="JI8" s="219"/>
      <c r="JJ8" s="219"/>
      <c r="JK8" s="219"/>
      <c r="JL8" s="219"/>
      <c r="JM8" s="219"/>
      <c r="JN8" s="219"/>
      <c r="JO8" s="219"/>
      <c r="JP8" s="219"/>
      <c r="JQ8" s="219"/>
      <c r="JR8" s="219"/>
      <c r="JS8" s="219"/>
      <c r="JT8" s="219"/>
      <c r="JU8" s="219"/>
      <c r="JV8" s="219"/>
      <c r="JW8" s="219"/>
      <c r="JX8" s="219"/>
      <c r="JY8" s="219"/>
      <c r="JZ8" s="219"/>
      <c r="KA8" s="219"/>
      <c r="KB8" s="219"/>
      <c r="KC8" s="219"/>
      <c r="KD8" s="219"/>
      <c r="KE8" s="219"/>
      <c r="KF8" s="219"/>
      <c r="KG8" s="219"/>
      <c r="KH8" s="219"/>
      <c r="KI8" s="219"/>
      <c r="KJ8" s="219"/>
      <c r="KK8" s="219"/>
      <c r="KL8" s="219"/>
      <c r="KM8" s="219"/>
      <c r="KN8" s="219"/>
      <c r="KO8" s="219"/>
      <c r="KP8" s="219"/>
      <c r="KQ8" s="219"/>
      <c r="KR8" s="219"/>
      <c r="KS8" s="219"/>
      <c r="KT8" s="219"/>
      <c r="KU8" s="219"/>
      <c r="KV8" s="219"/>
      <c r="KW8" s="219"/>
      <c r="KX8" s="219"/>
      <c r="KY8" s="219"/>
      <c r="KZ8" s="219"/>
      <c r="LA8" s="219"/>
      <c r="LB8" s="219"/>
      <c r="LC8" s="219"/>
      <c r="LD8" s="219"/>
      <c r="LE8" s="219"/>
      <c r="LF8" s="219"/>
      <c r="LG8" s="219"/>
      <c r="LH8" s="219"/>
      <c r="LI8" s="219"/>
      <c r="LJ8" s="219"/>
      <c r="LK8" s="219"/>
      <c r="LL8" s="219"/>
      <c r="LM8" s="219"/>
      <c r="LN8" s="219"/>
      <c r="LO8" s="219"/>
      <c r="LP8" s="219"/>
      <c r="LQ8" s="219"/>
      <c r="LR8" s="219"/>
      <c r="LS8" s="219"/>
      <c r="LT8" s="219"/>
      <c r="LU8" s="219"/>
      <c r="LV8" s="219"/>
      <c r="LW8" s="219"/>
      <c r="LX8" s="219"/>
      <c r="LY8" s="219"/>
      <c r="LZ8" s="219"/>
      <c r="MA8" s="219"/>
      <c r="MB8" s="219"/>
      <c r="MC8" s="219"/>
      <c r="MD8" s="219"/>
      <c r="ME8" s="219"/>
      <c r="MF8" s="305"/>
      <c r="MG8" s="305"/>
      <c r="MH8" s="305"/>
      <c r="MI8" s="305"/>
      <c r="MJ8" s="305"/>
      <c r="MK8" s="305"/>
      <c r="ML8" s="305"/>
      <c r="MM8" s="305"/>
      <c r="MN8" s="305"/>
      <c r="MO8" s="305"/>
      <c r="MP8" s="305"/>
      <c r="MQ8" s="305"/>
      <c r="MR8" s="305"/>
      <c r="MS8" s="305"/>
      <c r="MT8" s="305"/>
      <c r="MU8" s="305"/>
      <c r="MV8" s="305"/>
      <c r="MW8" s="305"/>
      <c r="MX8" s="305"/>
      <c r="MY8" s="305"/>
      <c r="MZ8" s="305"/>
      <c r="NA8" s="305"/>
      <c r="NB8" s="305"/>
      <c r="NC8" s="305"/>
      <c r="ND8" s="305"/>
      <c r="NE8" s="305"/>
      <c r="NF8" s="305"/>
      <c r="NG8" s="305"/>
      <c r="NH8" s="305"/>
      <c r="NI8" s="305"/>
    </row>
    <row r="9" spans="1:373" x14ac:dyDescent="0.2">
      <c r="A9" s="132" t="s">
        <v>739</v>
      </c>
      <c r="B9" s="133" t="s">
        <v>926</v>
      </c>
      <c r="C9" s="134"/>
      <c r="D9" s="242" t="s">
        <v>1225</v>
      </c>
      <c r="E9" s="242">
        <v>0</v>
      </c>
      <c r="F9" s="243" t="s">
        <v>1226</v>
      </c>
      <c r="G9" s="243" t="s">
        <v>960</v>
      </c>
      <c r="H9" s="243" t="s">
        <v>961</v>
      </c>
      <c r="I9" s="243">
        <v>0</v>
      </c>
      <c r="J9" s="243">
        <v>0</v>
      </c>
      <c r="K9" s="243">
        <v>0</v>
      </c>
      <c r="L9" s="243" t="s">
        <v>1219</v>
      </c>
      <c r="M9" s="243">
        <v>0</v>
      </c>
      <c r="N9" s="243" t="s">
        <v>1217</v>
      </c>
      <c r="O9" s="243">
        <v>0</v>
      </c>
      <c r="P9" s="243">
        <v>0</v>
      </c>
      <c r="Q9" s="243">
        <v>0</v>
      </c>
      <c r="R9" s="135"/>
      <c r="S9" s="135"/>
      <c r="T9" s="135"/>
      <c r="U9" s="135"/>
      <c r="V9" s="135"/>
      <c r="W9" s="135">
        <v>0</v>
      </c>
      <c r="X9" s="135">
        <v>0</v>
      </c>
      <c r="Y9" s="135">
        <v>0</v>
      </c>
      <c r="Z9" s="136">
        <v>305.43</v>
      </c>
      <c r="AA9" s="136">
        <v>802.88</v>
      </c>
      <c r="AB9" s="136">
        <v>0</v>
      </c>
      <c r="AC9" s="137">
        <v>0</v>
      </c>
      <c r="AD9" s="137">
        <v>0</v>
      </c>
      <c r="AE9" s="138">
        <v>10</v>
      </c>
      <c r="AF9" s="138">
        <v>8</v>
      </c>
      <c r="AG9" s="138">
        <v>2</v>
      </c>
      <c r="AH9" s="139">
        <v>1</v>
      </c>
      <c r="AI9" s="139" t="s">
        <v>1387</v>
      </c>
      <c r="AJ9" s="138" t="s">
        <v>3632</v>
      </c>
      <c r="AK9" s="195" t="s">
        <v>3627</v>
      </c>
      <c r="AL9" s="138" t="s">
        <v>1316</v>
      </c>
      <c r="AM9" s="27" t="s">
        <v>1316</v>
      </c>
      <c r="AN9" s="138">
        <v>39.14</v>
      </c>
      <c r="AO9" s="140">
        <v>4.1517629024016349</v>
      </c>
      <c r="AP9" s="140">
        <v>1.1561062851303014</v>
      </c>
      <c r="AQ9" s="140">
        <v>6.3873275421563614E-3</v>
      </c>
      <c r="AR9" s="138">
        <v>0</v>
      </c>
      <c r="AS9" s="138">
        <v>0</v>
      </c>
      <c r="AT9" s="198"/>
      <c r="AU9" s="198"/>
      <c r="AV9" s="198"/>
      <c r="AW9" s="211" t="s">
        <v>790</v>
      </c>
      <c r="AX9" s="211" t="s">
        <v>1324</v>
      </c>
      <c r="AY9" s="141"/>
      <c r="AZ9" s="141"/>
      <c r="BA9" s="142">
        <v>1</v>
      </c>
      <c r="BB9" s="142" t="s">
        <v>527</v>
      </c>
      <c r="BC9" s="142"/>
      <c r="BD9" s="142">
        <v>2</v>
      </c>
      <c r="BE9" s="143" t="s">
        <v>541</v>
      </c>
      <c r="BF9" s="144">
        <v>1</v>
      </c>
      <c r="BG9" s="145"/>
      <c r="BH9" s="212"/>
      <c r="BI9" s="213"/>
      <c r="BJ9" s="146">
        <v>650</v>
      </c>
      <c r="BK9" s="214">
        <v>588</v>
      </c>
      <c r="BL9" s="13">
        <v>432</v>
      </c>
      <c r="BM9" s="13">
        <v>215</v>
      </c>
      <c r="BN9" s="27" t="s">
        <v>1393</v>
      </c>
      <c r="BO9" s="13" t="s">
        <v>1393</v>
      </c>
      <c r="BP9" s="147">
        <v>500</v>
      </c>
      <c r="BQ9" s="148"/>
      <c r="BR9" s="149"/>
      <c r="BS9" s="138">
        <v>1000000000</v>
      </c>
      <c r="BT9" s="150">
        <v>10</v>
      </c>
      <c r="BU9" s="151">
        <v>0.98</v>
      </c>
      <c r="BV9" s="150">
        <v>171</v>
      </c>
      <c r="BW9" s="152">
        <v>0</v>
      </c>
      <c r="BX9" s="152">
        <v>0</v>
      </c>
      <c r="BY9" s="152">
        <v>0</v>
      </c>
      <c r="BZ9" s="150">
        <v>0</v>
      </c>
      <c r="CA9" s="150">
        <v>0</v>
      </c>
      <c r="CB9" s="150">
        <v>181</v>
      </c>
      <c r="CC9" s="151">
        <v>0.72</v>
      </c>
      <c r="CD9" s="150"/>
      <c r="CE9" s="150"/>
      <c r="CF9" s="153">
        <v>470</v>
      </c>
      <c r="CG9" s="154">
        <v>130</v>
      </c>
      <c r="CH9" s="148">
        <v>60</v>
      </c>
      <c r="CI9" s="155"/>
      <c r="CJ9" s="156" t="s">
        <v>1316</v>
      </c>
      <c r="CK9" s="157" t="s">
        <v>1316</v>
      </c>
      <c r="CL9" s="154">
        <v>101977.25</v>
      </c>
      <c r="CM9" s="154">
        <v>0</v>
      </c>
      <c r="CN9" s="151">
        <v>0</v>
      </c>
      <c r="CO9" s="151">
        <v>7.817699636577939</v>
      </c>
      <c r="CP9" s="158"/>
      <c r="CQ9" s="151">
        <v>0.4</v>
      </c>
      <c r="CR9" s="199">
        <v>42970</v>
      </c>
      <c r="CS9" s="200">
        <v>43185</v>
      </c>
      <c r="CT9" s="201">
        <v>43255</v>
      </c>
      <c r="CU9" s="201">
        <v>43195</v>
      </c>
      <c r="CV9" s="201">
        <v>43179</v>
      </c>
      <c r="CW9" s="201">
        <v>43209</v>
      </c>
      <c r="CX9" s="201">
        <v>43251</v>
      </c>
      <c r="CY9" s="151">
        <v>0.5482953304798599</v>
      </c>
      <c r="CZ9" s="150">
        <v>0</v>
      </c>
      <c r="DA9" s="151">
        <v>0</v>
      </c>
      <c r="DB9" s="151">
        <v>0.8125</v>
      </c>
      <c r="DC9" s="151">
        <v>0.140625</v>
      </c>
      <c r="DD9" s="151">
        <v>0</v>
      </c>
      <c r="DE9" s="159">
        <v>0</v>
      </c>
      <c r="DF9" s="13" t="s">
        <v>1316</v>
      </c>
      <c r="DG9" s="85" t="s">
        <v>1394</v>
      </c>
      <c r="DH9" s="18" t="b">
        <v>0</v>
      </c>
      <c r="DI9" s="84"/>
      <c r="DJ9" s="84"/>
      <c r="DK9" s="215"/>
      <c r="DL9" s="194"/>
      <c r="DM9" s="216"/>
      <c r="DN9" s="151"/>
      <c r="DO9" s="84"/>
      <c r="DP9" s="84"/>
      <c r="DQ9" s="84"/>
      <c r="DR9" s="84"/>
      <c r="DS9" s="84"/>
      <c r="DT9" s="84"/>
      <c r="DU9" s="84"/>
      <c r="DV9" s="18"/>
      <c r="DW9" s="18"/>
      <c r="DX9" s="18"/>
      <c r="DY9" s="197"/>
      <c r="DZ9" s="197">
        <v>0</v>
      </c>
      <c r="EA9" s="197">
        <v>0</v>
      </c>
      <c r="EB9" s="197">
        <v>0</v>
      </c>
      <c r="EC9" s="197">
        <v>0</v>
      </c>
      <c r="ED9" s="197">
        <v>0</v>
      </c>
      <c r="EE9" s="197">
        <v>0</v>
      </c>
      <c r="EF9" s="197">
        <v>171</v>
      </c>
      <c r="EG9" s="221"/>
      <c r="EH9" s="254">
        <v>258</v>
      </c>
      <c r="EI9" s="257">
        <v>5</v>
      </c>
      <c r="EJ9" s="257">
        <v>116</v>
      </c>
      <c r="EK9" s="257">
        <v>84</v>
      </c>
      <c r="EL9" s="257">
        <v>69</v>
      </c>
      <c r="EM9" s="255">
        <v>336</v>
      </c>
      <c r="EN9" s="254">
        <v>293</v>
      </c>
      <c r="EO9" s="254">
        <v>263</v>
      </c>
      <c r="EP9" s="254">
        <v>258</v>
      </c>
      <c r="EQ9" s="257">
        <v>158</v>
      </c>
      <c r="ER9" s="257">
        <v>143</v>
      </c>
      <c r="ES9" s="257">
        <v>62</v>
      </c>
      <c r="ET9" s="257">
        <v>116</v>
      </c>
      <c r="EU9" s="255">
        <v>520</v>
      </c>
      <c r="EV9" s="255">
        <v>514</v>
      </c>
      <c r="EW9" s="255">
        <v>456</v>
      </c>
      <c r="EX9" s="255">
        <v>456</v>
      </c>
      <c r="EY9" s="255">
        <v>456</v>
      </c>
      <c r="EZ9" s="255">
        <v>451</v>
      </c>
      <c r="FA9" s="255">
        <v>439</v>
      </c>
      <c r="FB9" s="255">
        <v>436</v>
      </c>
      <c r="FC9" s="255">
        <v>436</v>
      </c>
      <c r="FD9" s="255">
        <v>436</v>
      </c>
      <c r="FE9" s="255">
        <v>436</v>
      </c>
      <c r="FF9" s="255">
        <v>440</v>
      </c>
      <c r="FG9" s="255">
        <v>440</v>
      </c>
      <c r="FH9" s="255">
        <v>439</v>
      </c>
      <c r="FI9" s="255">
        <v>436</v>
      </c>
      <c r="FJ9" s="254">
        <v>429</v>
      </c>
      <c r="FK9" s="254">
        <v>406</v>
      </c>
      <c r="FL9" s="254">
        <v>406</v>
      </c>
      <c r="FM9" s="254">
        <v>406</v>
      </c>
      <c r="FN9" s="254">
        <v>396</v>
      </c>
      <c r="FO9" s="254">
        <v>395</v>
      </c>
      <c r="FP9" s="254">
        <v>393</v>
      </c>
      <c r="FQ9" s="254">
        <v>325</v>
      </c>
      <c r="FR9" s="254">
        <v>321</v>
      </c>
      <c r="FS9" s="254">
        <v>321</v>
      </c>
      <c r="FT9" s="254">
        <v>321</v>
      </c>
      <c r="FU9" s="254">
        <v>309</v>
      </c>
      <c r="FV9" s="254">
        <v>280</v>
      </c>
      <c r="FW9" s="254">
        <v>277</v>
      </c>
      <c r="FX9" s="254">
        <v>326</v>
      </c>
      <c r="FY9" s="254">
        <v>325</v>
      </c>
      <c r="FZ9" s="254">
        <v>325</v>
      </c>
      <c r="GA9" s="254">
        <v>325</v>
      </c>
      <c r="GB9" s="254">
        <v>305</v>
      </c>
      <c r="GC9" s="254">
        <v>290</v>
      </c>
      <c r="GD9" s="254">
        <v>251</v>
      </c>
      <c r="GE9" s="258"/>
      <c r="GF9" s="254">
        <v>229</v>
      </c>
      <c r="GG9" s="254">
        <v>226</v>
      </c>
      <c r="GH9" s="254">
        <v>225</v>
      </c>
      <c r="GI9" s="254">
        <v>222</v>
      </c>
      <c r="GJ9" s="254">
        <v>222</v>
      </c>
      <c r="GK9" s="257">
        <v>214</v>
      </c>
      <c r="GL9" s="257">
        <v>214</v>
      </c>
      <c r="GM9" s="258"/>
      <c r="GN9" s="257">
        <v>182</v>
      </c>
      <c r="GO9" s="257">
        <v>179</v>
      </c>
      <c r="GP9" s="257">
        <v>179</v>
      </c>
      <c r="GQ9" s="257">
        <v>179</v>
      </c>
      <c r="GR9" s="257">
        <v>179</v>
      </c>
      <c r="GS9" s="257">
        <v>174</v>
      </c>
      <c r="GT9" s="257">
        <v>168</v>
      </c>
      <c r="GU9" s="257">
        <v>149</v>
      </c>
      <c r="GV9" s="257">
        <v>146</v>
      </c>
      <c r="GW9" s="257">
        <v>146</v>
      </c>
      <c r="GX9" s="257">
        <v>146</v>
      </c>
      <c r="GY9" s="257">
        <v>144</v>
      </c>
      <c r="GZ9" s="257">
        <v>143</v>
      </c>
      <c r="HA9" s="257">
        <v>136</v>
      </c>
      <c r="HB9" s="257">
        <v>131</v>
      </c>
      <c r="HC9" s="257">
        <v>128</v>
      </c>
      <c r="HD9" s="257">
        <v>128</v>
      </c>
      <c r="HE9" s="257">
        <v>128</v>
      </c>
      <c r="HF9" s="257">
        <v>128</v>
      </c>
      <c r="HG9" s="257">
        <v>128</v>
      </c>
      <c r="HH9" s="257">
        <v>128</v>
      </c>
      <c r="HI9" s="257">
        <v>114</v>
      </c>
      <c r="HJ9" s="257">
        <v>113</v>
      </c>
      <c r="HK9" s="257">
        <v>113</v>
      </c>
      <c r="HL9" s="257">
        <v>113</v>
      </c>
      <c r="HM9" s="257">
        <v>96</v>
      </c>
      <c r="HN9" s="257">
        <v>96</v>
      </c>
      <c r="HO9" s="257">
        <v>94</v>
      </c>
      <c r="HP9" s="257">
        <v>100</v>
      </c>
      <c r="HQ9" s="257">
        <v>96</v>
      </c>
      <c r="HR9" s="257">
        <v>96</v>
      </c>
      <c r="HS9" s="257">
        <v>96</v>
      </c>
      <c r="HT9" s="257">
        <v>106</v>
      </c>
      <c r="HU9" s="257">
        <v>89</v>
      </c>
      <c r="HV9" s="257">
        <v>83</v>
      </c>
      <c r="HW9" s="257">
        <v>82</v>
      </c>
      <c r="HX9" s="257">
        <v>82</v>
      </c>
      <c r="HY9" s="257">
        <v>76</v>
      </c>
      <c r="HZ9" s="257">
        <v>71</v>
      </c>
      <c r="IA9" s="257">
        <v>71</v>
      </c>
      <c r="IB9" s="257">
        <v>66</v>
      </c>
      <c r="IC9" s="257">
        <v>45</v>
      </c>
      <c r="ID9" s="257">
        <v>45</v>
      </c>
      <c r="IE9" s="257">
        <v>45</v>
      </c>
      <c r="IF9" s="257">
        <v>45</v>
      </c>
      <c r="IG9" s="257">
        <v>39</v>
      </c>
      <c r="IH9" s="257">
        <v>20</v>
      </c>
      <c r="II9" s="257">
        <v>10</v>
      </c>
      <c r="IJ9" s="258"/>
      <c r="IK9" s="257">
        <v>10</v>
      </c>
      <c r="IL9" s="257">
        <v>10</v>
      </c>
      <c r="IM9" s="258"/>
      <c r="IN9" s="258"/>
      <c r="IO9" s="258"/>
      <c r="IP9" s="258"/>
      <c r="IQ9" s="258"/>
      <c r="IR9" s="258"/>
      <c r="IS9" s="258"/>
      <c r="IT9" s="258"/>
      <c r="IU9" s="258"/>
      <c r="IV9" s="258"/>
      <c r="IW9" s="258"/>
      <c r="IX9" s="258"/>
      <c r="IY9" s="258"/>
      <c r="IZ9" s="258"/>
      <c r="JA9" s="258"/>
      <c r="JB9" s="258"/>
      <c r="JC9" s="258"/>
      <c r="JD9" s="258"/>
      <c r="JE9" s="258"/>
      <c r="JF9" s="258"/>
      <c r="JG9" s="258"/>
      <c r="JH9" s="258"/>
      <c r="JI9" s="258"/>
      <c r="JJ9" s="258"/>
      <c r="JK9" s="258"/>
      <c r="JL9" s="258"/>
      <c r="JM9" s="258"/>
      <c r="JN9" s="258"/>
      <c r="JO9" s="258"/>
      <c r="JP9" s="258"/>
      <c r="JQ9" s="258"/>
      <c r="JR9" s="258"/>
      <c r="JS9" s="258"/>
      <c r="JT9" s="258"/>
      <c r="JU9" s="258"/>
      <c r="JV9" s="258"/>
      <c r="JW9" s="258"/>
      <c r="JX9" s="258"/>
      <c r="JY9" s="258"/>
      <c r="JZ9" s="258"/>
      <c r="KA9" s="258"/>
      <c r="KB9" s="258"/>
      <c r="KC9" s="258"/>
      <c r="KD9" s="258"/>
      <c r="KE9" s="258"/>
      <c r="KF9" s="258"/>
      <c r="KG9" s="258"/>
      <c r="KH9" s="258"/>
      <c r="KI9" s="258"/>
      <c r="KJ9" s="258"/>
      <c r="KK9" s="258"/>
      <c r="KL9" s="258"/>
      <c r="KM9" s="258"/>
      <c r="KN9" s="258"/>
      <c r="KO9" s="258"/>
      <c r="KP9" s="258"/>
      <c r="KQ9" s="258"/>
      <c r="KR9" s="258"/>
      <c r="KS9" s="258"/>
      <c r="KT9" s="258"/>
      <c r="KU9" s="258"/>
      <c r="KV9" s="258"/>
      <c r="KW9" s="258"/>
      <c r="KX9" s="258"/>
      <c r="KY9" s="258"/>
      <c r="KZ9" s="258"/>
      <c r="LA9" s="258"/>
      <c r="LB9" s="258"/>
      <c r="LC9" s="258"/>
      <c r="LD9" s="258"/>
      <c r="LE9" s="258"/>
      <c r="LF9" s="258"/>
      <c r="LG9" s="258"/>
      <c r="LH9" s="258"/>
      <c r="LI9" s="258"/>
      <c r="LJ9" s="258"/>
      <c r="LK9" s="258"/>
      <c r="LL9" s="258"/>
      <c r="LM9" s="258"/>
      <c r="LN9" s="258"/>
      <c r="LO9" s="258"/>
      <c r="LP9" s="258"/>
      <c r="LQ9" s="258"/>
      <c r="LR9" s="258"/>
      <c r="LS9" s="258"/>
      <c r="LT9" s="258"/>
      <c r="LU9" s="258"/>
      <c r="LV9" s="258"/>
      <c r="LW9" s="258"/>
      <c r="LX9" s="258"/>
      <c r="LY9" s="258"/>
      <c r="LZ9" s="258"/>
      <c r="MA9" s="258"/>
      <c r="MB9" s="258"/>
      <c r="MC9" s="258"/>
      <c r="MD9" s="258"/>
      <c r="ME9" s="258"/>
      <c r="MF9" s="303"/>
      <c r="MG9" s="303"/>
      <c r="MH9" s="303"/>
      <c r="MI9" s="303"/>
      <c r="MJ9" s="303"/>
      <c r="MK9" s="303"/>
      <c r="ML9" s="303"/>
      <c r="MM9" s="303"/>
      <c r="MN9" s="303"/>
      <c r="MO9" s="303"/>
      <c r="MP9" s="303"/>
      <c r="MQ9" s="303"/>
      <c r="MR9" s="303"/>
      <c r="MS9" s="303"/>
      <c r="MT9" s="303"/>
      <c r="MU9" s="303"/>
      <c r="MV9" s="303"/>
      <c r="MW9" s="303"/>
      <c r="MX9" s="303"/>
      <c r="MY9" s="303"/>
      <c r="MZ9" s="303"/>
      <c r="NA9" s="303"/>
      <c r="NB9" s="303"/>
      <c r="NC9" s="303"/>
      <c r="ND9" s="303"/>
      <c r="NE9" s="303"/>
      <c r="NF9" s="303"/>
      <c r="NG9" s="303"/>
      <c r="NH9" s="303"/>
      <c r="NI9" s="303"/>
    </row>
    <row r="10" spans="1:373" x14ac:dyDescent="0.2">
      <c r="A10" s="132" t="s">
        <v>739</v>
      </c>
      <c r="B10" s="133" t="s">
        <v>927</v>
      </c>
      <c r="C10" s="134"/>
      <c r="D10" s="242" t="s">
        <v>1305</v>
      </c>
      <c r="E10" s="242">
        <v>0</v>
      </c>
      <c r="F10" s="243" t="s">
        <v>1306</v>
      </c>
      <c r="G10" s="243" t="s">
        <v>1307</v>
      </c>
      <c r="H10" s="243" t="s">
        <v>961</v>
      </c>
      <c r="I10" s="243">
        <v>0</v>
      </c>
      <c r="J10" s="243">
        <v>0</v>
      </c>
      <c r="K10" s="243">
        <v>0</v>
      </c>
      <c r="L10" s="243" t="s">
        <v>1219</v>
      </c>
      <c r="M10" s="243">
        <v>0</v>
      </c>
      <c r="N10" s="243" t="s">
        <v>1217</v>
      </c>
      <c r="O10" s="243">
        <v>0</v>
      </c>
      <c r="P10" s="243">
        <v>0</v>
      </c>
      <c r="Q10" s="243">
        <v>0</v>
      </c>
      <c r="R10" s="135"/>
      <c r="S10" s="135"/>
      <c r="T10" s="135"/>
      <c r="U10" s="135"/>
      <c r="V10" s="135"/>
      <c r="W10" s="135">
        <v>0</v>
      </c>
      <c r="X10" s="135">
        <v>0</v>
      </c>
      <c r="Y10" s="135">
        <v>0</v>
      </c>
      <c r="Z10" s="136">
        <v>350.4</v>
      </c>
      <c r="AA10" s="136">
        <v>640.62</v>
      </c>
      <c r="AB10" s="136">
        <v>0</v>
      </c>
      <c r="AC10" s="137">
        <v>0</v>
      </c>
      <c r="AD10" s="137">
        <v>0</v>
      </c>
      <c r="AE10" s="138">
        <v>10</v>
      </c>
      <c r="AF10" s="138">
        <v>8</v>
      </c>
      <c r="AG10" s="138">
        <v>2</v>
      </c>
      <c r="AH10" s="139">
        <v>1</v>
      </c>
      <c r="AI10" s="139" t="s">
        <v>1316</v>
      </c>
      <c r="AJ10" s="138" t="s">
        <v>3633</v>
      </c>
      <c r="AK10" s="195" t="s">
        <v>1316</v>
      </c>
      <c r="AL10" s="138" t="s">
        <v>1316</v>
      </c>
      <c r="AM10" s="27" t="s">
        <v>1316</v>
      </c>
      <c r="AN10" s="138">
        <v>0</v>
      </c>
      <c r="AO10" s="140">
        <v>0</v>
      </c>
      <c r="AP10" s="140">
        <v>0</v>
      </c>
      <c r="AQ10" s="140">
        <v>0</v>
      </c>
      <c r="AR10" s="138">
        <v>0</v>
      </c>
      <c r="AS10" s="138">
        <v>0</v>
      </c>
      <c r="AT10" s="198"/>
      <c r="AU10" s="198"/>
      <c r="AV10" s="198"/>
      <c r="AW10" s="211" t="s">
        <v>790</v>
      </c>
      <c r="AX10" s="211" t="s">
        <v>1324</v>
      </c>
      <c r="AY10" s="141"/>
      <c r="AZ10" s="141"/>
      <c r="BA10" s="142">
        <v>1</v>
      </c>
      <c r="BB10" s="142" t="s">
        <v>527</v>
      </c>
      <c r="BC10" s="142"/>
      <c r="BD10" s="142">
        <v>1</v>
      </c>
      <c r="BE10" s="143" t="s">
        <v>541</v>
      </c>
      <c r="BF10" s="144">
        <v>1</v>
      </c>
      <c r="BG10" s="145"/>
      <c r="BH10" s="212"/>
      <c r="BI10" s="213"/>
      <c r="BJ10" s="146">
        <v>0</v>
      </c>
      <c r="BK10" s="214">
        <v>0</v>
      </c>
      <c r="BL10" s="13">
        <v>0</v>
      </c>
      <c r="BM10" s="13">
        <v>0</v>
      </c>
      <c r="BN10" s="27" t="s">
        <v>1317</v>
      </c>
      <c r="BO10" s="13" t="s">
        <v>1317</v>
      </c>
      <c r="BP10" s="147">
        <v>7</v>
      </c>
      <c r="BQ10" s="148"/>
      <c r="BR10" s="149"/>
      <c r="BS10" s="138">
        <v>1000000000</v>
      </c>
      <c r="BT10" s="150">
        <v>0</v>
      </c>
      <c r="BU10" s="151">
        <v>0</v>
      </c>
      <c r="BV10" s="150">
        <v>0</v>
      </c>
      <c r="BW10" s="152">
        <v>0</v>
      </c>
      <c r="BX10" s="152">
        <v>0</v>
      </c>
      <c r="BY10" s="152">
        <v>0</v>
      </c>
      <c r="BZ10" s="150">
        <v>0</v>
      </c>
      <c r="CA10" s="150">
        <v>0</v>
      </c>
      <c r="CB10" s="150">
        <v>0</v>
      </c>
      <c r="CC10" s="151">
        <v>0</v>
      </c>
      <c r="CD10" s="150"/>
      <c r="CE10" s="150"/>
      <c r="CF10" s="153">
        <v>0</v>
      </c>
      <c r="CG10" s="154">
        <v>0</v>
      </c>
      <c r="CH10" s="148">
        <v>0</v>
      </c>
      <c r="CI10" s="155"/>
      <c r="CJ10" s="156" t="s">
        <v>1316</v>
      </c>
      <c r="CK10" s="157" t="s">
        <v>1316</v>
      </c>
      <c r="CL10" s="154">
        <v>0</v>
      </c>
      <c r="CM10" s="154">
        <v>0</v>
      </c>
      <c r="CN10" s="151">
        <v>0</v>
      </c>
      <c r="CO10" s="151">
        <v>0</v>
      </c>
      <c r="CP10" s="158"/>
      <c r="CQ10" s="151">
        <v>0</v>
      </c>
      <c r="CR10" s="199">
        <v>42992</v>
      </c>
      <c r="CS10" s="200">
        <v>43185</v>
      </c>
      <c r="CT10" s="201">
        <v>43255</v>
      </c>
      <c r="CU10" s="201">
        <v>42865</v>
      </c>
      <c r="CV10" s="201">
        <v>42915</v>
      </c>
      <c r="CW10" s="201">
        <v>42879</v>
      </c>
      <c r="CX10" s="201">
        <v>42921</v>
      </c>
      <c r="CY10" s="151">
        <v>1</v>
      </c>
      <c r="CZ10" s="150">
        <v>0</v>
      </c>
      <c r="DA10" s="151">
        <v>0.953125</v>
      </c>
      <c r="DB10" s="151">
        <v>0</v>
      </c>
      <c r="DC10" s="151">
        <v>0</v>
      </c>
      <c r="DD10" s="151">
        <v>0</v>
      </c>
      <c r="DE10" s="159">
        <v>0</v>
      </c>
      <c r="DF10" s="13" t="s">
        <v>1316</v>
      </c>
      <c r="DG10" s="85" t="s">
        <v>1316</v>
      </c>
      <c r="DH10" s="18" t="b">
        <v>0</v>
      </c>
      <c r="DI10" s="84"/>
      <c r="DJ10" s="84"/>
      <c r="DK10" s="215"/>
      <c r="DL10" s="194"/>
      <c r="DM10" s="216"/>
      <c r="DN10" s="151"/>
      <c r="DO10" s="84"/>
      <c r="DP10" s="84"/>
      <c r="DQ10" s="84"/>
      <c r="DR10" s="84"/>
      <c r="DS10" s="84"/>
      <c r="DT10" s="84"/>
      <c r="DU10" s="84"/>
      <c r="DV10" s="18"/>
      <c r="DW10" s="18"/>
      <c r="DX10" s="18"/>
      <c r="DY10" s="197"/>
      <c r="DZ10" s="197">
        <v>0</v>
      </c>
      <c r="EA10" s="197">
        <v>0</v>
      </c>
      <c r="EB10" s="197">
        <v>0</v>
      </c>
      <c r="EC10" s="197">
        <v>0</v>
      </c>
      <c r="ED10" s="197">
        <v>0</v>
      </c>
      <c r="EE10" s="197">
        <v>0</v>
      </c>
      <c r="EF10" s="197">
        <v>0</v>
      </c>
      <c r="EG10" s="219"/>
      <c r="EH10" s="224">
        <v>3</v>
      </c>
      <c r="EI10" s="223">
        <v>1</v>
      </c>
      <c r="EJ10" s="223">
        <v>1</v>
      </c>
      <c r="EK10" s="223">
        <v>1</v>
      </c>
      <c r="EL10" s="223">
        <v>1</v>
      </c>
      <c r="EM10" s="224">
        <v>4</v>
      </c>
      <c r="EN10" s="222">
        <v>0</v>
      </c>
      <c r="EO10" s="222">
        <v>0</v>
      </c>
      <c r="EP10" s="218">
        <v>0</v>
      </c>
      <c r="EQ10" s="218">
        <v>0</v>
      </c>
      <c r="ER10" s="218">
        <v>0</v>
      </c>
      <c r="ES10" s="218">
        <v>0</v>
      </c>
      <c r="ET10" s="218">
        <v>0</v>
      </c>
      <c r="EU10" s="218">
        <v>0</v>
      </c>
      <c r="EV10" s="218">
        <v>0</v>
      </c>
      <c r="EW10" s="218">
        <v>0</v>
      </c>
      <c r="EX10" s="218">
        <v>0</v>
      </c>
      <c r="EY10" s="218">
        <v>0</v>
      </c>
      <c r="EZ10" s="218">
        <v>0</v>
      </c>
      <c r="FA10" s="218">
        <v>0</v>
      </c>
      <c r="FB10" s="218">
        <v>0</v>
      </c>
      <c r="FC10" s="218">
        <v>0</v>
      </c>
      <c r="FD10" s="218">
        <v>0</v>
      </c>
      <c r="FE10" s="218">
        <v>0</v>
      </c>
      <c r="FF10" s="218">
        <v>0</v>
      </c>
      <c r="FG10" s="218">
        <v>0</v>
      </c>
      <c r="FH10" s="218">
        <v>0</v>
      </c>
      <c r="FI10" s="218">
        <v>0</v>
      </c>
      <c r="FJ10" s="218">
        <v>0</v>
      </c>
      <c r="FK10" s="218">
        <v>0</v>
      </c>
      <c r="FL10" s="218">
        <v>0</v>
      </c>
      <c r="FM10" s="218">
        <v>0</v>
      </c>
      <c r="FN10" s="218">
        <v>0</v>
      </c>
      <c r="FO10" s="218">
        <v>0</v>
      </c>
      <c r="FP10" s="218">
        <v>0</v>
      </c>
      <c r="FQ10" s="218">
        <v>0</v>
      </c>
      <c r="FR10" s="218">
        <v>0</v>
      </c>
      <c r="FS10" s="218">
        <v>0</v>
      </c>
      <c r="FT10" s="218">
        <v>0</v>
      </c>
      <c r="FU10" s="218">
        <v>0</v>
      </c>
      <c r="FV10" s="218">
        <v>0</v>
      </c>
      <c r="FW10" s="218">
        <v>0</v>
      </c>
      <c r="FX10" s="218">
        <v>0</v>
      </c>
      <c r="FY10" s="218">
        <v>0</v>
      </c>
      <c r="FZ10" s="218">
        <v>0</v>
      </c>
      <c r="GA10" s="218">
        <v>0</v>
      </c>
      <c r="GB10" s="218">
        <v>0</v>
      </c>
      <c r="GC10" s="218">
        <v>0</v>
      </c>
      <c r="GD10" s="218">
        <v>0</v>
      </c>
      <c r="GE10" s="219"/>
      <c r="GF10" s="218">
        <v>0</v>
      </c>
      <c r="GG10" s="218">
        <v>0</v>
      </c>
      <c r="GH10" s="218">
        <v>0</v>
      </c>
      <c r="GI10" s="218">
        <v>0</v>
      </c>
      <c r="GJ10" s="218">
        <v>0</v>
      </c>
      <c r="GK10" s="218">
        <v>0</v>
      </c>
      <c r="GL10" s="218">
        <v>0</v>
      </c>
      <c r="GM10" s="219"/>
      <c r="GN10" s="218">
        <v>0</v>
      </c>
      <c r="GO10" s="218">
        <v>0</v>
      </c>
      <c r="GP10" s="218">
        <v>0</v>
      </c>
      <c r="GQ10" s="218">
        <v>0</v>
      </c>
      <c r="GR10" s="218">
        <v>0</v>
      </c>
      <c r="GS10" s="218">
        <v>0</v>
      </c>
      <c r="GT10" s="218">
        <v>0</v>
      </c>
      <c r="GU10" s="218">
        <v>0</v>
      </c>
      <c r="GV10" s="218">
        <v>0</v>
      </c>
      <c r="GW10" s="218">
        <v>0</v>
      </c>
      <c r="GX10" s="218">
        <v>0</v>
      </c>
      <c r="GY10" s="218">
        <v>0</v>
      </c>
      <c r="GZ10" s="218">
        <v>0</v>
      </c>
      <c r="HA10" s="218">
        <v>0</v>
      </c>
      <c r="HB10" s="218">
        <v>0</v>
      </c>
      <c r="HC10" s="218">
        <v>0</v>
      </c>
      <c r="HD10" s="218">
        <v>0</v>
      </c>
      <c r="HE10" s="218">
        <v>0</v>
      </c>
      <c r="HF10" s="218">
        <v>0</v>
      </c>
      <c r="HG10" s="218">
        <v>0</v>
      </c>
      <c r="HH10" s="218">
        <v>0</v>
      </c>
      <c r="HI10" s="218">
        <v>0</v>
      </c>
      <c r="HJ10" s="218">
        <v>0</v>
      </c>
      <c r="HK10" s="218">
        <v>0</v>
      </c>
      <c r="HL10" s="218">
        <v>0</v>
      </c>
      <c r="HM10" s="218">
        <v>0</v>
      </c>
      <c r="HN10" s="218">
        <v>0</v>
      </c>
      <c r="HO10" s="218">
        <v>0</v>
      </c>
      <c r="HP10" s="218">
        <v>0</v>
      </c>
      <c r="HQ10" s="218">
        <v>0</v>
      </c>
      <c r="HR10" s="218">
        <v>0</v>
      </c>
      <c r="HS10" s="218">
        <v>0</v>
      </c>
      <c r="HT10" s="218">
        <v>0</v>
      </c>
      <c r="HU10" s="218">
        <v>0</v>
      </c>
      <c r="HV10" s="218">
        <v>0</v>
      </c>
      <c r="HW10" s="218">
        <v>0</v>
      </c>
      <c r="HX10" s="218">
        <v>0</v>
      </c>
      <c r="HY10" s="218">
        <v>0</v>
      </c>
      <c r="HZ10" s="218">
        <v>0</v>
      </c>
      <c r="IA10" s="218">
        <v>0</v>
      </c>
      <c r="IB10" s="218">
        <v>0</v>
      </c>
      <c r="IC10" s="218">
        <v>0</v>
      </c>
      <c r="ID10" s="218">
        <v>0</v>
      </c>
      <c r="IE10" s="218">
        <v>0</v>
      </c>
      <c r="IF10" s="218">
        <v>0</v>
      </c>
      <c r="IG10" s="218">
        <v>0</v>
      </c>
      <c r="IH10" s="218">
        <v>0</v>
      </c>
      <c r="II10" s="218">
        <v>0</v>
      </c>
      <c r="IJ10" s="219"/>
      <c r="IK10" s="218">
        <v>0</v>
      </c>
      <c r="IL10" s="218">
        <v>0</v>
      </c>
      <c r="IM10" s="219"/>
      <c r="IN10" s="219"/>
      <c r="IO10" s="219"/>
      <c r="IP10" s="219"/>
      <c r="IQ10" s="219"/>
      <c r="IR10" s="219"/>
      <c r="IS10" s="219"/>
      <c r="IT10" s="219"/>
      <c r="IU10" s="219"/>
      <c r="IV10" s="219"/>
      <c r="IW10" s="219"/>
      <c r="IX10" s="219"/>
      <c r="IY10" s="219"/>
      <c r="IZ10" s="219"/>
      <c r="JA10" s="219"/>
      <c r="JB10" s="219"/>
      <c r="JC10" s="219"/>
      <c r="JD10" s="219"/>
      <c r="JE10" s="219"/>
      <c r="JF10" s="219"/>
      <c r="JG10" s="219"/>
      <c r="JH10" s="219"/>
      <c r="JI10" s="219"/>
      <c r="JJ10" s="219"/>
      <c r="JK10" s="219"/>
      <c r="JL10" s="219"/>
      <c r="JM10" s="219"/>
      <c r="JN10" s="219"/>
      <c r="JO10" s="219"/>
      <c r="JP10" s="219"/>
      <c r="JQ10" s="219"/>
      <c r="JR10" s="219"/>
      <c r="JS10" s="219"/>
      <c r="JT10" s="219"/>
      <c r="JU10" s="219"/>
      <c r="JV10" s="219"/>
      <c r="JW10" s="219"/>
      <c r="JX10" s="219"/>
      <c r="JY10" s="219"/>
      <c r="JZ10" s="219"/>
      <c r="KA10" s="219"/>
      <c r="KB10" s="219"/>
      <c r="KC10" s="219"/>
      <c r="KD10" s="219"/>
      <c r="KE10" s="219"/>
      <c r="KF10" s="219"/>
      <c r="KG10" s="219"/>
      <c r="KH10" s="219"/>
      <c r="KI10" s="219"/>
      <c r="KJ10" s="219"/>
      <c r="KK10" s="219"/>
      <c r="KL10" s="219"/>
      <c r="KM10" s="219"/>
      <c r="KN10" s="219"/>
      <c r="KO10" s="219"/>
      <c r="KP10" s="219"/>
      <c r="KQ10" s="219"/>
      <c r="KR10" s="219"/>
      <c r="KS10" s="219"/>
      <c r="KT10" s="219"/>
      <c r="KU10" s="219"/>
      <c r="KV10" s="219"/>
      <c r="KW10" s="219"/>
      <c r="KX10" s="219"/>
      <c r="KY10" s="219"/>
      <c r="KZ10" s="219"/>
      <c r="LA10" s="219"/>
      <c r="LB10" s="219"/>
      <c r="LC10" s="219"/>
      <c r="LD10" s="219"/>
      <c r="LE10" s="219"/>
      <c r="LF10" s="219"/>
      <c r="LG10" s="219"/>
      <c r="LH10" s="219"/>
      <c r="LI10" s="219"/>
      <c r="LJ10" s="219"/>
      <c r="LK10" s="219"/>
      <c r="LL10" s="219"/>
      <c r="LM10" s="219"/>
      <c r="LN10" s="219"/>
      <c r="LO10" s="219"/>
      <c r="LP10" s="219"/>
      <c r="LQ10" s="219"/>
      <c r="LR10" s="219"/>
      <c r="LS10" s="219"/>
      <c r="LT10" s="219"/>
      <c r="LU10" s="219"/>
      <c r="LV10" s="219"/>
      <c r="LW10" s="219"/>
      <c r="LX10" s="219"/>
      <c r="LY10" s="219"/>
      <c r="LZ10" s="219"/>
      <c r="MA10" s="219"/>
      <c r="MB10" s="219"/>
      <c r="MC10" s="219"/>
      <c r="MD10" s="219"/>
      <c r="ME10" s="219"/>
      <c r="MF10" s="305"/>
      <c r="MG10" s="305"/>
      <c r="MH10" s="305"/>
      <c r="MI10" s="305"/>
      <c r="MJ10" s="305"/>
      <c r="MK10" s="305"/>
      <c r="ML10" s="305"/>
      <c r="MM10" s="305"/>
      <c r="MN10" s="305"/>
      <c r="MO10" s="305"/>
      <c r="MP10" s="305"/>
      <c r="MQ10" s="305"/>
      <c r="MR10" s="305"/>
      <c r="MS10" s="305"/>
      <c r="MT10" s="305"/>
      <c r="MU10" s="305"/>
      <c r="MV10" s="305"/>
      <c r="MW10" s="305"/>
      <c r="MX10" s="305"/>
      <c r="MY10" s="305"/>
      <c r="MZ10" s="305"/>
      <c r="NA10" s="305"/>
      <c r="NB10" s="305"/>
      <c r="NC10" s="305"/>
      <c r="ND10" s="305"/>
      <c r="NE10" s="305"/>
      <c r="NF10" s="305"/>
      <c r="NG10" s="305"/>
      <c r="NH10" s="305"/>
      <c r="NI10" s="305"/>
    </row>
    <row r="11" spans="1:373" x14ac:dyDescent="0.2">
      <c r="A11" s="132" t="s">
        <v>739</v>
      </c>
      <c r="B11" s="133" t="s">
        <v>1329</v>
      </c>
      <c r="C11" s="134"/>
      <c r="D11" s="242" t="s">
        <v>1348</v>
      </c>
      <c r="E11" s="242">
        <v>0</v>
      </c>
      <c r="F11" s="243" t="s">
        <v>1367</v>
      </c>
      <c r="G11" s="243" t="s">
        <v>1254</v>
      </c>
      <c r="H11" s="243" t="s">
        <v>961</v>
      </c>
      <c r="I11" s="243">
        <v>0</v>
      </c>
      <c r="J11" s="243">
        <v>0</v>
      </c>
      <c r="K11" s="243">
        <v>0</v>
      </c>
      <c r="L11" s="243" t="s">
        <v>1224</v>
      </c>
      <c r="M11" s="243">
        <v>0</v>
      </c>
      <c r="N11" s="243" t="s">
        <v>1218</v>
      </c>
      <c r="O11" s="243">
        <v>0</v>
      </c>
      <c r="P11" s="243">
        <v>0</v>
      </c>
      <c r="Q11" s="243">
        <v>0</v>
      </c>
      <c r="R11" s="135"/>
      <c r="S11" s="135"/>
      <c r="T11" s="135"/>
      <c r="U11" s="135"/>
      <c r="V11" s="135"/>
      <c r="W11" s="135">
        <v>0</v>
      </c>
      <c r="X11" s="135">
        <v>0</v>
      </c>
      <c r="Y11" s="135">
        <v>0</v>
      </c>
      <c r="Z11" s="136">
        <v>377.58</v>
      </c>
      <c r="AA11" s="136">
        <v>614</v>
      </c>
      <c r="AB11" s="136">
        <v>0</v>
      </c>
      <c r="AC11" s="137">
        <v>0</v>
      </c>
      <c r="AD11" s="137">
        <v>0</v>
      </c>
      <c r="AE11" s="138">
        <v>10</v>
      </c>
      <c r="AF11" s="138">
        <v>8</v>
      </c>
      <c r="AG11" s="138">
        <v>2</v>
      </c>
      <c r="AH11" s="139">
        <v>1</v>
      </c>
      <c r="AI11" s="139" t="s">
        <v>1316</v>
      </c>
      <c r="AJ11" s="138" t="s">
        <v>3630</v>
      </c>
      <c r="AK11" s="195" t="s">
        <v>1316</v>
      </c>
      <c r="AL11" s="138" t="s">
        <v>1316</v>
      </c>
      <c r="AM11" s="27" t="s">
        <v>1316</v>
      </c>
      <c r="AN11" s="138">
        <v>0</v>
      </c>
      <c r="AO11" s="140">
        <v>0</v>
      </c>
      <c r="AP11" s="140">
        <v>0</v>
      </c>
      <c r="AQ11" s="140">
        <v>0</v>
      </c>
      <c r="AR11" s="138">
        <v>0</v>
      </c>
      <c r="AS11" s="138">
        <v>0</v>
      </c>
      <c r="AT11" s="198"/>
      <c r="AU11" s="198"/>
      <c r="AV11" s="198"/>
      <c r="AW11" s="211" t="s">
        <v>790</v>
      </c>
      <c r="AX11" s="211" t="s">
        <v>1324</v>
      </c>
      <c r="AY11" s="141"/>
      <c r="AZ11" s="141"/>
      <c r="BA11" s="142">
        <v>1</v>
      </c>
      <c r="BB11" s="142" t="s">
        <v>527</v>
      </c>
      <c r="BC11" s="142"/>
      <c r="BD11" s="142">
        <v>1</v>
      </c>
      <c r="BE11" s="143" t="s">
        <v>541</v>
      </c>
      <c r="BF11" s="144">
        <v>1</v>
      </c>
      <c r="BG11" s="145"/>
      <c r="BH11" s="212"/>
      <c r="BI11" s="213"/>
      <c r="BJ11" s="146">
        <v>0</v>
      </c>
      <c r="BK11" s="214">
        <v>0</v>
      </c>
      <c r="BL11" s="13">
        <v>0</v>
      </c>
      <c r="BM11" s="13">
        <v>0</v>
      </c>
      <c r="BN11" s="27" t="s">
        <v>1317</v>
      </c>
      <c r="BO11" s="13" t="s">
        <v>1317</v>
      </c>
      <c r="BP11" s="147">
        <v>6</v>
      </c>
      <c r="BQ11" s="148"/>
      <c r="BR11" s="149"/>
      <c r="BS11" s="138">
        <v>1000000000</v>
      </c>
      <c r="BT11" s="150">
        <v>0</v>
      </c>
      <c r="BU11" s="151">
        <v>0</v>
      </c>
      <c r="BV11" s="150">
        <v>0</v>
      </c>
      <c r="BW11" s="152">
        <v>0</v>
      </c>
      <c r="BX11" s="152">
        <v>0</v>
      </c>
      <c r="BY11" s="152">
        <v>0</v>
      </c>
      <c r="BZ11" s="150">
        <v>0</v>
      </c>
      <c r="CA11" s="150">
        <v>0</v>
      </c>
      <c r="CB11" s="150">
        <v>0</v>
      </c>
      <c r="CC11" s="151">
        <v>0</v>
      </c>
      <c r="CD11" s="150"/>
      <c r="CE11" s="150"/>
      <c r="CF11" s="153">
        <v>0</v>
      </c>
      <c r="CG11" s="154">
        <v>0</v>
      </c>
      <c r="CH11" s="148">
        <v>0</v>
      </c>
      <c r="CI11" s="155"/>
      <c r="CJ11" s="156" t="s">
        <v>1316</v>
      </c>
      <c r="CK11" s="157" t="s">
        <v>1316</v>
      </c>
      <c r="CL11" s="154">
        <v>0</v>
      </c>
      <c r="CM11" s="154">
        <v>0</v>
      </c>
      <c r="CN11" s="151">
        <v>0</v>
      </c>
      <c r="CO11" s="151">
        <v>0</v>
      </c>
      <c r="CP11" s="158"/>
      <c r="CQ11" s="151">
        <v>0</v>
      </c>
      <c r="CR11" s="199">
        <v>42636</v>
      </c>
      <c r="CS11" s="200">
        <v>43185</v>
      </c>
      <c r="CT11" s="201">
        <v>43255</v>
      </c>
      <c r="CU11" s="201">
        <v>0</v>
      </c>
      <c r="CV11" s="201">
        <v>0</v>
      </c>
      <c r="CW11" s="201" t="s">
        <v>1316</v>
      </c>
      <c r="CX11" s="201" t="s">
        <v>1316</v>
      </c>
      <c r="CY11" s="151">
        <v>1.0946297482319243</v>
      </c>
      <c r="CZ11" s="150">
        <v>0</v>
      </c>
      <c r="DA11" s="151">
        <v>0.515625</v>
      </c>
      <c r="DB11" s="151">
        <v>0</v>
      </c>
      <c r="DC11" s="151">
        <v>0</v>
      </c>
      <c r="DD11" s="151">
        <v>0</v>
      </c>
      <c r="DE11" s="159">
        <v>0.4375</v>
      </c>
      <c r="DF11" s="13" t="s">
        <v>1316</v>
      </c>
      <c r="DG11" s="85" t="s">
        <v>1316</v>
      </c>
      <c r="DH11" s="18" t="b">
        <v>0</v>
      </c>
      <c r="DI11" s="84"/>
      <c r="DJ11" s="84"/>
      <c r="DK11" s="215"/>
      <c r="DL11" s="194"/>
      <c r="DM11" s="216"/>
      <c r="DN11" s="151"/>
      <c r="DO11" s="84"/>
      <c r="DP11" s="84"/>
      <c r="DQ11" s="84"/>
      <c r="DR11" s="84"/>
      <c r="DS11" s="84"/>
      <c r="DT11" s="84"/>
      <c r="DU11" s="84"/>
      <c r="DV11" s="18"/>
      <c r="DW11" s="18"/>
      <c r="DX11" s="18"/>
      <c r="DY11" s="197"/>
      <c r="DZ11" s="197">
        <v>0</v>
      </c>
      <c r="EA11" s="197">
        <v>0</v>
      </c>
      <c r="EB11" s="197">
        <v>0</v>
      </c>
      <c r="EC11" s="197">
        <v>0</v>
      </c>
      <c r="ED11" s="197">
        <v>0</v>
      </c>
      <c r="EE11" s="197">
        <v>0</v>
      </c>
      <c r="EF11" s="197">
        <v>0</v>
      </c>
      <c r="EG11" s="221"/>
      <c r="EH11" s="260">
        <v>1</v>
      </c>
      <c r="EI11" s="260">
        <v>1</v>
      </c>
      <c r="EJ11" s="260">
        <v>1</v>
      </c>
      <c r="EK11" s="260">
        <v>1</v>
      </c>
      <c r="EL11" s="260">
        <v>1</v>
      </c>
      <c r="EM11" s="260">
        <v>0</v>
      </c>
      <c r="EN11" s="260">
        <v>0</v>
      </c>
      <c r="EO11" s="260">
        <v>0</v>
      </c>
      <c r="EP11" s="260">
        <v>0</v>
      </c>
      <c r="EQ11" s="260">
        <v>0</v>
      </c>
      <c r="ER11" s="260">
        <v>0</v>
      </c>
      <c r="ES11" s="260">
        <v>0</v>
      </c>
      <c r="ET11" s="260">
        <v>0</v>
      </c>
      <c r="EU11" s="260">
        <v>0</v>
      </c>
      <c r="EV11" s="260">
        <v>0</v>
      </c>
      <c r="EW11" s="260">
        <v>0</v>
      </c>
      <c r="EX11" s="260">
        <v>0</v>
      </c>
      <c r="EY11" s="260">
        <v>0</v>
      </c>
      <c r="EZ11" s="260">
        <v>0</v>
      </c>
      <c r="FA11" s="260">
        <v>0</v>
      </c>
      <c r="FB11" s="260">
        <v>0</v>
      </c>
      <c r="FC11" s="260">
        <v>0</v>
      </c>
      <c r="FD11" s="260">
        <v>0</v>
      </c>
      <c r="FE11" s="260">
        <v>0</v>
      </c>
      <c r="FF11" s="260">
        <v>0</v>
      </c>
      <c r="FG11" s="260">
        <v>0</v>
      </c>
      <c r="FH11" s="260">
        <v>0</v>
      </c>
      <c r="FI11" s="260">
        <v>0</v>
      </c>
      <c r="FJ11" s="260">
        <v>0</v>
      </c>
      <c r="FK11" s="260">
        <v>0</v>
      </c>
      <c r="FL11" s="260">
        <v>0</v>
      </c>
      <c r="FM11" s="260">
        <v>0</v>
      </c>
      <c r="FN11" s="260">
        <v>0</v>
      </c>
      <c r="FO11" s="260">
        <v>0</v>
      </c>
      <c r="FP11" s="260">
        <v>0</v>
      </c>
      <c r="FQ11" s="260">
        <v>0</v>
      </c>
      <c r="FR11" s="260">
        <v>0</v>
      </c>
      <c r="FS11" s="260">
        <v>0</v>
      </c>
      <c r="FT11" s="260">
        <v>0</v>
      </c>
      <c r="FU11" s="260">
        <v>0</v>
      </c>
      <c r="FV11" s="260">
        <v>0</v>
      </c>
      <c r="FW11" s="260">
        <v>0</v>
      </c>
      <c r="FX11" s="260">
        <v>0</v>
      </c>
      <c r="FY11" s="260">
        <v>0</v>
      </c>
      <c r="FZ11" s="260">
        <v>0</v>
      </c>
      <c r="GA11" s="260">
        <v>0</v>
      </c>
      <c r="GB11" s="260">
        <v>0</v>
      </c>
      <c r="GC11" s="260">
        <v>0</v>
      </c>
      <c r="GD11" s="260">
        <v>0</v>
      </c>
      <c r="GE11" s="261"/>
      <c r="GF11" s="260">
        <v>1</v>
      </c>
      <c r="GG11" s="260">
        <v>1</v>
      </c>
      <c r="GH11" s="260">
        <v>1</v>
      </c>
      <c r="GI11" s="260">
        <v>1</v>
      </c>
      <c r="GJ11" s="260">
        <v>1</v>
      </c>
      <c r="GK11" s="260">
        <v>1</v>
      </c>
      <c r="GL11" s="260">
        <v>1</v>
      </c>
      <c r="GM11" s="261"/>
      <c r="GN11" s="260">
        <v>1</v>
      </c>
      <c r="GO11" s="260">
        <v>1</v>
      </c>
      <c r="GP11" s="260">
        <v>1</v>
      </c>
      <c r="GQ11" s="260">
        <v>1</v>
      </c>
      <c r="GR11" s="260">
        <v>1</v>
      </c>
      <c r="GS11" s="260">
        <v>1</v>
      </c>
      <c r="GT11" s="260">
        <v>1</v>
      </c>
      <c r="GU11" s="260">
        <v>1</v>
      </c>
      <c r="GV11" s="260">
        <v>1</v>
      </c>
      <c r="GW11" s="260">
        <v>1</v>
      </c>
      <c r="GX11" s="260">
        <v>1</v>
      </c>
      <c r="GY11" s="260">
        <v>1</v>
      </c>
      <c r="GZ11" s="260">
        <v>1</v>
      </c>
      <c r="HA11" s="260">
        <v>1</v>
      </c>
      <c r="HB11" s="260">
        <v>1</v>
      </c>
      <c r="HC11" s="260">
        <v>1</v>
      </c>
      <c r="HD11" s="260">
        <v>1</v>
      </c>
      <c r="HE11" s="260">
        <v>1</v>
      </c>
      <c r="HF11" s="260">
        <v>1</v>
      </c>
      <c r="HG11" s="260">
        <v>1</v>
      </c>
      <c r="HH11" s="260">
        <v>1</v>
      </c>
      <c r="HI11" s="260">
        <v>0</v>
      </c>
      <c r="HJ11" s="260">
        <v>0</v>
      </c>
      <c r="HK11" s="260">
        <v>0</v>
      </c>
      <c r="HL11" s="260">
        <v>0</v>
      </c>
      <c r="HM11" s="260">
        <v>0</v>
      </c>
      <c r="HN11" s="260">
        <v>0</v>
      </c>
      <c r="HO11" s="260">
        <v>0</v>
      </c>
      <c r="HP11" s="260">
        <v>0</v>
      </c>
      <c r="HQ11" s="260">
        <v>0</v>
      </c>
      <c r="HR11" s="260">
        <v>0</v>
      </c>
      <c r="HS11" s="260">
        <v>0</v>
      </c>
      <c r="HT11" s="260">
        <v>0</v>
      </c>
      <c r="HU11" s="260">
        <v>0</v>
      </c>
      <c r="HV11" s="260">
        <v>0</v>
      </c>
      <c r="HW11" s="260">
        <v>0</v>
      </c>
      <c r="HX11" s="260">
        <v>0</v>
      </c>
      <c r="HY11" s="260">
        <v>0</v>
      </c>
      <c r="HZ11" s="260">
        <v>0</v>
      </c>
      <c r="IA11" s="260">
        <v>0</v>
      </c>
      <c r="IB11" s="260">
        <v>0</v>
      </c>
      <c r="IC11" s="260">
        <v>0</v>
      </c>
      <c r="ID11" s="260">
        <v>0</v>
      </c>
      <c r="IE11" s="260">
        <v>0</v>
      </c>
      <c r="IF11" s="260">
        <v>0</v>
      </c>
      <c r="IG11" s="260">
        <v>0</v>
      </c>
      <c r="IH11" s="260">
        <v>0</v>
      </c>
      <c r="II11" s="260">
        <v>0</v>
      </c>
      <c r="IJ11" s="261"/>
      <c r="IK11" s="260">
        <v>0</v>
      </c>
      <c r="IL11" s="260">
        <v>0</v>
      </c>
      <c r="IM11" s="261"/>
      <c r="IN11" s="261"/>
      <c r="IO11" s="261"/>
      <c r="IP11" s="261"/>
      <c r="IQ11" s="261"/>
      <c r="IR11" s="261"/>
      <c r="IS11" s="261"/>
      <c r="IT11" s="261"/>
      <c r="IU11" s="261"/>
      <c r="IV11" s="261"/>
      <c r="IW11" s="261"/>
      <c r="IX11" s="261"/>
      <c r="IY11" s="261"/>
      <c r="IZ11" s="261"/>
      <c r="JA11" s="261"/>
      <c r="JB11" s="261"/>
      <c r="JC11" s="261"/>
      <c r="JD11" s="261"/>
      <c r="JE11" s="261"/>
      <c r="JF11" s="261"/>
      <c r="JG11" s="261"/>
      <c r="JH11" s="261"/>
      <c r="JI11" s="261"/>
      <c r="JJ11" s="261"/>
      <c r="JK11" s="261"/>
      <c r="JL11" s="261"/>
      <c r="JM11" s="261"/>
      <c r="JN11" s="261"/>
      <c r="JO11" s="261"/>
      <c r="JP11" s="261"/>
      <c r="JQ11" s="261"/>
      <c r="JR11" s="261"/>
      <c r="JS11" s="261"/>
      <c r="JT11" s="261"/>
      <c r="JU11" s="261"/>
      <c r="JV11" s="261"/>
      <c r="JW11" s="261"/>
      <c r="JX11" s="261"/>
      <c r="JY11" s="261"/>
      <c r="JZ11" s="261"/>
      <c r="KA11" s="261"/>
      <c r="KB11" s="261"/>
      <c r="KC11" s="261"/>
      <c r="KD11" s="261"/>
      <c r="KE11" s="261"/>
      <c r="KF11" s="261"/>
      <c r="KG11" s="261"/>
      <c r="KH11" s="261"/>
      <c r="KI11" s="261"/>
      <c r="KJ11" s="261"/>
      <c r="KK11" s="261"/>
      <c r="KL11" s="261"/>
      <c r="KM11" s="261"/>
      <c r="KN11" s="261"/>
      <c r="KO11" s="261"/>
      <c r="KP11" s="261"/>
      <c r="KQ11" s="261"/>
      <c r="KR11" s="261"/>
      <c r="KS11" s="261"/>
      <c r="KT11" s="261"/>
      <c r="KU11" s="261"/>
      <c r="KV11" s="261"/>
      <c r="KW11" s="261"/>
      <c r="KX11" s="261"/>
      <c r="KY11" s="261"/>
      <c r="KZ11" s="261"/>
      <c r="LA11" s="261"/>
      <c r="LB11" s="261"/>
      <c r="LC11" s="261"/>
      <c r="LD11" s="261"/>
      <c r="LE11" s="261"/>
      <c r="LF11" s="261"/>
      <c r="LG11" s="261"/>
      <c r="LH11" s="261"/>
      <c r="LI11" s="261"/>
      <c r="LJ11" s="261"/>
      <c r="LK11" s="261"/>
      <c r="LL11" s="261"/>
      <c r="LM11" s="261"/>
      <c r="LN11" s="261"/>
      <c r="LO11" s="261"/>
      <c r="LP11" s="261"/>
      <c r="LQ11" s="261"/>
      <c r="LR11" s="261"/>
      <c r="LS11" s="261"/>
      <c r="LT11" s="261"/>
      <c r="LU11" s="261"/>
      <c r="LV11" s="261"/>
      <c r="LW11" s="261"/>
      <c r="LX11" s="261"/>
      <c r="LY11" s="261"/>
      <c r="LZ11" s="261"/>
      <c r="MA11" s="261"/>
      <c r="MB11" s="261"/>
      <c r="MC11" s="261"/>
      <c r="MD11" s="261"/>
      <c r="ME11" s="261"/>
      <c r="MF11" s="306"/>
      <c r="MG11" s="306"/>
      <c r="MH11" s="306"/>
      <c r="MI11" s="306"/>
      <c r="MJ11" s="306"/>
      <c r="MK11" s="306"/>
      <c r="ML11" s="306"/>
      <c r="MM11" s="306"/>
      <c r="MN11" s="306"/>
      <c r="MO11" s="306"/>
      <c r="MP11" s="306"/>
      <c r="MQ11" s="306"/>
      <c r="MR11" s="306"/>
      <c r="MS11" s="306"/>
      <c r="MT11" s="306"/>
      <c r="MU11" s="306"/>
      <c r="MV11" s="306"/>
      <c r="MW11" s="306"/>
      <c r="MX11" s="306"/>
      <c r="MY11" s="306"/>
      <c r="MZ11" s="306"/>
      <c r="NA11" s="306"/>
      <c r="NB11" s="306"/>
      <c r="NC11" s="306"/>
      <c r="ND11" s="306"/>
      <c r="NE11" s="306"/>
      <c r="NF11" s="306"/>
      <c r="NG11" s="306"/>
      <c r="NH11" s="306"/>
      <c r="NI11" s="306"/>
    </row>
    <row r="12" spans="1:373" x14ac:dyDescent="0.2">
      <c r="A12" s="132" t="s">
        <v>739</v>
      </c>
      <c r="B12" s="133" t="s">
        <v>1330</v>
      </c>
      <c r="C12" s="134"/>
      <c r="D12" s="242" t="s">
        <v>1349</v>
      </c>
      <c r="E12" s="242">
        <v>0</v>
      </c>
      <c r="F12" s="243" t="s">
        <v>1368</v>
      </c>
      <c r="G12" s="243" t="s">
        <v>1246</v>
      </c>
      <c r="H12" s="243" t="s">
        <v>961</v>
      </c>
      <c r="I12" s="243">
        <v>0</v>
      </c>
      <c r="J12" s="243">
        <v>0</v>
      </c>
      <c r="K12" s="243">
        <v>0</v>
      </c>
      <c r="L12" s="243" t="s">
        <v>1247</v>
      </c>
      <c r="M12" s="243">
        <v>0</v>
      </c>
      <c r="N12" s="243" t="s">
        <v>1218</v>
      </c>
      <c r="O12" s="243">
        <v>0</v>
      </c>
      <c r="P12" s="243">
        <v>0</v>
      </c>
      <c r="Q12" s="243">
        <v>0</v>
      </c>
      <c r="R12" s="135"/>
      <c r="S12" s="135"/>
      <c r="T12" s="135"/>
      <c r="U12" s="135"/>
      <c r="V12" s="135"/>
      <c r="W12" s="135">
        <v>0</v>
      </c>
      <c r="X12" s="135">
        <v>0</v>
      </c>
      <c r="Y12" s="135">
        <v>0</v>
      </c>
      <c r="Z12" s="136">
        <v>319.60000000000002</v>
      </c>
      <c r="AA12" s="136">
        <v>626.01</v>
      </c>
      <c r="AB12" s="136">
        <v>0</v>
      </c>
      <c r="AC12" s="137">
        <v>0</v>
      </c>
      <c r="AD12" s="137">
        <v>0</v>
      </c>
      <c r="AE12" s="138">
        <v>10</v>
      </c>
      <c r="AF12" s="138">
        <v>8</v>
      </c>
      <c r="AG12" s="138">
        <v>2</v>
      </c>
      <c r="AH12" s="139">
        <v>1</v>
      </c>
      <c r="AI12" s="139" t="s">
        <v>1387</v>
      </c>
      <c r="AJ12" s="138" t="s">
        <v>3634</v>
      </c>
      <c r="AK12" s="195" t="s">
        <v>1389</v>
      </c>
      <c r="AL12" s="138" t="s">
        <v>1316</v>
      </c>
      <c r="AM12" s="27" t="s">
        <v>1391</v>
      </c>
      <c r="AN12" s="138">
        <v>0</v>
      </c>
      <c r="AO12" s="140">
        <v>0</v>
      </c>
      <c r="AP12" s="140">
        <v>0</v>
      </c>
      <c r="AQ12" s="140">
        <v>0</v>
      </c>
      <c r="AR12" s="138">
        <v>15</v>
      </c>
      <c r="AS12" s="138">
        <v>0</v>
      </c>
      <c r="AT12" s="198"/>
      <c r="AU12" s="198"/>
      <c r="AV12" s="198"/>
      <c r="AW12" s="211" t="s">
        <v>790</v>
      </c>
      <c r="AX12" s="211" t="s">
        <v>1324</v>
      </c>
      <c r="AY12" s="141"/>
      <c r="AZ12" s="141"/>
      <c r="BA12" s="142">
        <v>1</v>
      </c>
      <c r="BB12" s="142" t="s">
        <v>527</v>
      </c>
      <c r="BC12" s="142"/>
      <c r="BD12" s="142">
        <v>1</v>
      </c>
      <c r="BE12" s="143" t="s">
        <v>541</v>
      </c>
      <c r="BF12" s="144">
        <v>1</v>
      </c>
      <c r="BG12" s="145"/>
      <c r="BH12" s="212"/>
      <c r="BI12" s="213"/>
      <c r="BJ12" s="146">
        <v>3</v>
      </c>
      <c r="BK12" s="214">
        <v>0</v>
      </c>
      <c r="BL12" s="13">
        <v>2</v>
      </c>
      <c r="BM12" s="13">
        <v>1</v>
      </c>
      <c r="BN12" s="27" t="s">
        <v>1394</v>
      </c>
      <c r="BO12" s="13" t="s">
        <v>1396</v>
      </c>
      <c r="BP12" s="147">
        <v>5</v>
      </c>
      <c r="BQ12" s="148"/>
      <c r="BR12" s="149"/>
      <c r="BS12" s="138">
        <v>1000000000</v>
      </c>
      <c r="BT12" s="150">
        <v>0</v>
      </c>
      <c r="BU12" s="151">
        <v>1</v>
      </c>
      <c r="BV12" s="150">
        <v>3</v>
      </c>
      <c r="BW12" s="152">
        <v>0</v>
      </c>
      <c r="BX12" s="152">
        <v>0</v>
      </c>
      <c r="BY12" s="152">
        <v>0</v>
      </c>
      <c r="BZ12" s="150">
        <v>0</v>
      </c>
      <c r="CA12" s="150">
        <v>0</v>
      </c>
      <c r="CB12" s="150">
        <v>3</v>
      </c>
      <c r="CC12" s="151">
        <v>0</v>
      </c>
      <c r="CD12" s="150"/>
      <c r="CE12" s="150"/>
      <c r="CF12" s="153">
        <v>0</v>
      </c>
      <c r="CG12" s="154">
        <v>1</v>
      </c>
      <c r="CH12" s="148">
        <v>2</v>
      </c>
      <c r="CI12" s="155"/>
      <c r="CJ12" s="156" t="s">
        <v>1316</v>
      </c>
      <c r="CK12" s="157" t="s">
        <v>1316</v>
      </c>
      <c r="CL12" s="154">
        <v>306.40999999999997</v>
      </c>
      <c r="CM12" s="154">
        <v>0</v>
      </c>
      <c r="CN12" s="151">
        <v>0</v>
      </c>
      <c r="CO12" s="151">
        <v>4.6019023779724648</v>
      </c>
      <c r="CP12" s="158"/>
      <c r="CQ12" s="151">
        <v>0</v>
      </c>
      <c r="CR12" s="199">
        <v>42831</v>
      </c>
      <c r="CS12" s="200">
        <v>43185</v>
      </c>
      <c r="CT12" s="201">
        <v>43255</v>
      </c>
      <c r="CU12" s="201">
        <v>43180</v>
      </c>
      <c r="CV12" s="201">
        <v>43026</v>
      </c>
      <c r="CW12" s="201">
        <v>43194</v>
      </c>
      <c r="CX12" s="201">
        <v>43236</v>
      </c>
      <c r="CY12" s="151">
        <v>1.5081579523696689</v>
      </c>
      <c r="CZ12" s="150">
        <v>0</v>
      </c>
      <c r="DA12" s="151">
        <v>0.609375</v>
      </c>
      <c r="DB12" s="151">
        <v>0.21875</v>
      </c>
      <c r="DC12" s="151">
        <v>0.109375</v>
      </c>
      <c r="DD12" s="151">
        <v>1.5625E-2</v>
      </c>
      <c r="DE12" s="159">
        <v>0</v>
      </c>
      <c r="DF12" s="13" t="s">
        <v>1316</v>
      </c>
      <c r="DG12" s="85" t="s">
        <v>1316</v>
      </c>
      <c r="DH12" s="18" t="b">
        <v>0</v>
      </c>
      <c r="DI12" s="84"/>
      <c r="DJ12" s="84"/>
      <c r="DK12" s="215"/>
      <c r="DL12" s="194"/>
      <c r="DM12" s="216"/>
      <c r="DN12" s="151"/>
      <c r="DO12" s="84"/>
      <c r="DP12" s="84"/>
      <c r="DQ12" s="84"/>
      <c r="DR12" s="84"/>
      <c r="DS12" s="84"/>
      <c r="DT12" s="84"/>
      <c r="DU12" s="84"/>
      <c r="DV12" s="18"/>
      <c r="DW12" s="18"/>
      <c r="DX12" s="18"/>
      <c r="DY12" s="197"/>
      <c r="DZ12" s="197">
        <v>0</v>
      </c>
      <c r="EA12" s="197">
        <v>3</v>
      </c>
      <c r="EB12" s="197">
        <v>0</v>
      </c>
      <c r="EC12" s="197">
        <v>0</v>
      </c>
      <c r="ED12" s="197">
        <v>0</v>
      </c>
      <c r="EE12" s="197">
        <v>0</v>
      </c>
      <c r="EF12" s="197">
        <v>0</v>
      </c>
      <c r="EG12" s="219"/>
      <c r="EH12" s="226">
        <v>4</v>
      </c>
      <c r="EI12" s="223">
        <v>1</v>
      </c>
      <c r="EJ12" s="224">
        <v>2</v>
      </c>
      <c r="EK12" s="224">
        <v>2</v>
      </c>
      <c r="EL12" s="224">
        <v>2</v>
      </c>
      <c r="EM12" s="224">
        <v>2</v>
      </c>
      <c r="EN12" s="222">
        <v>0</v>
      </c>
      <c r="EO12" s="222">
        <v>0</v>
      </c>
      <c r="EP12" s="222">
        <v>0</v>
      </c>
      <c r="EQ12" s="223">
        <v>1</v>
      </c>
      <c r="ER12" s="222">
        <v>0</v>
      </c>
      <c r="ES12" s="222">
        <v>0</v>
      </c>
      <c r="ET12" s="222">
        <v>0</v>
      </c>
      <c r="EU12" s="224">
        <v>2</v>
      </c>
      <c r="EV12" s="222">
        <v>0</v>
      </c>
      <c r="EW12" s="222">
        <v>0</v>
      </c>
      <c r="EX12" s="222">
        <v>0</v>
      </c>
      <c r="EY12" s="222">
        <v>0</v>
      </c>
      <c r="EZ12" s="222">
        <v>0</v>
      </c>
      <c r="FA12" s="222">
        <v>0</v>
      </c>
      <c r="FB12" s="222">
        <v>0</v>
      </c>
      <c r="FC12" s="222">
        <v>0</v>
      </c>
      <c r="FD12" s="222">
        <v>0</v>
      </c>
      <c r="FE12" s="222">
        <v>0</v>
      </c>
      <c r="FF12" s="222">
        <v>0</v>
      </c>
      <c r="FG12" s="222">
        <v>0</v>
      </c>
      <c r="FH12" s="222">
        <v>0</v>
      </c>
      <c r="FI12" s="222">
        <v>0</v>
      </c>
      <c r="FJ12" s="222">
        <v>0</v>
      </c>
      <c r="FK12" s="222">
        <v>0</v>
      </c>
      <c r="FL12" s="222">
        <v>0</v>
      </c>
      <c r="FM12" s="222">
        <v>0</v>
      </c>
      <c r="FN12" s="222">
        <v>0</v>
      </c>
      <c r="FO12" s="222">
        <v>0</v>
      </c>
      <c r="FP12" s="222">
        <v>0</v>
      </c>
      <c r="FQ12" s="222">
        <v>0</v>
      </c>
      <c r="FR12" s="222">
        <v>0</v>
      </c>
      <c r="FS12" s="222">
        <v>0</v>
      </c>
      <c r="FT12" s="222">
        <v>0</v>
      </c>
      <c r="FU12" s="222">
        <v>0</v>
      </c>
      <c r="FV12" s="222">
        <v>0</v>
      </c>
      <c r="FW12" s="222">
        <v>0</v>
      </c>
      <c r="FX12" s="222">
        <v>0</v>
      </c>
      <c r="FY12" s="222">
        <v>0</v>
      </c>
      <c r="FZ12" s="222">
        <v>0</v>
      </c>
      <c r="GA12" s="222">
        <v>0</v>
      </c>
      <c r="GB12" s="222">
        <v>0</v>
      </c>
      <c r="GC12" s="222">
        <v>0</v>
      </c>
      <c r="GD12" s="222">
        <v>0</v>
      </c>
      <c r="GE12" s="247"/>
      <c r="GF12" s="222">
        <v>0</v>
      </c>
      <c r="GG12" s="222">
        <v>0</v>
      </c>
      <c r="GH12" s="222">
        <v>0</v>
      </c>
      <c r="GI12" s="222">
        <v>0</v>
      </c>
      <c r="GJ12" s="222">
        <v>0</v>
      </c>
      <c r="GK12" s="222">
        <v>0</v>
      </c>
      <c r="GL12" s="222">
        <v>0</v>
      </c>
      <c r="GM12" s="247"/>
      <c r="GN12" s="222">
        <v>0</v>
      </c>
      <c r="GO12" s="222">
        <v>0</v>
      </c>
      <c r="GP12" s="222">
        <v>0</v>
      </c>
      <c r="GQ12" s="222">
        <v>0</v>
      </c>
      <c r="GR12" s="222">
        <v>0</v>
      </c>
      <c r="GS12" s="222">
        <v>0</v>
      </c>
      <c r="GT12" s="222">
        <v>0</v>
      </c>
      <c r="GU12" s="222">
        <v>0</v>
      </c>
      <c r="GV12" s="222">
        <v>0</v>
      </c>
      <c r="GW12" s="222">
        <v>0</v>
      </c>
      <c r="GX12" s="222">
        <v>0</v>
      </c>
      <c r="GY12" s="222">
        <v>0</v>
      </c>
      <c r="GZ12" s="222">
        <v>0</v>
      </c>
      <c r="HA12" s="225">
        <v>3</v>
      </c>
      <c r="HB12" s="224">
        <v>2</v>
      </c>
      <c r="HC12" s="224">
        <v>2</v>
      </c>
      <c r="HD12" s="224">
        <v>2</v>
      </c>
      <c r="HE12" s="224">
        <v>2</v>
      </c>
      <c r="HF12" s="224">
        <v>2</v>
      </c>
      <c r="HG12" s="224">
        <v>2</v>
      </c>
      <c r="HH12" s="224">
        <v>2</v>
      </c>
      <c r="HI12" s="223">
        <v>1</v>
      </c>
      <c r="HJ12" s="223">
        <v>1</v>
      </c>
      <c r="HK12" s="223">
        <v>1</v>
      </c>
      <c r="HL12" s="223">
        <v>1</v>
      </c>
      <c r="HM12" s="223">
        <v>1</v>
      </c>
      <c r="HN12" s="223">
        <v>1</v>
      </c>
      <c r="HO12" s="223">
        <v>1</v>
      </c>
      <c r="HP12" s="223">
        <v>1</v>
      </c>
      <c r="HQ12" s="223">
        <v>1</v>
      </c>
      <c r="HR12" s="223">
        <v>1</v>
      </c>
      <c r="HS12" s="223">
        <v>1</v>
      </c>
      <c r="HT12" s="223">
        <v>1</v>
      </c>
      <c r="HU12" s="223">
        <v>1</v>
      </c>
      <c r="HV12" s="222">
        <v>0</v>
      </c>
      <c r="HW12" s="222">
        <v>0</v>
      </c>
      <c r="HX12" s="222">
        <v>0</v>
      </c>
      <c r="HY12" s="222">
        <v>0</v>
      </c>
      <c r="HZ12" s="222">
        <v>0</v>
      </c>
      <c r="IA12" s="222">
        <v>0</v>
      </c>
      <c r="IB12" s="222">
        <v>0</v>
      </c>
      <c r="IC12" s="222">
        <v>0</v>
      </c>
      <c r="ID12" s="222">
        <v>0</v>
      </c>
      <c r="IE12" s="222">
        <v>0</v>
      </c>
      <c r="IF12" s="222">
        <v>0</v>
      </c>
      <c r="IG12" s="223">
        <v>1</v>
      </c>
      <c r="IH12" s="222">
        <v>0</v>
      </c>
      <c r="II12" s="222">
        <v>0</v>
      </c>
      <c r="IJ12" s="247"/>
      <c r="IK12" s="222">
        <v>0</v>
      </c>
      <c r="IL12" s="222">
        <v>0</v>
      </c>
      <c r="IM12" s="247"/>
      <c r="IN12" s="247"/>
      <c r="IO12" s="247"/>
      <c r="IP12" s="247"/>
      <c r="IQ12" s="247"/>
      <c r="IR12" s="247"/>
      <c r="IS12" s="247"/>
      <c r="IT12" s="247"/>
      <c r="IU12" s="247"/>
      <c r="IV12" s="247"/>
      <c r="IW12" s="247"/>
      <c r="IX12" s="247"/>
      <c r="IY12" s="247"/>
      <c r="IZ12" s="247"/>
      <c r="JA12" s="247"/>
      <c r="JB12" s="247"/>
      <c r="JC12" s="247"/>
      <c r="JD12" s="247"/>
      <c r="JE12" s="247"/>
      <c r="JF12" s="247"/>
      <c r="JG12" s="247"/>
      <c r="JH12" s="247"/>
      <c r="JI12" s="247"/>
      <c r="JJ12" s="247"/>
      <c r="JK12" s="247"/>
      <c r="JL12" s="247"/>
      <c r="JM12" s="247"/>
      <c r="JN12" s="247"/>
      <c r="JO12" s="247"/>
      <c r="JP12" s="247"/>
      <c r="JQ12" s="247"/>
      <c r="JR12" s="247"/>
      <c r="JS12" s="247"/>
      <c r="JT12" s="247"/>
      <c r="JU12" s="247"/>
      <c r="JV12" s="247"/>
      <c r="JW12" s="247"/>
      <c r="JX12" s="247"/>
      <c r="JY12" s="247"/>
      <c r="JZ12" s="247"/>
      <c r="KA12" s="247"/>
      <c r="KB12" s="247"/>
      <c r="KC12" s="247"/>
      <c r="KD12" s="247"/>
      <c r="KE12" s="247"/>
      <c r="KF12" s="247"/>
      <c r="KG12" s="247"/>
      <c r="KH12" s="247"/>
      <c r="KI12" s="247"/>
      <c r="KJ12" s="247"/>
      <c r="KK12" s="247"/>
      <c r="KL12" s="247"/>
      <c r="KM12" s="247"/>
      <c r="KN12" s="247"/>
      <c r="KO12" s="247"/>
      <c r="KP12" s="247"/>
      <c r="KQ12" s="247"/>
      <c r="KR12" s="247"/>
      <c r="KS12" s="247"/>
      <c r="KT12" s="247"/>
      <c r="KU12" s="247"/>
      <c r="KV12" s="247"/>
      <c r="KW12" s="247"/>
      <c r="KX12" s="247"/>
      <c r="KY12" s="247"/>
      <c r="KZ12" s="247"/>
      <c r="LA12" s="247"/>
      <c r="LB12" s="247"/>
      <c r="LC12" s="247"/>
      <c r="LD12" s="247"/>
      <c r="LE12" s="247"/>
      <c r="LF12" s="247"/>
      <c r="LG12" s="247"/>
      <c r="LH12" s="247"/>
      <c r="LI12" s="247"/>
      <c r="LJ12" s="247"/>
      <c r="LK12" s="247"/>
      <c r="LL12" s="247"/>
      <c r="LM12" s="247"/>
      <c r="LN12" s="247"/>
      <c r="LO12" s="247"/>
      <c r="LP12" s="247"/>
      <c r="LQ12" s="247"/>
      <c r="LR12" s="247"/>
      <c r="LS12" s="247"/>
      <c r="LT12" s="247"/>
      <c r="LU12" s="247"/>
      <c r="LV12" s="247"/>
      <c r="LW12" s="247"/>
      <c r="LX12" s="247"/>
      <c r="LY12" s="247"/>
      <c r="LZ12" s="247"/>
      <c r="MA12" s="247"/>
      <c r="MB12" s="247"/>
      <c r="MC12" s="247"/>
      <c r="MD12" s="247"/>
      <c r="ME12" s="247"/>
      <c r="MF12" s="304"/>
      <c r="MG12" s="304"/>
      <c r="MH12" s="304"/>
      <c r="MI12" s="304"/>
      <c r="MJ12" s="304"/>
      <c r="MK12" s="304"/>
      <c r="ML12" s="304"/>
      <c r="MM12" s="304"/>
      <c r="MN12" s="304"/>
      <c r="MO12" s="304"/>
      <c r="MP12" s="304"/>
      <c r="MQ12" s="304"/>
      <c r="MR12" s="304"/>
      <c r="MS12" s="304"/>
      <c r="MT12" s="304"/>
      <c r="MU12" s="304"/>
      <c r="MV12" s="304"/>
      <c r="MW12" s="304"/>
      <c r="MX12" s="304"/>
      <c r="MY12" s="304"/>
      <c r="MZ12" s="304"/>
      <c r="NA12" s="304"/>
      <c r="NB12" s="304"/>
      <c r="NC12" s="304"/>
      <c r="ND12" s="304"/>
      <c r="NE12" s="304"/>
      <c r="NF12" s="304"/>
      <c r="NG12" s="304"/>
      <c r="NH12" s="304"/>
      <c r="NI12" s="304"/>
    </row>
    <row r="13" spans="1:373" x14ac:dyDescent="0.2">
      <c r="A13" s="132" t="s">
        <v>739</v>
      </c>
      <c r="B13" s="133" t="s">
        <v>1331</v>
      </c>
      <c r="C13" s="134"/>
      <c r="D13" s="242" t="s">
        <v>1350</v>
      </c>
      <c r="E13" s="242">
        <v>0</v>
      </c>
      <c r="F13" s="243" t="s">
        <v>3349</v>
      </c>
      <c r="G13" s="243" t="s">
        <v>1254</v>
      </c>
      <c r="H13" s="243" t="s">
        <v>961</v>
      </c>
      <c r="I13" s="243">
        <v>0</v>
      </c>
      <c r="J13" s="243">
        <v>0</v>
      </c>
      <c r="K13" s="243">
        <v>0</v>
      </c>
      <c r="L13" s="243" t="s">
        <v>1224</v>
      </c>
      <c r="M13" s="243">
        <v>0</v>
      </c>
      <c r="N13" s="243" t="s">
        <v>1218</v>
      </c>
      <c r="O13" s="243">
        <v>0</v>
      </c>
      <c r="P13" s="243">
        <v>0</v>
      </c>
      <c r="Q13" s="243">
        <v>0</v>
      </c>
      <c r="R13" s="135"/>
      <c r="S13" s="135"/>
      <c r="T13" s="135"/>
      <c r="U13" s="135"/>
      <c r="V13" s="135"/>
      <c r="W13" s="135">
        <v>0</v>
      </c>
      <c r="X13" s="135">
        <v>0</v>
      </c>
      <c r="Y13" s="135">
        <v>0</v>
      </c>
      <c r="Z13" s="136">
        <v>336.88</v>
      </c>
      <c r="AA13" s="136">
        <v>621.29</v>
      </c>
      <c r="AB13" s="136">
        <v>0</v>
      </c>
      <c r="AC13" s="137">
        <v>0</v>
      </c>
      <c r="AD13" s="137">
        <v>0</v>
      </c>
      <c r="AE13" s="138">
        <v>10</v>
      </c>
      <c r="AF13" s="138">
        <v>8</v>
      </c>
      <c r="AG13" s="138">
        <v>2</v>
      </c>
      <c r="AH13" s="139">
        <v>1</v>
      </c>
      <c r="AI13" s="139" t="s">
        <v>1316</v>
      </c>
      <c r="AJ13" s="138" t="s">
        <v>3635</v>
      </c>
      <c r="AK13" s="195" t="s">
        <v>1316</v>
      </c>
      <c r="AL13" s="138" t="s">
        <v>1316</v>
      </c>
      <c r="AM13" s="27" t="s">
        <v>1316</v>
      </c>
      <c r="AN13" s="138">
        <v>0</v>
      </c>
      <c r="AO13" s="140">
        <v>0</v>
      </c>
      <c r="AP13" s="140">
        <v>0</v>
      </c>
      <c r="AQ13" s="140">
        <v>0</v>
      </c>
      <c r="AR13" s="138">
        <v>0</v>
      </c>
      <c r="AS13" s="138">
        <v>0</v>
      </c>
      <c r="AT13" s="198"/>
      <c r="AU13" s="198"/>
      <c r="AV13" s="198"/>
      <c r="AW13" s="211" t="s">
        <v>790</v>
      </c>
      <c r="AX13" s="211" t="s">
        <v>1324</v>
      </c>
      <c r="AY13" s="141"/>
      <c r="AZ13" s="141"/>
      <c r="BA13" s="142">
        <v>1</v>
      </c>
      <c r="BB13" s="142" t="s">
        <v>527</v>
      </c>
      <c r="BC13" s="142"/>
      <c r="BD13" s="142">
        <v>1</v>
      </c>
      <c r="BE13" s="143" t="s">
        <v>541</v>
      </c>
      <c r="BF13" s="144">
        <v>1</v>
      </c>
      <c r="BG13" s="145"/>
      <c r="BH13" s="212"/>
      <c r="BI13" s="213"/>
      <c r="BJ13" s="146">
        <v>0</v>
      </c>
      <c r="BK13" s="214">
        <v>0</v>
      </c>
      <c r="BL13" s="13">
        <v>0</v>
      </c>
      <c r="BM13" s="13">
        <v>0</v>
      </c>
      <c r="BN13" s="27" t="s">
        <v>1317</v>
      </c>
      <c r="BO13" s="13" t="s">
        <v>1317</v>
      </c>
      <c r="BP13" s="147">
        <v>50</v>
      </c>
      <c r="BQ13" s="148"/>
      <c r="BR13" s="149"/>
      <c r="BS13" s="138">
        <v>1000000000</v>
      </c>
      <c r="BT13" s="150">
        <v>0</v>
      </c>
      <c r="BU13" s="151">
        <v>0</v>
      </c>
      <c r="BV13" s="150">
        <v>0</v>
      </c>
      <c r="BW13" s="152">
        <v>0</v>
      </c>
      <c r="BX13" s="152">
        <v>0</v>
      </c>
      <c r="BY13" s="152">
        <v>0</v>
      </c>
      <c r="BZ13" s="150">
        <v>0</v>
      </c>
      <c r="CA13" s="150">
        <v>0</v>
      </c>
      <c r="CB13" s="150">
        <v>0</v>
      </c>
      <c r="CC13" s="151">
        <v>0</v>
      </c>
      <c r="CD13" s="150"/>
      <c r="CE13" s="150"/>
      <c r="CF13" s="153">
        <v>0</v>
      </c>
      <c r="CG13" s="154">
        <v>0</v>
      </c>
      <c r="CH13" s="148">
        <v>10</v>
      </c>
      <c r="CI13" s="155"/>
      <c r="CJ13" s="156" t="s">
        <v>1316</v>
      </c>
      <c r="CK13" s="157" t="s">
        <v>1316</v>
      </c>
      <c r="CL13" s="154">
        <v>0</v>
      </c>
      <c r="CM13" s="154">
        <v>0</v>
      </c>
      <c r="CN13" s="151">
        <v>0</v>
      </c>
      <c r="CO13" s="151">
        <v>0</v>
      </c>
      <c r="CP13" s="158"/>
      <c r="CQ13" s="151">
        <v>0</v>
      </c>
      <c r="CR13" s="199">
        <v>42669</v>
      </c>
      <c r="CS13" s="200">
        <v>43185</v>
      </c>
      <c r="CT13" s="201">
        <v>43255</v>
      </c>
      <c r="CU13" s="201">
        <v>0</v>
      </c>
      <c r="CV13" s="201">
        <v>0</v>
      </c>
      <c r="CW13" s="201" t="s">
        <v>1316</v>
      </c>
      <c r="CX13" s="201" t="s">
        <v>1316</v>
      </c>
      <c r="CY13" s="151">
        <v>1</v>
      </c>
      <c r="CZ13" s="150">
        <v>0</v>
      </c>
      <c r="DA13" s="151">
        <v>0.953125</v>
      </c>
      <c r="DB13" s="151">
        <v>0</v>
      </c>
      <c r="DC13" s="151">
        <v>0</v>
      </c>
      <c r="DD13" s="151">
        <v>0</v>
      </c>
      <c r="DE13" s="159">
        <v>0</v>
      </c>
      <c r="DF13" s="13" t="s">
        <v>1316</v>
      </c>
      <c r="DG13" s="85" t="s">
        <v>1316</v>
      </c>
      <c r="DH13" s="18" t="b">
        <v>0</v>
      </c>
      <c r="DI13" s="84"/>
      <c r="DJ13" s="84"/>
      <c r="DK13" s="215"/>
      <c r="DL13" s="194"/>
      <c r="DM13" s="216"/>
      <c r="DN13" s="151"/>
      <c r="DO13" s="84"/>
      <c r="DP13" s="84"/>
      <c r="DQ13" s="84"/>
      <c r="DR13" s="84"/>
      <c r="DS13" s="84"/>
      <c r="DT13" s="84"/>
      <c r="DU13" s="84"/>
      <c r="DV13" s="18"/>
      <c r="DW13" s="18"/>
      <c r="DX13" s="18"/>
      <c r="DY13" s="197"/>
      <c r="DZ13" s="197">
        <v>0</v>
      </c>
      <c r="EA13" s="197">
        <v>0</v>
      </c>
      <c r="EB13" s="197">
        <v>0</v>
      </c>
      <c r="EC13" s="197">
        <v>0</v>
      </c>
      <c r="ED13" s="197">
        <v>0</v>
      </c>
      <c r="EE13" s="197">
        <v>0</v>
      </c>
      <c r="EF13" s="197">
        <v>0</v>
      </c>
      <c r="EG13" s="221"/>
      <c r="EH13" s="260">
        <v>0</v>
      </c>
      <c r="EI13" s="260">
        <v>0</v>
      </c>
      <c r="EJ13" s="260">
        <v>0</v>
      </c>
      <c r="EK13" s="260">
        <v>0</v>
      </c>
      <c r="EL13" s="260">
        <v>0</v>
      </c>
      <c r="EM13" s="260">
        <v>0</v>
      </c>
      <c r="EN13" s="260">
        <v>0</v>
      </c>
      <c r="EO13" s="260">
        <v>1</v>
      </c>
      <c r="EP13" s="260">
        <v>1</v>
      </c>
      <c r="EQ13" s="260">
        <v>0</v>
      </c>
      <c r="ER13" s="260">
        <v>0</v>
      </c>
      <c r="ES13" s="260">
        <v>0</v>
      </c>
      <c r="ET13" s="260">
        <v>0</v>
      </c>
      <c r="EU13" s="260">
        <v>0</v>
      </c>
      <c r="EV13" s="260">
        <v>0</v>
      </c>
      <c r="EW13" s="260">
        <v>0</v>
      </c>
      <c r="EX13" s="260">
        <v>0</v>
      </c>
      <c r="EY13" s="260">
        <v>0</v>
      </c>
      <c r="EZ13" s="260">
        <v>0</v>
      </c>
      <c r="FA13" s="260">
        <v>0</v>
      </c>
      <c r="FB13" s="260">
        <v>0</v>
      </c>
      <c r="FC13" s="260">
        <v>0</v>
      </c>
      <c r="FD13" s="260">
        <v>0</v>
      </c>
      <c r="FE13" s="260">
        <v>0</v>
      </c>
      <c r="FF13" s="260">
        <v>0</v>
      </c>
      <c r="FG13" s="260">
        <v>0</v>
      </c>
      <c r="FH13" s="260">
        <v>0</v>
      </c>
      <c r="FI13" s="260">
        <v>0</v>
      </c>
      <c r="FJ13" s="260">
        <v>0</v>
      </c>
      <c r="FK13" s="260">
        <v>0</v>
      </c>
      <c r="FL13" s="260">
        <v>0</v>
      </c>
      <c r="FM13" s="260">
        <v>0</v>
      </c>
      <c r="FN13" s="260">
        <v>0</v>
      </c>
      <c r="FO13" s="260">
        <v>0</v>
      </c>
      <c r="FP13" s="260">
        <v>0</v>
      </c>
      <c r="FQ13" s="260">
        <v>0</v>
      </c>
      <c r="FR13" s="260">
        <v>0</v>
      </c>
      <c r="FS13" s="260">
        <v>0</v>
      </c>
      <c r="FT13" s="260">
        <v>0</v>
      </c>
      <c r="FU13" s="260">
        <v>0</v>
      </c>
      <c r="FV13" s="260">
        <v>0</v>
      </c>
      <c r="FW13" s="260">
        <v>0</v>
      </c>
      <c r="FX13" s="260">
        <v>0</v>
      </c>
      <c r="FY13" s="260">
        <v>0</v>
      </c>
      <c r="FZ13" s="260">
        <v>0</v>
      </c>
      <c r="GA13" s="260">
        <v>0</v>
      </c>
      <c r="GB13" s="260">
        <v>0</v>
      </c>
      <c r="GC13" s="260">
        <v>0</v>
      </c>
      <c r="GD13" s="260">
        <v>0</v>
      </c>
      <c r="GE13" s="258"/>
      <c r="GF13" s="260">
        <v>0</v>
      </c>
      <c r="GG13" s="260">
        <v>0</v>
      </c>
      <c r="GH13" s="260">
        <v>0</v>
      </c>
      <c r="GI13" s="260">
        <v>0</v>
      </c>
      <c r="GJ13" s="260">
        <v>0</v>
      </c>
      <c r="GK13" s="260">
        <v>0</v>
      </c>
      <c r="GL13" s="260">
        <v>0</v>
      </c>
      <c r="GM13" s="258"/>
      <c r="GN13" s="260">
        <v>0</v>
      </c>
      <c r="GO13" s="260">
        <v>0</v>
      </c>
      <c r="GP13" s="260">
        <v>0</v>
      </c>
      <c r="GQ13" s="260">
        <v>0</v>
      </c>
      <c r="GR13" s="260">
        <v>0</v>
      </c>
      <c r="GS13" s="260">
        <v>0</v>
      </c>
      <c r="GT13" s="260">
        <v>0</v>
      </c>
      <c r="GU13" s="260">
        <v>0</v>
      </c>
      <c r="GV13" s="260">
        <v>0</v>
      </c>
      <c r="GW13" s="260">
        <v>0</v>
      </c>
      <c r="GX13" s="260">
        <v>0</v>
      </c>
      <c r="GY13" s="260">
        <v>0</v>
      </c>
      <c r="GZ13" s="260">
        <v>0</v>
      </c>
      <c r="HA13" s="260">
        <v>0</v>
      </c>
      <c r="HB13" s="260">
        <v>0</v>
      </c>
      <c r="HC13" s="260">
        <v>0</v>
      </c>
      <c r="HD13" s="260">
        <v>0</v>
      </c>
      <c r="HE13" s="260">
        <v>0</v>
      </c>
      <c r="HF13" s="260">
        <v>0</v>
      </c>
      <c r="HG13" s="260">
        <v>0</v>
      </c>
      <c r="HH13" s="260">
        <v>0</v>
      </c>
      <c r="HI13" s="260">
        <v>0</v>
      </c>
      <c r="HJ13" s="260">
        <v>0</v>
      </c>
      <c r="HK13" s="260">
        <v>0</v>
      </c>
      <c r="HL13" s="260">
        <v>0</v>
      </c>
      <c r="HM13" s="260">
        <v>0</v>
      </c>
      <c r="HN13" s="260">
        <v>0</v>
      </c>
      <c r="HO13" s="260">
        <v>0</v>
      </c>
      <c r="HP13" s="260">
        <v>0</v>
      </c>
      <c r="HQ13" s="260">
        <v>0</v>
      </c>
      <c r="HR13" s="260">
        <v>0</v>
      </c>
      <c r="HS13" s="260">
        <v>0</v>
      </c>
      <c r="HT13" s="260">
        <v>0</v>
      </c>
      <c r="HU13" s="260">
        <v>0</v>
      </c>
      <c r="HV13" s="260">
        <v>0</v>
      </c>
      <c r="HW13" s="260">
        <v>0</v>
      </c>
      <c r="HX13" s="260">
        <v>0</v>
      </c>
      <c r="HY13" s="260">
        <v>0</v>
      </c>
      <c r="HZ13" s="260">
        <v>0</v>
      </c>
      <c r="IA13" s="260">
        <v>0</v>
      </c>
      <c r="IB13" s="260">
        <v>0</v>
      </c>
      <c r="IC13" s="260">
        <v>0</v>
      </c>
      <c r="ID13" s="260">
        <v>0</v>
      </c>
      <c r="IE13" s="260">
        <v>0</v>
      </c>
      <c r="IF13" s="260">
        <v>0</v>
      </c>
      <c r="IG13" s="260">
        <v>0</v>
      </c>
      <c r="IH13" s="260">
        <v>0</v>
      </c>
      <c r="II13" s="260">
        <v>0</v>
      </c>
      <c r="IJ13" s="258"/>
      <c r="IK13" s="260">
        <v>0</v>
      </c>
      <c r="IL13" s="260">
        <v>0</v>
      </c>
      <c r="IM13" s="258"/>
      <c r="IN13" s="258"/>
      <c r="IO13" s="258"/>
      <c r="IP13" s="258"/>
      <c r="IQ13" s="258"/>
      <c r="IR13" s="258"/>
      <c r="IS13" s="258"/>
      <c r="IT13" s="258"/>
      <c r="IU13" s="258"/>
      <c r="IV13" s="258"/>
      <c r="IW13" s="258"/>
      <c r="IX13" s="258"/>
      <c r="IY13" s="258"/>
      <c r="IZ13" s="258"/>
      <c r="JA13" s="258"/>
      <c r="JB13" s="258"/>
      <c r="JC13" s="258"/>
      <c r="JD13" s="258"/>
      <c r="JE13" s="258"/>
      <c r="JF13" s="258"/>
      <c r="JG13" s="258"/>
      <c r="JH13" s="258"/>
      <c r="JI13" s="258"/>
      <c r="JJ13" s="258"/>
      <c r="JK13" s="258"/>
      <c r="JL13" s="258"/>
      <c r="JM13" s="258"/>
      <c r="JN13" s="258"/>
      <c r="JO13" s="258"/>
      <c r="JP13" s="258"/>
      <c r="JQ13" s="258"/>
      <c r="JR13" s="258"/>
      <c r="JS13" s="258"/>
      <c r="JT13" s="258"/>
      <c r="JU13" s="258"/>
      <c r="JV13" s="258"/>
      <c r="JW13" s="258"/>
      <c r="JX13" s="258"/>
      <c r="JY13" s="258"/>
      <c r="JZ13" s="258"/>
      <c r="KA13" s="258"/>
      <c r="KB13" s="258"/>
      <c r="KC13" s="258"/>
      <c r="KD13" s="258"/>
      <c r="KE13" s="258"/>
      <c r="KF13" s="258"/>
      <c r="KG13" s="258"/>
      <c r="KH13" s="258"/>
      <c r="KI13" s="258"/>
      <c r="KJ13" s="258"/>
      <c r="KK13" s="258"/>
      <c r="KL13" s="258"/>
      <c r="KM13" s="258"/>
      <c r="KN13" s="258"/>
      <c r="KO13" s="258"/>
      <c r="KP13" s="258"/>
      <c r="KQ13" s="258"/>
      <c r="KR13" s="258"/>
      <c r="KS13" s="258"/>
      <c r="KT13" s="258"/>
      <c r="KU13" s="258"/>
      <c r="KV13" s="258"/>
      <c r="KW13" s="258"/>
      <c r="KX13" s="258"/>
      <c r="KY13" s="258"/>
      <c r="KZ13" s="258"/>
      <c r="LA13" s="258"/>
      <c r="LB13" s="258"/>
      <c r="LC13" s="258"/>
      <c r="LD13" s="258"/>
      <c r="LE13" s="258"/>
      <c r="LF13" s="258"/>
      <c r="LG13" s="258"/>
      <c r="LH13" s="258"/>
      <c r="LI13" s="258"/>
      <c r="LJ13" s="258"/>
      <c r="LK13" s="258"/>
      <c r="LL13" s="258"/>
      <c r="LM13" s="258"/>
      <c r="LN13" s="258"/>
      <c r="LO13" s="258"/>
      <c r="LP13" s="258"/>
      <c r="LQ13" s="258"/>
      <c r="LR13" s="258"/>
      <c r="LS13" s="258"/>
      <c r="LT13" s="258"/>
      <c r="LU13" s="258"/>
      <c r="LV13" s="258"/>
      <c r="LW13" s="258"/>
      <c r="LX13" s="258"/>
      <c r="LY13" s="258"/>
      <c r="LZ13" s="258"/>
      <c r="MA13" s="258"/>
      <c r="MB13" s="258"/>
      <c r="MC13" s="258"/>
      <c r="MD13" s="258"/>
      <c r="ME13" s="258"/>
      <c r="MF13" s="303"/>
      <c r="MG13" s="303"/>
      <c r="MH13" s="303"/>
      <c r="MI13" s="303"/>
      <c r="MJ13" s="303"/>
      <c r="MK13" s="303"/>
      <c r="ML13" s="303"/>
      <c r="MM13" s="303"/>
      <c r="MN13" s="303"/>
      <c r="MO13" s="303"/>
      <c r="MP13" s="303"/>
      <c r="MQ13" s="303"/>
      <c r="MR13" s="303"/>
      <c r="MS13" s="303"/>
      <c r="MT13" s="303"/>
      <c r="MU13" s="303"/>
      <c r="MV13" s="303"/>
      <c r="MW13" s="303"/>
      <c r="MX13" s="303"/>
      <c r="MY13" s="303"/>
      <c r="MZ13" s="303"/>
      <c r="NA13" s="303"/>
      <c r="NB13" s="303"/>
      <c r="NC13" s="303"/>
      <c r="ND13" s="303"/>
      <c r="NE13" s="303"/>
      <c r="NF13" s="303"/>
      <c r="NG13" s="303"/>
      <c r="NH13" s="303"/>
      <c r="NI13" s="303"/>
    </row>
    <row r="14" spans="1:373" x14ac:dyDescent="0.2">
      <c r="A14" s="132" t="s">
        <v>739</v>
      </c>
      <c r="B14" s="133" t="s">
        <v>1332</v>
      </c>
      <c r="C14" s="134"/>
      <c r="D14" s="242" t="s">
        <v>1351</v>
      </c>
      <c r="E14" s="242">
        <v>0</v>
      </c>
      <c r="F14" s="243" t="s">
        <v>1369</v>
      </c>
      <c r="G14" s="243" t="s">
        <v>960</v>
      </c>
      <c r="H14" s="243" t="s">
        <v>961</v>
      </c>
      <c r="I14" s="243">
        <v>0</v>
      </c>
      <c r="J14" s="243">
        <v>0</v>
      </c>
      <c r="K14" s="243">
        <v>0</v>
      </c>
      <c r="L14" s="243" t="s">
        <v>1219</v>
      </c>
      <c r="M14" s="243">
        <v>0</v>
      </c>
      <c r="N14" s="243" t="s">
        <v>1217</v>
      </c>
      <c r="O14" s="243">
        <v>0</v>
      </c>
      <c r="P14" s="243">
        <v>0</v>
      </c>
      <c r="Q14" s="243">
        <v>0</v>
      </c>
      <c r="R14" s="135"/>
      <c r="S14" s="135"/>
      <c r="T14" s="135"/>
      <c r="U14" s="135"/>
      <c r="V14" s="135"/>
      <c r="W14" s="135">
        <v>0</v>
      </c>
      <c r="X14" s="135">
        <v>0</v>
      </c>
      <c r="Y14" s="135">
        <v>0</v>
      </c>
      <c r="Z14" s="136">
        <v>359.89</v>
      </c>
      <c r="AA14" s="136">
        <v>782.89</v>
      </c>
      <c r="AB14" s="136">
        <v>0</v>
      </c>
      <c r="AC14" s="137">
        <v>0</v>
      </c>
      <c r="AD14" s="137">
        <v>0</v>
      </c>
      <c r="AE14" s="138">
        <v>10</v>
      </c>
      <c r="AF14" s="138">
        <v>8</v>
      </c>
      <c r="AG14" s="138">
        <v>2</v>
      </c>
      <c r="AH14" s="139">
        <v>1</v>
      </c>
      <c r="AI14" s="139" t="s">
        <v>1316</v>
      </c>
      <c r="AJ14" s="138" t="s">
        <v>3636</v>
      </c>
      <c r="AK14" s="195" t="s">
        <v>1316</v>
      </c>
      <c r="AL14" s="138" t="s">
        <v>1316</v>
      </c>
      <c r="AM14" s="27" t="s">
        <v>1316</v>
      </c>
      <c r="AN14" s="138">
        <v>0</v>
      </c>
      <c r="AO14" s="140">
        <v>0</v>
      </c>
      <c r="AP14" s="140">
        <v>0</v>
      </c>
      <c r="AQ14" s="140">
        <v>0</v>
      </c>
      <c r="AR14" s="138">
        <v>0</v>
      </c>
      <c r="AS14" s="138">
        <v>0</v>
      </c>
      <c r="AT14" s="198"/>
      <c r="AU14" s="198"/>
      <c r="AV14" s="198"/>
      <c r="AW14" s="211" t="s">
        <v>790</v>
      </c>
      <c r="AX14" s="211" t="s">
        <v>1324</v>
      </c>
      <c r="AY14" s="141"/>
      <c r="AZ14" s="141"/>
      <c r="BA14" s="142">
        <v>1</v>
      </c>
      <c r="BB14" s="142" t="s">
        <v>527</v>
      </c>
      <c r="BC14" s="142"/>
      <c r="BD14" s="142">
        <v>2</v>
      </c>
      <c r="BE14" s="143" t="s">
        <v>541</v>
      </c>
      <c r="BF14" s="144">
        <v>1</v>
      </c>
      <c r="BG14" s="145"/>
      <c r="BH14" s="212"/>
      <c r="BI14" s="213"/>
      <c r="BJ14" s="146">
        <v>0</v>
      </c>
      <c r="BK14" s="214">
        <v>0</v>
      </c>
      <c r="BL14" s="13">
        <v>0</v>
      </c>
      <c r="BM14" s="13">
        <v>0</v>
      </c>
      <c r="BN14" s="27" t="s">
        <v>1317</v>
      </c>
      <c r="BO14" s="13" t="s">
        <v>1317</v>
      </c>
      <c r="BP14" s="147">
        <v>3</v>
      </c>
      <c r="BQ14" s="148"/>
      <c r="BR14" s="149"/>
      <c r="BS14" s="138">
        <v>1000000000</v>
      </c>
      <c r="BT14" s="150">
        <v>0</v>
      </c>
      <c r="BU14" s="151">
        <v>0</v>
      </c>
      <c r="BV14" s="150">
        <v>0</v>
      </c>
      <c r="BW14" s="152">
        <v>0</v>
      </c>
      <c r="BX14" s="152">
        <v>0</v>
      </c>
      <c r="BY14" s="152">
        <v>0</v>
      </c>
      <c r="BZ14" s="150">
        <v>0</v>
      </c>
      <c r="CA14" s="150">
        <v>0</v>
      </c>
      <c r="CB14" s="150">
        <v>0</v>
      </c>
      <c r="CC14" s="151">
        <v>0</v>
      </c>
      <c r="CD14" s="150"/>
      <c r="CE14" s="150"/>
      <c r="CF14" s="153">
        <v>0</v>
      </c>
      <c r="CG14" s="154">
        <v>0</v>
      </c>
      <c r="CH14" s="148">
        <v>2</v>
      </c>
      <c r="CI14" s="155"/>
      <c r="CJ14" s="156" t="s">
        <v>1316</v>
      </c>
      <c r="CK14" s="157" t="s">
        <v>1316</v>
      </c>
      <c r="CL14" s="154">
        <v>0</v>
      </c>
      <c r="CM14" s="154">
        <v>0</v>
      </c>
      <c r="CN14" s="151">
        <v>0</v>
      </c>
      <c r="CO14" s="151">
        <v>0</v>
      </c>
      <c r="CP14" s="158"/>
      <c r="CQ14" s="151">
        <v>0</v>
      </c>
      <c r="CR14" s="199">
        <v>43077</v>
      </c>
      <c r="CS14" s="200">
        <v>43185</v>
      </c>
      <c r="CT14" s="201">
        <v>43255</v>
      </c>
      <c r="CU14" s="201">
        <v>42941</v>
      </c>
      <c r="CV14" s="201">
        <v>42957</v>
      </c>
      <c r="CW14" s="201">
        <v>42955</v>
      </c>
      <c r="CX14" s="201">
        <v>42997</v>
      </c>
      <c r="CY14" s="151">
        <v>1</v>
      </c>
      <c r="CZ14" s="150">
        <v>0</v>
      </c>
      <c r="DA14" s="151">
        <v>0.953125</v>
      </c>
      <c r="DB14" s="151">
        <v>0</v>
      </c>
      <c r="DC14" s="151">
        <v>0</v>
      </c>
      <c r="DD14" s="151">
        <v>0</v>
      </c>
      <c r="DE14" s="159">
        <v>0</v>
      </c>
      <c r="DF14" s="13" t="s">
        <v>1316</v>
      </c>
      <c r="DG14" s="85" t="s">
        <v>1316</v>
      </c>
      <c r="DH14" s="18" t="b">
        <v>0</v>
      </c>
      <c r="DI14" s="84"/>
      <c r="DJ14" s="84"/>
      <c r="DK14" s="215"/>
      <c r="DL14" s="194"/>
      <c r="DM14" s="216"/>
      <c r="DN14" s="151"/>
      <c r="DO14" s="84"/>
      <c r="DP14" s="84"/>
      <c r="DQ14" s="84"/>
      <c r="DR14" s="84"/>
      <c r="DS14" s="84"/>
      <c r="DT14" s="84"/>
      <c r="DU14" s="84"/>
      <c r="DV14" s="18"/>
      <c r="DW14" s="18"/>
      <c r="DX14" s="18"/>
      <c r="DY14" s="197"/>
      <c r="DZ14" s="197">
        <v>0</v>
      </c>
      <c r="EA14" s="197">
        <v>0</v>
      </c>
      <c r="EB14" s="197">
        <v>0</v>
      </c>
      <c r="EC14" s="197">
        <v>0</v>
      </c>
      <c r="ED14" s="197">
        <v>0</v>
      </c>
      <c r="EE14" s="197">
        <v>0</v>
      </c>
      <c r="EF14" s="197">
        <v>0</v>
      </c>
      <c r="EG14" s="219"/>
      <c r="EH14" s="223">
        <v>1</v>
      </c>
      <c r="EI14" s="222">
        <v>0</v>
      </c>
      <c r="EJ14" s="223">
        <v>1</v>
      </c>
      <c r="EK14" s="223">
        <v>1</v>
      </c>
      <c r="EL14" s="222">
        <v>0</v>
      </c>
      <c r="EM14" s="224">
        <v>2</v>
      </c>
      <c r="EN14" s="226">
        <v>4</v>
      </c>
      <c r="EO14" s="224">
        <v>2</v>
      </c>
      <c r="EP14" s="224">
        <v>2</v>
      </c>
      <c r="EQ14" s="224">
        <v>2</v>
      </c>
      <c r="ER14" s="224">
        <v>2</v>
      </c>
      <c r="ES14" s="218">
        <v>2</v>
      </c>
      <c r="ET14" s="218">
        <v>1</v>
      </c>
      <c r="EU14" s="218">
        <v>1</v>
      </c>
      <c r="EV14" s="218">
        <v>1</v>
      </c>
      <c r="EW14" s="218">
        <v>1</v>
      </c>
      <c r="EX14" s="218">
        <v>1</v>
      </c>
      <c r="EY14" s="218">
        <v>1</v>
      </c>
      <c r="EZ14" s="218">
        <v>1</v>
      </c>
      <c r="FA14" s="218">
        <v>1</v>
      </c>
      <c r="FB14" s="218">
        <v>1</v>
      </c>
      <c r="FC14" s="218">
        <v>1</v>
      </c>
      <c r="FD14" s="218">
        <v>1</v>
      </c>
      <c r="FE14" s="218">
        <v>1</v>
      </c>
      <c r="FF14" s="218">
        <v>1</v>
      </c>
      <c r="FG14" s="218">
        <v>1</v>
      </c>
      <c r="FH14" s="218">
        <v>1</v>
      </c>
      <c r="FI14" s="218">
        <v>1</v>
      </c>
      <c r="FJ14" s="218">
        <v>1</v>
      </c>
      <c r="FK14" s="218">
        <v>1</v>
      </c>
      <c r="FL14" s="218">
        <v>1</v>
      </c>
      <c r="FM14" s="218">
        <v>1</v>
      </c>
      <c r="FN14" s="218">
        <v>1</v>
      </c>
      <c r="FO14" s="218">
        <v>1</v>
      </c>
      <c r="FP14" s="218">
        <v>1</v>
      </c>
      <c r="FQ14" s="218">
        <v>2</v>
      </c>
      <c r="FR14" s="218">
        <v>2</v>
      </c>
      <c r="FS14" s="218">
        <v>2</v>
      </c>
      <c r="FT14" s="218">
        <v>2</v>
      </c>
      <c r="FU14" s="218">
        <v>2</v>
      </c>
      <c r="FV14" s="218">
        <v>0</v>
      </c>
      <c r="FW14" s="218">
        <v>0</v>
      </c>
      <c r="FX14" s="218">
        <v>0</v>
      </c>
      <c r="FY14" s="218">
        <v>0</v>
      </c>
      <c r="FZ14" s="218">
        <v>0</v>
      </c>
      <c r="GA14" s="218">
        <v>0</v>
      </c>
      <c r="GB14" s="218">
        <v>0</v>
      </c>
      <c r="GC14" s="218">
        <v>0</v>
      </c>
      <c r="GD14" s="218">
        <v>0</v>
      </c>
      <c r="GE14" s="247"/>
      <c r="GF14" s="218">
        <v>0</v>
      </c>
      <c r="GG14" s="218">
        <v>0</v>
      </c>
      <c r="GH14" s="218">
        <v>0</v>
      </c>
      <c r="GI14" s="218">
        <v>0</v>
      </c>
      <c r="GJ14" s="218">
        <v>0</v>
      </c>
      <c r="GK14" s="218">
        <v>0</v>
      </c>
      <c r="GL14" s="218">
        <v>0</v>
      </c>
      <c r="GM14" s="247"/>
      <c r="GN14" s="218">
        <v>0</v>
      </c>
      <c r="GO14" s="218">
        <v>0</v>
      </c>
      <c r="GP14" s="218">
        <v>0</v>
      </c>
      <c r="GQ14" s="218">
        <v>0</v>
      </c>
      <c r="GR14" s="218">
        <v>0</v>
      </c>
      <c r="GS14" s="218">
        <v>0</v>
      </c>
      <c r="GT14" s="218">
        <v>0</v>
      </c>
      <c r="GU14" s="218">
        <v>0</v>
      </c>
      <c r="GV14" s="218">
        <v>0</v>
      </c>
      <c r="GW14" s="218">
        <v>0</v>
      </c>
      <c r="GX14" s="218">
        <v>0</v>
      </c>
      <c r="GY14" s="218">
        <v>0</v>
      </c>
      <c r="GZ14" s="218">
        <v>0</v>
      </c>
      <c r="HA14" s="218">
        <v>0</v>
      </c>
      <c r="HB14" s="218">
        <v>0</v>
      </c>
      <c r="HC14" s="218">
        <v>0</v>
      </c>
      <c r="HD14" s="218">
        <v>0</v>
      </c>
      <c r="HE14" s="218">
        <v>0</v>
      </c>
      <c r="HF14" s="218">
        <v>0</v>
      </c>
      <c r="HG14" s="218">
        <v>0</v>
      </c>
      <c r="HH14" s="218">
        <v>0</v>
      </c>
      <c r="HI14" s="218">
        <v>0</v>
      </c>
      <c r="HJ14" s="218">
        <v>0</v>
      </c>
      <c r="HK14" s="218">
        <v>0</v>
      </c>
      <c r="HL14" s="218">
        <v>0</v>
      </c>
      <c r="HM14" s="218">
        <v>0</v>
      </c>
      <c r="HN14" s="218">
        <v>0</v>
      </c>
      <c r="HO14" s="218">
        <v>0</v>
      </c>
      <c r="HP14" s="218">
        <v>0</v>
      </c>
      <c r="HQ14" s="218">
        <v>0</v>
      </c>
      <c r="HR14" s="218">
        <v>0</v>
      </c>
      <c r="HS14" s="218">
        <v>0</v>
      </c>
      <c r="HT14" s="218">
        <v>0</v>
      </c>
      <c r="HU14" s="218">
        <v>0</v>
      </c>
      <c r="HV14" s="218">
        <v>0</v>
      </c>
      <c r="HW14" s="218">
        <v>0</v>
      </c>
      <c r="HX14" s="218">
        <v>0</v>
      </c>
      <c r="HY14" s="218">
        <v>0</v>
      </c>
      <c r="HZ14" s="218">
        <v>0</v>
      </c>
      <c r="IA14" s="218">
        <v>0</v>
      </c>
      <c r="IB14" s="218">
        <v>0</v>
      </c>
      <c r="IC14" s="218">
        <v>0</v>
      </c>
      <c r="ID14" s="218">
        <v>0</v>
      </c>
      <c r="IE14" s="218">
        <v>0</v>
      </c>
      <c r="IF14" s="218">
        <v>0</v>
      </c>
      <c r="IG14" s="218">
        <v>0</v>
      </c>
      <c r="IH14" s="218">
        <v>0</v>
      </c>
      <c r="II14" s="218">
        <v>0</v>
      </c>
      <c r="IJ14" s="247"/>
      <c r="IK14" s="218">
        <v>0</v>
      </c>
      <c r="IL14" s="218">
        <v>0</v>
      </c>
      <c r="IM14" s="247"/>
      <c r="IN14" s="247"/>
      <c r="IO14" s="247"/>
      <c r="IP14" s="247"/>
      <c r="IQ14" s="247"/>
      <c r="IR14" s="247"/>
      <c r="IS14" s="247"/>
      <c r="IT14" s="247"/>
      <c r="IU14" s="247"/>
      <c r="IV14" s="247"/>
      <c r="IW14" s="247"/>
      <c r="IX14" s="247"/>
      <c r="IY14" s="247"/>
      <c r="IZ14" s="247"/>
      <c r="JA14" s="247"/>
      <c r="JB14" s="247"/>
      <c r="JC14" s="247"/>
      <c r="JD14" s="247"/>
      <c r="JE14" s="247"/>
      <c r="JF14" s="247"/>
      <c r="JG14" s="247"/>
      <c r="JH14" s="247"/>
      <c r="JI14" s="247"/>
      <c r="JJ14" s="247"/>
      <c r="JK14" s="247"/>
      <c r="JL14" s="247"/>
      <c r="JM14" s="247"/>
      <c r="JN14" s="247"/>
      <c r="JO14" s="247"/>
      <c r="JP14" s="247"/>
      <c r="JQ14" s="247"/>
      <c r="JR14" s="247"/>
      <c r="JS14" s="247"/>
      <c r="JT14" s="247"/>
      <c r="JU14" s="247"/>
      <c r="JV14" s="247"/>
      <c r="JW14" s="247"/>
      <c r="JX14" s="247"/>
      <c r="JY14" s="247"/>
      <c r="JZ14" s="247"/>
      <c r="KA14" s="247"/>
      <c r="KB14" s="247"/>
      <c r="KC14" s="247"/>
      <c r="KD14" s="247"/>
      <c r="KE14" s="247"/>
      <c r="KF14" s="247"/>
      <c r="KG14" s="247"/>
      <c r="KH14" s="247"/>
      <c r="KI14" s="247"/>
      <c r="KJ14" s="247"/>
      <c r="KK14" s="247"/>
      <c r="KL14" s="247"/>
      <c r="KM14" s="247"/>
      <c r="KN14" s="247"/>
      <c r="KO14" s="247"/>
      <c r="KP14" s="247"/>
      <c r="KQ14" s="247"/>
      <c r="KR14" s="247"/>
      <c r="KS14" s="247"/>
      <c r="KT14" s="247"/>
      <c r="KU14" s="247"/>
      <c r="KV14" s="247"/>
      <c r="KW14" s="247"/>
      <c r="KX14" s="247"/>
      <c r="KY14" s="247"/>
      <c r="KZ14" s="247"/>
      <c r="LA14" s="247"/>
      <c r="LB14" s="247"/>
      <c r="LC14" s="247"/>
      <c r="LD14" s="247"/>
      <c r="LE14" s="247"/>
      <c r="LF14" s="247"/>
      <c r="LG14" s="247"/>
      <c r="LH14" s="247"/>
      <c r="LI14" s="247"/>
      <c r="LJ14" s="247"/>
      <c r="LK14" s="247"/>
      <c r="LL14" s="247"/>
      <c r="LM14" s="247"/>
      <c r="LN14" s="247"/>
      <c r="LO14" s="247"/>
      <c r="LP14" s="247"/>
      <c r="LQ14" s="247"/>
      <c r="LR14" s="247"/>
      <c r="LS14" s="247"/>
      <c r="LT14" s="247"/>
      <c r="LU14" s="247"/>
      <c r="LV14" s="247"/>
      <c r="LW14" s="247"/>
      <c r="LX14" s="247"/>
      <c r="LY14" s="247"/>
      <c r="LZ14" s="247"/>
      <c r="MA14" s="247"/>
      <c r="MB14" s="247"/>
      <c r="MC14" s="247"/>
      <c r="MD14" s="247"/>
      <c r="ME14" s="247"/>
      <c r="MF14" s="304"/>
      <c r="MG14" s="304"/>
      <c r="MH14" s="304"/>
      <c r="MI14" s="304"/>
      <c r="MJ14" s="304"/>
      <c r="MK14" s="304"/>
      <c r="ML14" s="304"/>
      <c r="MM14" s="304"/>
      <c r="MN14" s="304"/>
      <c r="MO14" s="304"/>
      <c r="MP14" s="304"/>
      <c r="MQ14" s="304"/>
      <c r="MR14" s="304"/>
      <c r="MS14" s="304"/>
      <c r="MT14" s="304"/>
      <c r="MU14" s="304"/>
      <c r="MV14" s="304"/>
      <c r="MW14" s="304"/>
      <c r="MX14" s="304"/>
      <c r="MY14" s="304"/>
      <c r="MZ14" s="304"/>
      <c r="NA14" s="304"/>
      <c r="NB14" s="304"/>
      <c r="NC14" s="304"/>
      <c r="ND14" s="304"/>
      <c r="NE14" s="304"/>
      <c r="NF14" s="304"/>
      <c r="NG14" s="304"/>
      <c r="NH14" s="304"/>
      <c r="NI14" s="304"/>
    </row>
    <row r="15" spans="1:373" x14ac:dyDescent="0.2">
      <c r="A15" s="132" t="s">
        <v>739</v>
      </c>
      <c r="B15" s="133" t="s">
        <v>928</v>
      </c>
      <c r="C15" s="134"/>
      <c r="D15" s="242" t="s">
        <v>1310</v>
      </c>
      <c r="E15" s="242">
        <v>0</v>
      </c>
      <c r="F15" s="243" t="s">
        <v>1311</v>
      </c>
      <c r="G15" s="243" t="s">
        <v>1284</v>
      </c>
      <c r="H15" s="243" t="s">
        <v>961</v>
      </c>
      <c r="I15" s="243">
        <v>0</v>
      </c>
      <c r="J15" s="243">
        <v>0</v>
      </c>
      <c r="K15" s="243">
        <v>0</v>
      </c>
      <c r="L15" s="243" t="s">
        <v>1224</v>
      </c>
      <c r="M15" s="243">
        <v>0</v>
      </c>
      <c r="N15" s="243" t="s">
        <v>1218</v>
      </c>
      <c r="O15" s="243">
        <v>0</v>
      </c>
      <c r="P15" s="243">
        <v>0</v>
      </c>
      <c r="Q15" s="243">
        <v>0</v>
      </c>
      <c r="R15" s="135"/>
      <c r="S15" s="135"/>
      <c r="T15" s="135"/>
      <c r="U15" s="135"/>
      <c r="V15" s="135"/>
      <c r="W15" s="135">
        <v>0</v>
      </c>
      <c r="X15" s="135">
        <v>0</v>
      </c>
      <c r="Y15" s="135">
        <v>0</v>
      </c>
      <c r="Z15" s="136">
        <v>116.99</v>
      </c>
      <c r="AA15" s="136">
        <v>399</v>
      </c>
      <c r="AB15" s="136">
        <v>0</v>
      </c>
      <c r="AC15" s="137">
        <v>0</v>
      </c>
      <c r="AD15" s="137">
        <v>0</v>
      </c>
      <c r="AE15" s="138">
        <v>10</v>
      </c>
      <c r="AF15" s="138">
        <v>8</v>
      </c>
      <c r="AG15" s="138">
        <v>2</v>
      </c>
      <c r="AH15" s="139">
        <v>1</v>
      </c>
      <c r="AI15" s="139" t="s">
        <v>1316</v>
      </c>
      <c r="AJ15" s="138" t="s">
        <v>3636</v>
      </c>
      <c r="AK15" s="195" t="s">
        <v>1316</v>
      </c>
      <c r="AL15" s="138" t="s">
        <v>1316</v>
      </c>
      <c r="AM15" s="27" t="s">
        <v>1316</v>
      </c>
      <c r="AN15" s="138">
        <v>0</v>
      </c>
      <c r="AO15" s="140">
        <v>0</v>
      </c>
      <c r="AP15" s="140">
        <v>0</v>
      </c>
      <c r="AQ15" s="140">
        <v>0</v>
      </c>
      <c r="AR15" s="138">
        <v>0</v>
      </c>
      <c r="AS15" s="138">
        <v>0</v>
      </c>
      <c r="AT15" s="198"/>
      <c r="AU15" s="198"/>
      <c r="AV15" s="198"/>
      <c r="AW15" s="211" t="s">
        <v>790</v>
      </c>
      <c r="AX15" s="211" t="s">
        <v>1324</v>
      </c>
      <c r="AY15" s="141"/>
      <c r="AZ15" s="141"/>
      <c r="BA15" s="142">
        <v>1</v>
      </c>
      <c r="BB15" s="142" t="s">
        <v>527</v>
      </c>
      <c r="BC15" s="142"/>
      <c r="BD15" s="142">
        <v>1</v>
      </c>
      <c r="BE15" s="143" t="s">
        <v>541</v>
      </c>
      <c r="BF15" s="144">
        <v>1</v>
      </c>
      <c r="BG15" s="145"/>
      <c r="BH15" s="212"/>
      <c r="BI15" s="213"/>
      <c r="BJ15" s="146">
        <v>0</v>
      </c>
      <c r="BK15" s="214">
        <v>0</v>
      </c>
      <c r="BL15" s="13">
        <v>0</v>
      </c>
      <c r="BM15" s="13">
        <v>0</v>
      </c>
      <c r="BN15" s="27" t="s">
        <v>1317</v>
      </c>
      <c r="BO15" s="13" t="s">
        <v>1317</v>
      </c>
      <c r="BP15" s="147">
        <v>1</v>
      </c>
      <c r="BQ15" s="148"/>
      <c r="BR15" s="149"/>
      <c r="BS15" s="138">
        <v>1000000000</v>
      </c>
      <c r="BT15" s="150">
        <v>0</v>
      </c>
      <c r="BU15" s="151">
        <v>0</v>
      </c>
      <c r="BV15" s="150">
        <v>0</v>
      </c>
      <c r="BW15" s="152">
        <v>0</v>
      </c>
      <c r="BX15" s="152">
        <v>0</v>
      </c>
      <c r="BY15" s="152">
        <v>0</v>
      </c>
      <c r="BZ15" s="150">
        <v>0</v>
      </c>
      <c r="CA15" s="150">
        <v>0</v>
      </c>
      <c r="CB15" s="150">
        <v>0</v>
      </c>
      <c r="CC15" s="151">
        <v>0</v>
      </c>
      <c r="CD15" s="150"/>
      <c r="CE15" s="150"/>
      <c r="CF15" s="153">
        <v>0</v>
      </c>
      <c r="CG15" s="154">
        <v>0</v>
      </c>
      <c r="CH15" s="148">
        <v>0</v>
      </c>
      <c r="CI15" s="155"/>
      <c r="CJ15" s="156" t="s">
        <v>1316</v>
      </c>
      <c r="CK15" s="157" t="s">
        <v>1316</v>
      </c>
      <c r="CL15" s="154">
        <v>0</v>
      </c>
      <c r="CM15" s="154">
        <v>0</v>
      </c>
      <c r="CN15" s="151">
        <v>0</v>
      </c>
      <c r="CO15" s="151">
        <v>0</v>
      </c>
      <c r="CP15" s="158"/>
      <c r="CQ15" s="151">
        <v>1</v>
      </c>
      <c r="CR15" s="199">
        <v>43077</v>
      </c>
      <c r="CS15" s="200">
        <v>43185</v>
      </c>
      <c r="CT15" s="201">
        <v>43255</v>
      </c>
      <c r="CU15" s="201">
        <v>43118</v>
      </c>
      <c r="CV15" s="201">
        <v>43133</v>
      </c>
      <c r="CW15" s="201">
        <v>43132</v>
      </c>
      <c r="CX15" s="201">
        <v>43174</v>
      </c>
      <c r="CY15" s="151">
        <v>1.2112013983210985</v>
      </c>
      <c r="CZ15" s="150">
        <v>0</v>
      </c>
      <c r="DA15" s="151">
        <v>0.40625</v>
      </c>
      <c r="DB15" s="151">
        <v>0</v>
      </c>
      <c r="DC15" s="151">
        <v>0</v>
      </c>
      <c r="DD15" s="151">
        <v>0</v>
      </c>
      <c r="DE15" s="159">
        <v>0.546875</v>
      </c>
      <c r="DF15" s="13" t="s">
        <v>1316</v>
      </c>
      <c r="DG15" s="85" t="s">
        <v>1316</v>
      </c>
      <c r="DH15" s="18" t="b">
        <v>0</v>
      </c>
      <c r="DI15" s="84"/>
      <c r="DJ15" s="84"/>
      <c r="DK15" s="215"/>
      <c r="DL15" s="194"/>
      <c r="DM15" s="216"/>
      <c r="DN15" s="151"/>
      <c r="DO15" s="84"/>
      <c r="DP15" s="84"/>
      <c r="DQ15" s="84"/>
      <c r="DR15" s="84"/>
      <c r="DS15" s="84"/>
      <c r="DT15" s="84"/>
      <c r="DU15" s="84"/>
      <c r="DV15" s="18"/>
      <c r="DW15" s="18"/>
      <c r="DX15" s="18"/>
      <c r="DY15" s="197"/>
      <c r="DZ15" s="197">
        <v>0</v>
      </c>
      <c r="EA15" s="197">
        <v>0</v>
      </c>
      <c r="EB15" s="197">
        <v>0</v>
      </c>
      <c r="EC15" s="197">
        <v>0</v>
      </c>
      <c r="ED15" s="197">
        <v>0</v>
      </c>
      <c r="EE15" s="197">
        <v>0</v>
      </c>
      <c r="EF15" s="197">
        <v>0</v>
      </c>
      <c r="EG15" s="221"/>
      <c r="EH15" s="255">
        <v>4</v>
      </c>
      <c r="EI15" s="256">
        <v>0</v>
      </c>
      <c r="EJ15" s="256">
        <v>0</v>
      </c>
      <c r="EK15" s="256">
        <v>0</v>
      </c>
      <c r="EL15" s="256">
        <v>0</v>
      </c>
      <c r="EM15" s="254">
        <v>3</v>
      </c>
      <c r="EN15" s="254">
        <v>2</v>
      </c>
      <c r="EO15" s="256">
        <v>0</v>
      </c>
      <c r="EP15" s="256">
        <v>0</v>
      </c>
      <c r="EQ15" s="260">
        <v>1</v>
      </c>
      <c r="ER15" s="260">
        <v>1</v>
      </c>
      <c r="ES15" s="254">
        <v>1</v>
      </c>
      <c r="ET15" s="256">
        <v>0</v>
      </c>
      <c r="EU15" s="259">
        <v>49</v>
      </c>
      <c r="EV15" s="259">
        <v>49</v>
      </c>
      <c r="EW15" s="259">
        <v>34</v>
      </c>
      <c r="EX15" s="259">
        <v>34</v>
      </c>
      <c r="EY15" s="259">
        <v>34</v>
      </c>
      <c r="EZ15" s="259">
        <v>34</v>
      </c>
      <c r="FA15" s="259">
        <v>31</v>
      </c>
      <c r="FB15" s="259">
        <v>31</v>
      </c>
      <c r="FC15" s="259">
        <v>31</v>
      </c>
      <c r="FD15" s="259">
        <v>31</v>
      </c>
      <c r="FE15" s="259">
        <v>31</v>
      </c>
      <c r="FF15" s="259">
        <v>28</v>
      </c>
      <c r="FG15" s="259">
        <v>28</v>
      </c>
      <c r="FH15" s="259">
        <v>28</v>
      </c>
      <c r="FI15" s="259">
        <v>28</v>
      </c>
      <c r="FJ15" s="259">
        <v>28</v>
      </c>
      <c r="FK15" s="259">
        <v>27</v>
      </c>
      <c r="FL15" s="259">
        <v>27</v>
      </c>
      <c r="FM15" s="259">
        <v>27</v>
      </c>
      <c r="FN15" s="259">
        <v>27</v>
      </c>
      <c r="FO15" s="259">
        <v>27</v>
      </c>
      <c r="FP15" s="259">
        <v>27</v>
      </c>
      <c r="FQ15" s="259">
        <v>24</v>
      </c>
      <c r="FR15" s="259">
        <v>18</v>
      </c>
      <c r="FS15" s="259">
        <v>18</v>
      </c>
      <c r="FT15" s="259">
        <v>18</v>
      </c>
      <c r="FU15" s="259">
        <v>17</v>
      </c>
      <c r="FV15" s="259">
        <v>16</v>
      </c>
      <c r="FW15" s="259">
        <v>16</v>
      </c>
      <c r="FX15" s="259">
        <v>16</v>
      </c>
      <c r="FY15" s="259">
        <v>16</v>
      </c>
      <c r="FZ15" s="259">
        <v>16</v>
      </c>
      <c r="GA15" s="259">
        <v>16</v>
      </c>
      <c r="GB15" s="259">
        <v>15</v>
      </c>
      <c r="GC15" s="259">
        <v>14</v>
      </c>
      <c r="GD15" s="259">
        <v>8</v>
      </c>
      <c r="GE15" s="258"/>
      <c r="GF15" s="259">
        <v>8</v>
      </c>
      <c r="GG15" s="259">
        <v>8</v>
      </c>
      <c r="GH15" s="259">
        <v>8</v>
      </c>
      <c r="GI15" s="259">
        <v>8</v>
      </c>
      <c r="GJ15" s="259">
        <v>8</v>
      </c>
      <c r="GK15" s="259">
        <v>8</v>
      </c>
      <c r="GL15" s="259">
        <v>7</v>
      </c>
      <c r="GM15" s="258"/>
      <c r="GN15" s="259">
        <v>7</v>
      </c>
      <c r="GO15" s="259">
        <v>7</v>
      </c>
      <c r="GP15" s="259">
        <v>7</v>
      </c>
      <c r="GQ15" s="259">
        <v>7</v>
      </c>
      <c r="GR15" s="259">
        <v>7</v>
      </c>
      <c r="GS15" s="259">
        <v>7</v>
      </c>
      <c r="GT15" s="259">
        <v>7</v>
      </c>
      <c r="GU15" s="259">
        <v>6</v>
      </c>
      <c r="GV15" s="259">
        <v>6</v>
      </c>
      <c r="GW15" s="259">
        <v>6</v>
      </c>
      <c r="GX15" s="259">
        <v>6</v>
      </c>
      <c r="GY15" s="259">
        <v>5</v>
      </c>
      <c r="GZ15" s="259">
        <v>6</v>
      </c>
      <c r="HA15" s="259">
        <v>6</v>
      </c>
      <c r="HB15" s="259">
        <v>4</v>
      </c>
      <c r="HC15" s="254">
        <v>1</v>
      </c>
      <c r="HD15" s="254">
        <v>1</v>
      </c>
      <c r="HE15" s="254">
        <v>1</v>
      </c>
      <c r="HF15" s="254">
        <v>1</v>
      </c>
      <c r="HG15" s="254">
        <v>1</v>
      </c>
      <c r="HH15" s="254">
        <v>1</v>
      </c>
      <c r="HI15" s="256">
        <v>0</v>
      </c>
      <c r="HJ15" s="256">
        <v>0</v>
      </c>
      <c r="HK15" s="256">
        <v>0</v>
      </c>
      <c r="HL15" s="256">
        <v>0</v>
      </c>
      <c r="HM15" s="254">
        <v>1</v>
      </c>
      <c r="HN15" s="254">
        <v>1</v>
      </c>
      <c r="HO15" s="254">
        <v>1</v>
      </c>
      <c r="HP15" s="256">
        <v>0</v>
      </c>
      <c r="HQ15" s="256">
        <v>0</v>
      </c>
      <c r="HR15" s="256">
        <v>0</v>
      </c>
      <c r="HS15" s="256">
        <v>0</v>
      </c>
      <c r="HT15" s="256">
        <v>0</v>
      </c>
      <c r="HU15" s="256">
        <v>0</v>
      </c>
      <c r="HV15" s="256">
        <v>0</v>
      </c>
      <c r="HW15" s="260">
        <v>0</v>
      </c>
      <c r="HX15" s="260">
        <v>0</v>
      </c>
      <c r="HY15" s="260">
        <v>0</v>
      </c>
      <c r="HZ15" s="260">
        <v>0</v>
      </c>
      <c r="IA15" s="260">
        <v>0</v>
      </c>
      <c r="IB15" s="260">
        <v>0</v>
      </c>
      <c r="IC15" s="260">
        <v>0</v>
      </c>
      <c r="ID15" s="260">
        <v>0</v>
      </c>
      <c r="IE15" s="260">
        <v>0</v>
      </c>
      <c r="IF15" s="260">
        <v>0</v>
      </c>
      <c r="IG15" s="260">
        <v>0</v>
      </c>
      <c r="IH15" s="260">
        <v>0</v>
      </c>
      <c r="II15" s="260">
        <v>0</v>
      </c>
      <c r="IJ15" s="258"/>
      <c r="IK15" s="260">
        <v>0</v>
      </c>
      <c r="IL15" s="260">
        <v>0</v>
      </c>
      <c r="IM15" s="258"/>
      <c r="IN15" s="258"/>
      <c r="IO15" s="258"/>
      <c r="IP15" s="258"/>
      <c r="IQ15" s="258"/>
      <c r="IR15" s="258"/>
      <c r="IS15" s="258"/>
      <c r="IT15" s="258"/>
      <c r="IU15" s="258"/>
      <c r="IV15" s="258"/>
      <c r="IW15" s="258"/>
      <c r="IX15" s="258"/>
      <c r="IY15" s="258"/>
      <c r="IZ15" s="258"/>
      <c r="JA15" s="258"/>
      <c r="JB15" s="258"/>
      <c r="JC15" s="258"/>
      <c r="JD15" s="258"/>
      <c r="JE15" s="258"/>
      <c r="JF15" s="258"/>
      <c r="JG15" s="258"/>
      <c r="JH15" s="258"/>
      <c r="JI15" s="258"/>
      <c r="JJ15" s="258"/>
      <c r="JK15" s="258"/>
      <c r="JL15" s="258"/>
      <c r="JM15" s="258"/>
      <c r="JN15" s="258"/>
      <c r="JO15" s="258"/>
      <c r="JP15" s="258"/>
      <c r="JQ15" s="258"/>
      <c r="JR15" s="258"/>
      <c r="JS15" s="258"/>
      <c r="JT15" s="258"/>
      <c r="JU15" s="258"/>
      <c r="JV15" s="258"/>
      <c r="JW15" s="258"/>
      <c r="JX15" s="258"/>
      <c r="JY15" s="258"/>
      <c r="JZ15" s="258"/>
      <c r="KA15" s="258"/>
      <c r="KB15" s="258"/>
      <c r="KC15" s="258"/>
      <c r="KD15" s="258"/>
      <c r="KE15" s="258"/>
      <c r="KF15" s="258"/>
      <c r="KG15" s="258"/>
      <c r="KH15" s="258"/>
      <c r="KI15" s="258"/>
      <c r="KJ15" s="258"/>
      <c r="KK15" s="258"/>
      <c r="KL15" s="258"/>
      <c r="KM15" s="258"/>
      <c r="KN15" s="258"/>
      <c r="KO15" s="258"/>
      <c r="KP15" s="258"/>
      <c r="KQ15" s="258"/>
      <c r="KR15" s="258"/>
      <c r="KS15" s="258"/>
      <c r="KT15" s="258"/>
      <c r="KU15" s="258"/>
      <c r="KV15" s="258"/>
      <c r="KW15" s="258"/>
      <c r="KX15" s="258"/>
      <c r="KY15" s="258"/>
      <c r="KZ15" s="258"/>
      <c r="LA15" s="258"/>
      <c r="LB15" s="258"/>
      <c r="LC15" s="258"/>
      <c r="LD15" s="258"/>
      <c r="LE15" s="258"/>
      <c r="LF15" s="258"/>
      <c r="LG15" s="258"/>
      <c r="LH15" s="258"/>
      <c r="LI15" s="258"/>
      <c r="LJ15" s="258"/>
      <c r="LK15" s="258"/>
      <c r="LL15" s="258"/>
      <c r="LM15" s="258"/>
      <c r="LN15" s="258"/>
      <c r="LO15" s="258"/>
      <c r="LP15" s="258"/>
      <c r="LQ15" s="258"/>
      <c r="LR15" s="258"/>
      <c r="LS15" s="258"/>
      <c r="LT15" s="258"/>
      <c r="LU15" s="258"/>
      <c r="LV15" s="258"/>
      <c r="LW15" s="258"/>
      <c r="LX15" s="258"/>
      <c r="LY15" s="258"/>
      <c r="LZ15" s="258"/>
      <c r="MA15" s="258"/>
      <c r="MB15" s="258"/>
      <c r="MC15" s="258"/>
      <c r="MD15" s="258"/>
      <c r="ME15" s="258"/>
      <c r="MF15" s="303"/>
      <c r="MG15" s="303"/>
      <c r="MH15" s="303"/>
      <c r="MI15" s="303"/>
      <c r="MJ15" s="303"/>
      <c r="MK15" s="303"/>
      <c r="ML15" s="303"/>
      <c r="MM15" s="303"/>
      <c r="MN15" s="303"/>
      <c r="MO15" s="303"/>
      <c r="MP15" s="303"/>
      <c r="MQ15" s="303"/>
      <c r="MR15" s="303"/>
      <c r="MS15" s="303"/>
      <c r="MT15" s="303"/>
      <c r="MU15" s="303"/>
      <c r="MV15" s="303"/>
      <c r="MW15" s="303"/>
      <c r="MX15" s="303"/>
      <c r="MY15" s="303"/>
      <c r="MZ15" s="303"/>
      <c r="NA15" s="303"/>
      <c r="NB15" s="303"/>
      <c r="NC15" s="303"/>
      <c r="ND15" s="303"/>
      <c r="NE15" s="303"/>
      <c r="NF15" s="303"/>
      <c r="NG15" s="303"/>
      <c r="NH15" s="303"/>
      <c r="NI15" s="303"/>
    </row>
    <row r="16" spans="1:373" x14ac:dyDescent="0.2">
      <c r="A16" s="132" t="s">
        <v>739</v>
      </c>
      <c r="B16" s="133" t="s">
        <v>929</v>
      </c>
      <c r="C16" s="134"/>
      <c r="D16" s="242" t="s">
        <v>1303</v>
      </c>
      <c r="E16" s="242">
        <v>0</v>
      </c>
      <c r="F16" s="243" t="s">
        <v>1304</v>
      </c>
      <c r="G16" s="243" t="s">
        <v>960</v>
      </c>
      <c r="H16" s="243" t="s">
        <v>961</v>
      </c>
      <c r="I16" s="243">
        <v>0</v>
      </c>
      <c r="J16" s="243">
        <v>0</v>
      </c>
      <c r="K16" s="243">
        <v>0</v>
      </c>
      <c r="L16" s="243" t="s">
        <v>1219</v>
      </c>
      <c r="M16" s="243">
        <v>0</v>
      </c>
      <c r="N16" s="243" t="s">
        <v>1217</v>
      </c>
      <c r="O16" s="243">
        <v>0</v>
      </c>
      <c r="P16" s="243">
        <v>0</v>
      </c>
      <c r="Q16" s="243">
        <v>0</v>
      </c>
      <c r="R16" s="135"/>
      <c r="S16" s="135"/>
      <c r="T16" s="135"/>
      <c r="U16" s="135"/>
      <c r="V16" s="135"/>
      <c r="W16" s="135">
        <v>0</v>
      </c>
      <c r="X16" s="135">
        <v>0</v>
      </c>
      <c r="Y16" s="135">
        <v>0</v>
      </c>
      <c r="Z16" s="136">
        <v>293.10000000000002</v>
      </c>
      <c r="AA16" s="136">
        <v>762.73</v>
      </c>
      <c r="AB16" s="136">
        <v>0</v>
      </c>
      <c r="AC16" s="137">
        <v>0</v>
      </c>
      <c r="AD16" s="137">
        <v>0</v>
      </c>
      <c r="AE16" s="138">
        <v>10</v>
      </c>
      <c r="AF16" s="138">
        <v>8</v>
      </c>
      <c r="AG16" s="138">
        <v>2</v>
      </c>
      <c r="AH16" s="139">
        <v>1</v>
      </c>
      <c r="AI16" s="139" t="s">
        <v>1387</v>
      </c>
      <c r="AJ16" s="138" t="s">
        <v>3626</v>
      </c>
      <c r="AK16" s="195" t="s">
        <v>3627</v>
      </c>
      <c r="AL16" s="138" t="s">
        <v>1316</v>
      </c>
      <c r="AM16" s="27" t="s">
        <v>1391</v>
      </c>
      <c r="AN16" s="138">
        <v>0</v>
      </c>
      <c r="AO16" s="140">
        <v>0</v>
      </c>
      <c r="AP16" s="140">
        <v>0</v>
      </c>
      <c r="AQ16" s="140">
        <v>0</v>
      </c>
      <c r="AR16" s="138">
        <v>16</v>
      </c>
      <c r="AS16" s="138">
        <v>0</v>
      </c>
      <c r="AT16" s="198"/>
      <c r="AU16" s="198"/>
      <c r="AV16" s="198"/>
      <c r="AW16" s="211" t="s">
        <v>790</v>
      </c>
      <c r="AX16" s="211" t="s">
        <v>1324</v>
      </c>
      <c r="AY16" s="141"/>
      <c r="AZ16" s="141"/>
      <c r="BA16" s="142">
        <v>1</v>
      </c>
      <c r="BB16" s="142" t="s">
        <v>527</v>
      </c>
      <c r="BC16" s="142"/>
      <c r="BD16" s="142">
        <v>2</v>
      </c>
      <c r="BE16" s="143" t="s">
        <v>541</v>
      </c>
      <c r="BF16" s="144">
        <v>1</v>
      </c>
      <c r="BG16" s="145"/>
      <c r="BH16" s="212"/>
      <c r="BI16" s="213"/>
      <c r="BJ16" s="146">
        <v>140</v>
      </c>
      <c r="BK16" s="214">
        <v>0</v>
      </c>
      <c r="BL16" s="13">
        <v>93</v>
      </c>
      <c r="BM16" s="13">
        <v>46</v>
      </c>
      <c r="BN16" s="27" t="s">
        <v>1394</v>
      </c>
      <c r="BO16" s="13" t="s">
        <v>1393</v>
      </c>
      <c r="BP16" s="147">
        <v>160</v>
      </c>
      <c r="BQ16" s="148"/>
      <c r="BR16" s="149"/>
      <c r="BS16" s="138">
        <v>1000000000</v>
      </c>
      <c r="BT16" s="150">
        <v>0</v>
      </c>
      <c r="BU16" s="151">
        <v>1</v>
      </c>
      <c r="BV16" s="150">
        <v>17</v>
      </c>
      <c r="BW16" s="152">
        <v>0</v>
      </c>
      <c r="BX16" s="152">
        <v>0</v>
      </c>
      <c r="BY16" s="152">
        <v>0</v>
      </c>
      <c r="BZ16" s="150">
        <v>0</v>
      </c>
      <c r="CA16" s="150">
        <v>0</v>
      </c>
      <c r="CB16" s="150">
        <v>17</v>
      </c>
      <c r="CC16" s="151">
        <v>0.88</v>
      </c>
      <c r="CD16" s="150"/>
      <c r="CE16" s="150"/>
      <c r="CF16" s="153">
        <v>124</v>
      </c>
      <c r="CG16" s="154">
        <v>28</v>
      </c>
      <c r="CH16" s="148">
        <v>10</v>
      </c>
      <c r="CI16" s="155"/>
      <c r="CJ16" s="156" t="s">
        <v>1316</v>
      </c>
      <c r="CK16" s="157" t="s">
        <v>1316</v>
      </c>
      <c r="CL16" s="154">
        <v>21602.98</v>
      </c>
      <c r="CM16" s="154">
        <v>0</v>
      </c>
      <c r="CN16" s="151">
        <v>0</v>
      </c>
      <c r="CO16" s="151">
        <v>7.690972364380757</v>
      </c>
      <c r="CP16" s="158"/>
      <c r="CQ16" s="151">
        <v>0.26</v>
      </c>
      <c r="CR16" s="199">
        <v>43087</v>
      </c>
      <c r="CS16" s="200">
        <v>43185</v>
      </c>
      <c r="CT16" s="201">
        <v>43255</v>
      </c>
      <c r="CU16" s="201">
        <v>43195</v>
      </c>
      <c r="CV16" s="201">
        <v>43179</v>
      </c>
      <c r="CW16" s="201">
        <v>43209</v>
      </c>
      <c r="CX16" s="201">
        <v>43251</v>
      </c>
      <c r="CY16" s="151">
        <v>1.0441525392164628</v>
      </c>
      <c r="CZ16" s="150">
        <v>0</v>
      </c>
      <c r="DA16" s="151">
        <v>0.25</v>
      </c>
      <c r="DB16" s="151">
        <v>0.359375</v>
      </c>
      <c r="DC16" s="151">
        <v>0.265625</v>
      </c>
      <c r="DD16" s="151">
        <v>7.8125E-2</v>
      </c>
      <c r="DE16" s="159">
        <v>0</v>
      </c>
      <c r="DF16" s="13" t="s">
        <v>1316</v>
      </c>
      <c r="DG16" s="85" t="s">
        <v>1394</v>
      </c>
      <c r="DH16" s="18" t="b">
        <v>0</v>
      </c>
      <c r="DI16" s="84"/>
      <c r="DJ16" s="84"/>
      <c r="DK16" s="215"/>
      <c r="DL16" s="194"/>
      <c r="DM16" s="216"/>
      <c r="DN16" s="151"/>
      <c r="DO16" s="84"/>
      <c r="DP16" s="84"/>
      <c r="DQ16" s="84"/>
      <c r="DR16" s="84"/>
      <c r="DS16" s="84"/>
      <c r="DT16" s="84"/>
      <c r="DU16" s="84"/>
      <c r="DV16" s="18"/>
      <c r="DW16" s="18"/>
      <c r="DX16" s="18"/>
      <c r="DY16" s="197"/>
      <c r="DZ16" s="197">
        <v>0</v>
      </c>
      <c r="EA16" s="197">
        <v>0</v>
      </c>
      <c r="EB16" s="197">
        <v>0</v>
      </c>
      <c r="EC16" s="197">
        <v>0</v>
      </c>
      <c r="ED16" s="197">
        <v>0</v>
      </c>
      <c r="EE16" s="197">
        <v>0</v>
      </c>
      <c r="EF16" s="197">
        <v>17</v>
      </c>
      <c r="EG16" s="219"/>
      <c r="EH16" s="226">
        <v>182</v>
      </c>
      <c r="EI16" s="225">
        <v>128</v>
      </c>
      <c r="EJ16" s="224">
        <v>104</v>
      </c>
      <c r="EK16" s="224">
        <v>102</v>
      </c>
      <c r="EL16" s="224">
        <v>101</v>
      </c>
      <c r="EM16" s="225">
        <v>138</v>
      </c>
      <c r="EN16" s="225">
        <v>141</v>
      </c>
      <c r="EO16" s="225">
        <v>154</v>
      </c>
      <c r="EP16" s="225">
        <v>154</v>
      </c>
      <c r="EQ16" s="224">
        <v>94</v>
      </c>
      <c r="ER16" s="224">
        <v>86</v>
      </c>
      <c r="ES16" s="224">
        <v>81</v>
      </c>
      <c r="ET16" s="225">
        <v>103</v>
      </c>
      <c r="EU16" s="225">
        <v>133</v>
      </c>
      <c r="EV16" s="225">
        <v>130</v>
      </c>
      <c r="EW16" s="225">
        <v>105</v>
      </c>
      <c r="EX16" s="225">
        <v>105</v>
      </c>
      <c r="EY16" s="225">
        <v>105</v>
      </c>
      <c r="EZ16" s="225">
        <v>105</v>
      </c>
      <c r="FA16" s="225">
        <v>103</v>
      </c>
      <c r="FB16" s="225">
        <v>95</v>
      </c>
      <c r="FC16" s="225">
        <v>95</v>
      </c>
      <c r="FD16" s="225">
        <v>95</v>
      </c>
      <c r="FE16" s="225">
        <v>95</v>
      </c>
      <c r="FF16" s="225">
        <v>97</v>
      </c>
      <c r="FG16" s="225">
        <v>97</v>
      </c>
      <c r="FH16" s="225">
        <v>95</v>
      </c>
      <c r="FI16" s="225">
        <v>95</v>
      </c>
      <c r="FJ16" s="224">
        <v>93</v>
      </c>
      <c r="FK16" s="224">
        <v>93</v>
      </c>
      <c r="FL16" s="224">
        <v>93</v>
      </c>
      <c r="FM16" s="224">
        <v>93</v>
      </c>
      <c r="FN16" s="224">
        <v>93</v>
      </c>
      <c r="FO16" s="224">
        <v>93</v>
      </c>
      <c r="FP16" s="224">
        <v>93</v>
      </c>
      <c r="FQ16" s="224">
        <v>93</v>
      </c>
      <c r="FR16" s="224">
        <v>90</v>
      </c>
      <c r="FS16" s="224">
        <v>90</v>
      </c>
      <c r="FT16" s="224">
        <v>90</v>
      </c>
      <c r="FU16" s="224">
        <v>87</v>
      </c>
      <c r="FV16" s="224">
        <v>87</v>
      </c>
      <c r="FW16" s="224">
        <v>87</v>
      </c>
      <c r="FX16" s="225">
        <v>117</v>
      </c>
      <c r="FY16" s="225">
        <v>117</v>
      </c>
      <c r="FZ16" s="225">
        <v>117</v>
      </c>
      <c r="GA16" s="225">
        <v>117</v>
      </c>
      <c r="GB16" s="225">
        <v>112</v>
      </c>
      <c r="GC16" s="225">
        <v>101</v>
      </c>
      <c r="GD16" s="225">
        <v>95</v>
      </c>
      <c r="GE16" s="219"/>
      <c r="GF16" s="225">
        <v>94</v>
      </c>
      <c r="GG16" s="224">
        <v>93</v>
      </c>
      <c r="GH16" s="224">
        <v>74</v>
      </c>
      <c r="GI16" s="224">
        <v>74</v>
      </c>
      <c r="GJ16" s="224">
        <v>74</v>
      </c>
      <c r="GK16" s="224">
        <v>72</v>
      </c>
      <c r="GL16" s="224">
        <v>69</v>
      </c>
      <c r="GM16" s="219"/>
      <c r="GN16" s="224">
        <v>69</v>
      </c>
      <c r="GO16" s="224">
        <v>68</v>
      </c>
      <c r="GP16" s="224">
        <v>68</v>
      </c>
      <c r="GQ16" s="224">
        <v>68</v>
      </c>
      <c r="GR16" s="224">
        <v>68</v>
      </c>
      <c r="GS16" s="224">
        <v>68</v>
      </c>
      <c r="GT16" s="224">
        <v>64</v>
      </c>
      <c r="GU16" s="224">
        <v>54</v>
      </c>
      <c r="GV16" s="224">
        <v>50</v>
      </c>
      <c r="GW16" s="224">
        <v>50</v>
      </c>
      <c r="GX16" s="224">
        <v>50</v>
      </c>
      <c r="GY16" s="223">
        <v>46</v>
      </c>
      <c r="GZ16" s="223">
        <v>46</v>
      </c>
      <c r="HA16" s="223">
        <v>37</v>
      </c>
      <c r="HB16" s="223">
        <v>37</v>
      </c>
      <c r="HC16" s="223">
        <v>28</v>
      </c>
      <c r="HD16" s="223">
        <v>28</v>
      </c>
      <c r="HE16" s="223">
        <v>28</v>
      </c>
      <c r="HF16" s="223">
        <v>28</v>
      </c>
      <c r="HG16" s="223">
        <v>28</v>
      </c>
      <c r="HH16" s="223">
        <v>28</v>
      </c>
      <c r="HI16" s="223">
        <v>9</v>
      </c>
      <c r="HJ16" s="223">
        <v>9</v>
      </c>
      <c r="HK16" s="223">
        <v>9</v>
      </c>
      <c r="HL16" s="223">
        <v>9</v>
      </c>
      <c r="HM16" s="223">
        <v>8</v>
      </c>
      <c r="HN16" s="223">
        <v>6</v>
      </c>
      <c r="HO16" s="223">
        <v>6</v>
      </c>
      <c r="HP16" s="223">
        <v>3</v>
      </c>
      <c r="HQ16" s="223">
        <v>3</v>
      </c>
      <c r="HR16" s="223">
        <v>3</v>
      </c>
      <c r="HS16" s="223">
        <v>3</v>
      </c>
      <c r="HT16" s="223">
        <v>3</v>
      </c>
      <c r="HU16" s="223">
        <v>1</v>
      </c>
      <c r="HV16" s="222">
        <v>0</v>
      </c>
      <c r="HW16" s="222">
        <v>0</v>
      </c>
      <c r="HX16" s="222">
        <v>0</v>
      </c>
      <c r="HY16" s="222">
        <v>0</v>
      </c>
      <c r="HZ16" s="222">
        <v>0</v>
      </c>
      <c r="IA16" s="222">
        <v>0</v>
      </c>
      <c r="IB16" s="222">
        <v>0</v>
      </c>
      <c r="IC16" s="222">
        <v>0</v>
      </c>
      <c r="ID16" s="222">
        <v>0</v>
      </c>
      <c r="IE16" s="222">
        <v>0</v>
      </c>
      <c r="IF16" s="222">
        <v>0</v>
      </c>
      <c r="IG16" s="222">
        <v>0</v>
      </c>
      <c r="IH16" s="222">
        <v>0</v>
      </c>
      <c r="II16" s="222">
        <v>0</v>
      </c>
      <c r="IJ16" s="219"/>
      <c r="IK16" s="222">
        <v>0</v>
      </c>
      <c r="IL16" s="222">
        <v>0</v>
      </c>
      <c r="IM16" s="219"/>
      <c r="IN16" s="219"/>
      <c r="IO16" s="219"/>
      <c r="IP16" s="219"/>
      <c r="IQ16" s="219"/>
      <c r="IR16" s="219"/>
      <c r="IS16" s="219"/>
      <c r="IT16" s="219"/>
      <c r="IU16" s="219"/>
      <c r="IV16" s="219"/>
      <c r="IW16" s="219"/>
      <c r="IX16" s="219"/>
      <c r="IY16" s="219"/>
      <c r="IZ16" s="219"/>
      <c r="JA16" s="219"/>
      <c r="JB16" s="219"/>
      <c r="JC16" s="219"/>
      <c r="JD16" s="219"/>
      <c r="JE16" s="219"/>
      <c r="JF16" s="219"/>
      <c r="JG16" s="219"/>
      <c r="JH16" s="219"/>
      <c r="JI16" s="219"/>
      <c r="JJ16" s="219"/>
      <c r="JK16" s="219"/>
      <c r="JL16" s="219"/>
      <c r="JM16" s="219"/>
      <c r="JN16" s="219"/>
      <c r="JO16" s="219"/>
      <c r="JP16" s="219"/>
      <c r="JQ16" s="219"/>
      <c r="JR16" s="219"/>
      <c r="JS16" s="219"/>
      <c r="JT16" s="219"/>
      <c r="JU16" s="219"/>
      <c r="JV16" s="219"/>
      <c r="JW16" s="219"/>
      <c r="JX16" s="219"/>
      <c r="JY16" s="219"/>
      <c r="JZ16" s="219"/>
      <c r="KA16" s="219"/>
      <c r="KB16" s="219"/>
      <c r="KC16" s="219"/>
      <c r="KD16" s="219"/>
      <c r="KE16" s="219"/>
      <c r="KF16" s="219"/>
      <c r="KG16" s="219"/>
      <c r="KH16" s="219"/>
      <c r="KI16" s="219"/>
      <c r="KJ16" s="219"/>
      <c r="KK16" s="219"/>
      <c r="KL16" s="219"/>
      <c r="KM16" s="219"/>
      <c r="KN16" s="219"/>
      <c r="KO16" s="219"/>
      <c r="KP16" s="219"/>
      <c r="KQ16" s="219"/>
      <c r="KR16" s="219"/>
      <c r="KS16" s="219"/>
      <c r="KT16" s="219"/>
      <c r="KU16" s="219"/>
      <c r="KV16" s="219"/>
      <c r="KW16" s="219"/>
      <c r="KX16" s="219"/>
      <c r="KY16" s="219"/>
      <c r="KZ16" s="219"/>
      <c r="LA16" s="219"/>
      <c r="LB16" s="219"/>
      <c r="LC16" s="219"/>
      <c r="LD16" s="219"/>
      <c r="LE16" s="219"/>
      <c r="LF16" s="219"/>
      <c r="LG16" s="219"/>
      <c r="LH16" s="219"/>
      <c r="LI16" s="219"/>
      <c r="LJ16" s="219"/>
      <c r="LK16" s="219"/>
      <c r="LL16" s="219"/>
      <c r="LM16" s="219"/>
      <c r="LN16" s="219"/>
      <c r="LO16" s="219"/>
      <c r="LP16" s="219"/>
      <c r="LQ16" s="219"/>
      <c r="LR16" s="219"/>
      <c r="LS16" s="219"/>
      <c r="LT16" s="219"/>
      <c r="LU16" s="219"/>
      <c r="LV16" s="219"/>
      <c r="LW16" s="219"/>
      <c r="LX16" s="219"/>
      <c r="LY16" s="219"/>
      <c r="LZ16" s="219"/>
      <c r="MA16" s="219"/>
      <c r="MB16" s="219"/>
      <c r="MC16" s="219"/>
      <c r="MD16" s="219"/>
      <c r="ME16" s="219"/>
      <c r="MF16" s="305"/>
      <c r="MG16" s="305"/>
      <c r="MH16" s="305"/>
      <c r="MI16" s="305"/>
      <c r="MJ16" s="305"/>
      <c r="MK16" s="305"/>
      <c r="ML16" s="305"/>
      <c r="MM16" s="305"/>
      <c r="MN16" s="305"/>
      <c r="MO16" s="305"/>
      <c r="MP16" s="305"/>
      <c r="MQ16" s="305"/>
      <c r="MR16" s="305"/>
      <c r="MS16" s="305"/>
      <c r="MT16" s="305"/>
      <c r="MU16" s="305"/>
      <c r="MV16" s="305"/>
      <c r="MW16" s="305"/>
      <c r="MX16" s="305"/>
      <c r="MY16" s="305"/>
      <c r="MZ16" s="305"/>
      <c r="NA16" s="305"/>
      <c r="NB16" s="305"/>
      <c r="NC16" s="305"/>
      <c r="ND16" s="305"/>
      <c r="NE16" s="305"/>
      <c r="NF16" s="305"/>
      <c r="NG16" s="305"/>
      <c r="NH16" s="305"/>
      <c r="NI16" s="305"/>
    </row>
    <row r="17" spans="1:373" x14ac:dyDescent="0.2">
      <c r="A17" s="132" t="s">
        <v>739</v>
      </c>
      <c r="B17" s="133" t="s">
        <v>930</v>
      </c>
      <c r="C17" s="134"/>
      <c r="D17" s="242" t="s">
        <v>1291</v>
      </c>
      <c r="E17" s="242">
        <v>0</v>
      </c>
      <c r="F17" s="243" t="s">
        <v>1292</v>
      </c>
      <c r="G17" s="243" t="s">
        <v>1223</v>
      </c>
      <c r="H17" s="243" t="s">
        <v>961</v>
      </c>
      <c r="I17" s="243">
        <v>0</v>
      </c>
      <c r="J17" s="243">
        <v>0</v>
      </c>
      <c r="K17" s="243">
        <v>0</v>
      </c>
      <c r="L17" s="243" t="s">
        <v>1224</v>
      </c>
      <c r="M17" s="243">
        <v>0</v>
      </c>
      <c r="N17" s="243" t="s">
        <v>1218</v>
      </c>
      <c r="O17" s="243">
        <v>0</v>
      </c>
      <c r="P17" s="243">
        <v>0</v>
      </c>
      <c r="Q17" s="243">
        <v>0</v>
      </c>
      <c r="R17" s="135"/>
      <c r="S17" s="135"/>
      <c r="T17" s="135"/>
      <c r="U17" s="135"/>
      <c r="V17" s="135"/>
      <c r="W17" s="135">
        <v>0</v>
      </c>
      <c r="X17" s="135">
        <v>0</v>
      </c>
      <c r="Y17" s="135">
        <v>0</v>
      </c>
      <c r="Z17" s="136">
        <v>310.58</v>
      </c>
      <c r="AA17" s="136">
        <v>714</v>
      </c>
      <c r="AB17" s="136">
        <v>0</v>
      </c>
      <c r="AC17" s="137">
        <v>0</v>
      </c>
      <c r="AD17" s="137">
        <v>0</v>
      </c>
      <c r="AE17" s="138">
        <v>10</v>
      </c>
      <c r="AF17" s="138">
        <v>8</v>
      </c>
      <c r="AG17" s="138">
        <v>2</v>
      </c>
      <c r="AH17" s="139">
        <v>1</v>
      </c>
      <c r="AI17" s="139" t="s">
        <v>1316</v>
      </c>
      <c r="AJ17" s="138" t="s">
        <v>3636</v>
      </c>
      <c r="AK17" s="195" t="s">
        <v>1389</v>
      </c>
      <c r="AL17" s="138" t="s">
        <v>1316</v>
      </c>
      <c r="AM17" s="27" t="s">
        <v>1391</v>
      </c>
      <c r="AN17" s="138">
        <v>0.95</v>
      </c>
      <c r="AO17" s="140">
        <v>0.78947368421052633</v>
      </c>
      <c r="AP17" s="140">
        <v>2.8947368421052633</v>
      </c>
      <c r="AQ17" s="140">
        <v>0.26315789473684209</v>
      </c>
      <c r="AR17" s="138">
        <v>0</v>
      </c>
      <c r="AS17" s="138">
        <v>0</v>
      </c>
      <c r="AT17" s="198"/>
      <c r="AU17" s="198"/>
      <c r="AV17" s="198"/>
      <c r="AW17" s="211" t="s">
        <v>790</v>
      </c>
      <c r="AX17" s="211" t="s">
        <v>1324</v>
      </c>
      <c r="AY17" s="141"/>
      <c r="AZ17" s="141"/>
      <c r="BA17" s="142">
        <v>1</v>
      </c>
      <c r="BB17" s="142" t="s">
        <v>527</v>
      </c>
      <c r="BC17" s="142"/>
      <c r="BD17" s="142">
        <v>1</v>
      </c>
      <c r="BE17" s="143" t="s">
        <v>541</v>
      </c>
      <c r="BF17" s="144">
        <v>1</v>
      </c>
      <c r="BG17" s="145"/>
      <c r="BH17" s="212"/>
      <c r="BI17" s="213"/>
      <c r="BJ17" s="146">
        <v>3</v>
      </c>
      <c r="BK17" s="214">
        <v>15</v>
      </c>
      <c r="BL17" s="13">
        <v>2</v>
      </c>
      <c r="BM17" s="13">
        <v>1</v>
      </c>
      <c r="BN17" s="27" t="s">
        <v>1395</v>
      </c>
      <c r="BO17" s="13" t="s">
        <v>1395</v>
      </c>
      <c r="BP17" s="147">
        <v>0</v>
      </c>
      <c r="BQ17" s="148"/>
      <c r="BR17" s="149"/>
      <c r="BS17" s="138">
        <v>1000000000</v>
      </c>
      <c r="BT17" s="150">
        <v>11</v>
      </c>
      <c r="BU17" s="151">
        <v>-2.67</v>
      </c>
      <c r="BV17" s="150">
        <v>0</v>
      </c>
      <c r="BW17" s="152">
        <v>0</v>
      </c>
      <c r="BX17" s="152">
        <v>0</v>
      </c>
      <c r="BY17" s="152">
        <v>0</v>
      </c>
      <c r="BZ17" s="150">
        <v>0</v>
      </c>
      <c r="CA17" s="150">
        <v>0</v>
      </c>
      <c r="CB17" s="150">
        <v>11</v>
      </c>
      <c r="CC17" s="151">
        <v>-2.67</v>
      </c>
      <c r="CD17" s="150"/>
      <c r="CE17" s="150"/>
      <c r="CF17" s="153">
        <v>0</v>
      </c>
      <c r="CG17" s="154">
        <v>1</v>
      </c>
      <c r="CH17" s="148">
        <v>0</v>
      </c>
      <c r="CI17" s="155"/>
      <c r="CJ17" s="156" t="s">
        <v>1316</v>
      </c>
      <c r="CK17" s="157" t="s">
        <v>1316</v>
      </c>
      <c r="CL17" s="154">
        <v>0</v>
      </c>
      <c r="CM17" s="154">
        <v>2484.64</v>
      </c>
      <c r="CN17" s="151">
        <v>0</v>
      </c>
      <c r="CO17" s="151">
        <v>6.2348380449481606</v>
      </c>
      <c r="CP17" s="158"/>
      <c r="CQ17" s="151">
        <v>0</v>
      </c>
      <c r="CR17" s="199">
        <v>43077</v>
      </c>
      <c r="CS17" s="200">
        <v>43185</v>
      </c>
      <c r="CT17" s="201">
        <v>43255</v>
      </c>
      <c r="CU17" s="201">
        <v>43133</v>
      </c>
      <c r="CV17" s="201">
        <v>43147</v>
      </c>
      <c r="CW17" s="201">
        <v>43147</v>
      </c>
      <c r="CX17" s="201">
        <v>43189</v>
      </c>
      <c r="CY17" s="151">
        <v>0.10541953908023399</v>
      </c>
      <c r="CZ17" s="150">
        <v>0</v>
      </c>
      <c r="DA17" s="151">
        <v>0</v>
      </c>
      <c r="DB17" s="151">
        <v>0</v>
      </c>
      <c r="DC17" s="151">
        <v>0</v>
      </c>
      <c r="DD17" s="151">
        <v>0</v>
      </c>
      <c r="DE17" s="159">
        <v>0.953125</v>
      </c>
      <c r="DF17" s="13" t="s">
        <v>1316</v>
      </c>
      <c r="DG17" s="85" t="s">
        <v>1316</v>
      </c>
      <c r="DH17" s="18" t="b">
        <v>0</v>
      </c>
      <c r="DI17" s="84"/>
      <c r="DJ17" s="84"/>
      <c r="DK17" s="215"/>
      <c r="DL17" s="194"/>
      <c r="DM17" s="216"/>
      <c r="DN17" s="151"/>
      <c r="DO17" s="84"/>
      <c r="DP17" s="84"/>
      <c r="DQ17" s="84"/>
      <c r="DR17" s="84"/>
      <c r="DS17" s="84"/>
      <c r="DT17" s="84"/>
      <c r="DU17" s="84"/>
      <c r="DV17" s="18"/>
      <c r="DW17" s="18"/>
      <c r="DX17" s="18"/>
      <c r="DY17" s="197"/>
      <c r="DZ17" s="197">
        <v>0</v>
      </c>
      <c r="EA17" s="197">
        <v>0</v>
      </c>
      <c r="EB17" s="197">
        <v>0</v>
      </c>
      <c r="EC17" s="197">
        <v>0</v>
      </c>
      <c r="ED17" s="197">
        <v>0</v>
      </c>
      <c r="EE17" s="197">
        <v>0</v>
      </c>
      <c r="EF17" s="197">
        <v>0</v>
      </c>
      <c r="EG17" s="221"/>
      <c r="EH17" s="255">
        <v>9</v>
      </c>
      <c r="EI17" s="255">
        <v>10</v>
      </c>
      <c r="EJ17" s="255">
        <v>6</v>
      </c>
      <c r="EK17" s="255">
        <v>6</v>
      </c>
      <c r="EL17" s="260">
        <v>7</v>
      </c>
      <c r="EM17" s="260">
        <v>3</v>
      </c>
      <c r="EN17" s="260">
        <v>1</v>
      </c>
      <c r="EO17" s="260">
        <v>1</v>
      </c>
      <c r="EP17" s="260">
        <v>1</v>
      </c>
      <c r="EQ17" s="260">
        <v>0</v>
      </c>
      <c r="ER17" s="260">
        <v>0</v>
      </c>
      <c r="ES17" s="256">
        <v>0</v>
      </c>
      <c r="ET17" s="256">
        <v>0</v>
      </c>
      <c r="EU17" s="256">
        <v>0</v>
      </c>
      <c r="EV17" s="256">
        <v>0</v>
      </c>
      <c r="EW17" s="259">
        <v>10</v>
      </c>
      <c r="EX17" s="259">
        <v>10</v>
      </c>
      <c r="EY17" s="259">
        <v>10</v>
      </c>
      <c r="EZ17" s="259">
        <v>10</v>
      </c>
      <c r="FA17" s="259">
        <v>10</v>
      </c>
      <c r="FB17" s="259">
        <v>10</v>
      </c>
      <c r="FC17" s="259">
        <v>10</v>
      </c>
      <c r="FD17" s="259">
        <v>10</v>
      </c>
      <c r="FE17" s="259">
        <v>10</v>
      </c>
      <c r="FF17" s="259">
        <v>16</v>
      </c>
      <c r="FG17" s="259">
        <v>16</v>
      </c>
      <c r="FH17" s="259">
        <v>16</v>
      </c>
      <c r="FI17" s="259">
        <v>16</v>
      </c>
      <c r="FJ17" s="259">
        <v>16</v>
      </c>
      <c r="FK17" s="259">
        <v>16</v>
      </c>
      <c r="FL17" s="259">
        <v>16</v>
      </c>
      <c r="FM17" s="259">
        <v>16</v>
      </c>
      <c r="FN17" s="259">
        <v>16</v>
      </c>
      <c r="FO17" s="259">
        <v>16</v>
      </c>
      <c r="FP17" s="259">
        <v>16</v>
      </c>
      <c r="FQ17" s="259">
        <v>16</v>
      </c>
      <c r="FR17" s="259">
        <v>16</v>
      </c>
      <c r="FS17" s="259">
        <v>16</v>
      </c>
      <c r="FT17" s="259">
        <v>16</v>
      </c>
      <c r="FU17" s="259">
        <v>16</v>
      </c>
      <c r="FV17" s="259">
        <v>16</v>
      </c>
      <c r="FW17" s="259">
        <v>16</v>
      </c>
      <c r="FX17" s="259">
        <v>16</v>
      </c>
      <c r="FY17" s="259">
        <v>15</v>
      </c>
      <c r="FZ17" s="259">
        <v>15</v>
      </c>
      <c r="GA17" s="259">
        <v>15</v>
      </c>
      <c r="GB17" s="259">
        <v>15</v>
      </c>
      <c r="GC17" s="259">
        <v>15</v>
      </c>
      <c r="GD17" s="259">
        <v>15</v>
      </c>
      <c r="GE17" s="261"/>
      <c r="GF17" s="259">
        <v>14</v>
      </c>
      <c r="GG17" s="259">
        <v>14</v>
      </c>
      <c r="GH17" s="259">
        <v>13</v>
      </c>
      <c r="GI17" s="259">
        <v>13</v>
      </c>
      <c r="GJ17" s="259">
        <v>13</v>
      </c>
      <c r="GK17" s="259">
        <v>13</v>
      </c>
      <c r="GL17" s="259">
        <v>13</v>
      </c>
      <c r="GM17" s="261"/>
      <c r="GN17" s="259">
        <v>13</v>
      </c>
      <c r="GO17" s="259">
        <v>13</v>
      </c>
      <c r="GP17" s="259">
        <v>13</v>
      </c>
      <c r="GQ17" s="259">
        <v>13</v>
      </c>
      <c r="GR17" s="259">
        <v>13</v>
      </c>
      <c r="GS17" s="259">
        <v>13</v>
      </c>
      <c r="GT17" s="259">
        <v>13</v>
      </c>
      <c r="GU17" s="259">
        <v>13</v>
      </c>
      <c r="GV17" s="259">
        <v>12</v>
      </c>
      <c r="GW17" s="259">
        <v>12</v>
      </c>
      <c r="GX17" s="259">
        <v>12</v>
      </c>
      <c r="GY17" s="259">
        <v>12</v>
      </c>
      <c r="GZ17" s="259">
        <v>11</v>
      </c>
      <c r="HA17" s="259">
        <v>11</v>
      </c>
      <c r="HB17" s="259">
        <v>11</v>
      </c>
      <c r="HC17" s="259">
        <v>11</v>
      </c>
      <c r="HD17" s="259">
        <v>11</v>
      </c>
      <c r="HE17" s="259">
        <v>11</v>
      </c>
      <c r="HF17" s="259">
        <v>11</v>
      </c>
      <c r="HG17" s="259">
        <v>11</v>
      </c>
      <c r="HH17" s="259">
        <v>11</v>
      </c>
      <c r="HI17" s="259">
        <v>11</v>
      </c>
      <c r="HJ17" s="259">
        <v>11</v>
      </c>
      <c r="HK17" s="259">
        <v>11</v>
      </c>
      <c r="HL17" s="259">
        <v>11</v>
      </c>
      <c r="HM17" s="259">
        <v>11</v>
      </c>
      <c r="HN17" s="259">
        <v>11</v>
      </c>
      <c r="HO17" s="259">
        <v>11</v>
      </c>
      <c r="HP17" s="259">
        <v>11</v>
      </c>
      <c r="HQ17" s="259">
        <v>11</v>
      </c>
      <c r="HR17" s="259">
        <v>11</v>
      </c>
      <c r="HS17" s="259">
        <v>11</v>
      </c>
      <c r="HT17" s="259">
        <v>11</v>
      </c>
      <c r="HU17" s="259">
        <v>11</v>
      </c>
      <c r="HV17" s="259">
        <v>11</v>
      </c>
      <c r="HW17" s="259">
        <v>11</v>
      </c>
      <c r="HX17" s="259">
        <v>11</v>
      </c>
      <c r="HY17" s="259">
        <v>11</v>
      </c>
      <c r="HZ17" s="259">
        <v>11</v>
      </c>
      <c r="IA17" s="259">
        <v>11</v>
      </c>
      <c r="IB17" s="259">
        <v>11</v>
      </c>
      <c r="IC17" s="259">
        <v>11</v>
      </c>
      <c r="ID17" s="259">
        <v>11</v>
      </c>
      <c r="IE17" s="259">
        <v>11</v>
      </c>
      <c r="IF17" s="259">
        <v>11</v>
      </c>
      <c r="IG17" s="259">
        <v>11</v>
      </c>
      <c r="IH17" s="259">
        <v>11</v>
      </c>
      <c r="II17" s="259">
        <v>11</v>
      </c>
      <c r="IJ17" s="261"/>
      <c r="IK17" s="259">
        <v>11</v>
      </c>
      <c r="IL17" s="259">
        <v>11</v>
      </c>
      <c r="IM17" s="261"/>
      <c r="IN17" s="261"/>
      <c r="IO17" s="261"/>
      <c r="IP17" s="261"/>
      <c r="IQ17" s="261"/>
      <c r="IR17" s="261"/>
      <c r="IS17" s="261"/>
      <c r="IT17" s="261"/>
      <c r="IU17" s="261"/>
      <c r="IV17" s="261"/>
      <c r="IW17" s="261"/>
      <c r="IX17" s="261"/>
      <c r="IY17" s="261"/>
      <c r="IZ17" s="261"/>
      <c r="JA17" s="261"/>
      <c r="JB17" s="261"/>
      <c r="JC17" s="261"/>
      <c r="JD17" s="261"/>
      <c r="JE17" s="261"/>
      <c r="JF17" s="261"/>
      <c r="JG17" s="261"/>
      <c r="JH17" s="261"/>
      <c r="JI17" s="261"/>
      <c r="JJ17" s="261"/>
      <c r="JK17" s="261"/>
      <c r="JL17" s="261"/>
      <c r="JM17" s="261"/>
      <c r="JN17" s="261"/>
      <c r="JO17" s="261"/>
      <c r="JP17" s="261"/>
      <c r="JQ17" s="261"/>
      <c r="JR17" s="261"/>
      <c r="JS17" s="261"/>
      <c r="JT17" s="261"/>
      <c r="JU17" s="261"/>
      <c r="JV17" s="261"/>
      <c r="JW17" s="261"/>
      <c r="JX17" s="261"/>
      <c r="JY17" s="261"/>
      <c r="JZ17" s="261"/>
      <c r="KA17" s="261"/>
      <c r="KB17" s="261"/>
      <c r="KC17" s="261"/>
      <c r="KD17" s="261"/>
      <c r="KE17" s="261"/>
      <c r="KF17" s="261"/>
      <c r="KG17" s="261"/>
      <c r="KH17" s="261"/>
      <c r="KI17" s="261"/>
      <c r="KJ17" s="261"/>
      <c r="KK17" s="261"/>
      <c r="KL17" s="261"/>
      <c r="KM17" s="261"/>
      <c r="KN17" s="261"/>
      <c r="KO17" s="261"/>
      <c r="KP17" s="261"/>
      <c r="KQ17" s="261"/>
      <c r="KR17" s="261"/>
      <c r="KS17" s="261"/>
      <c r="KT17" s="261"/>
      <c r="KU17" s="261"/>
      <c r="KV17" s="261"/>
      <c r="KW17" s="261"/>
      <c r="KX17" s="261"/>
      <c r="KY17" s="261"/>
      <c r="KZ17" s="261"/>
      <c r="LA17" s="261"/>
      <c r="LB17" s="261"/>
      <c r="LC17" s="261"/>
      <c r="LD17" s="261"/>
      <c r="LE17" s="261"/>
      <c r="LF17" s="261"/>
      <c r="LG17" s="261"/>
      <c r="LH17" s="261"/>
      <c r="LI17" s="261"/>
      <c r="LJ17" s="261"/>
      <c r="LK17" s="261"/>
      <c r="LL17" s="261"/>
      <c r="LM17" s="261"/>
      <c r="LN17" s="261"/>
      <c r="LO17" s="261"/>
      <c r="LP17" s="261"/>
      <c r="LQ17" s="261"/>
      <c r="LR17" s="261"/>
      <c r="LS17" s="261"/>
      <c r="LT17" s="261"/>
      <c r="LU17" s="261"/>
      <c r="LV17" s="261"/>
      <c r="LW17" s="261"/>
      <c r="LX17" s="261"/>
      <c r="LY17" s="261"/>
      <c r="LZ17" s="261"/>
      <c r="MA17" s="261"/>
      <c r="MB17" s="261"/>
      <c r="MC17" s="261"/>
      <c r="MD17" s="261"/>
      <c r="ME17" s="261"/>
      <c r="MF17" s="306"/>
      <c r="MG17" s="306"/>
      <c r="MH17" s="306"/>
      <c r="MI17" s="306"/>
      <c r="MJ17" s="306"/>
      <c r="MK17" s="306"/>
      <c r="ML17" s="306"/>
      <c r="MM17" s="306"/>
      <c r="MN17" s="306"/>
      <c r="MO17" s="306"/>
      <c r="MP17" s="306"/>
      <c r="MQ17" s="306"/>
      <c r="MR17" s="306"/>
      <c r="MS17" s="306"/>
      <c r="MT17" s="306"/>
      <c r="MU17" s="306"/>
      <c r="MV17" s="306"/>
      <c r="MW17" s="306"/>
      <c r="MX17" s="306"/>
      <c r="MY17" s="306"/>
      <c r="MZ17" s="306"/>
      <c r="NA17" s="306"/>
      <c r="NB17" s="306"/>
      <c r="NC17" s="306"/>
      <c r="ND17" s="306"/>
      <c r="NE17" s="306"/>
      <c r="NF17" s="306"/>
      <c r="NG17" s="306"/>
      <c r="NH17" s="306"/>
      <c r="NI17" s="306"/>
    </row>
    <row r="18" spans="1:373" x14ac:dyDescent="0.2">
      <c r="A18" s="132" t="s">
        <v>739</v>
      </c>
      <c r="B18" s="133" t="s">
        <v>1333</v>
      </c>
      <c r="C18" s="134"/>
      <c r="D18" s="242" t="s">
        <v>1352</v>
      </c>
      <c r="E18" s="242">
        <v>0</v>
      </c>
      <c r="F18" s="243" t="s">
        <v>1370</v>
      </c>
      <c r="G18" s="243" t="s">
        <v>1384</v>
      </c>
      <c r="H18" s="243" t="s">
        <v>961</v>
      </c>
      <c r="I18" s="243">
        <v>0</v>
      </c>
      <c r="J18" s="243">
        <v>0</v>
      </c>
      <c r="K18" s="243">
        <v>0</v>
      </c>
      <c r="L18" s="243" t="s">
        <v>1386</v>
      </c>
      <c r="M18" s="243">
        <v>0</v>
      </c>
      <c r="N18" s="243" t="s">
        <v>1218</v>
      </c>
      <c r="O18" s="243">
        <v>0</v>
      </c>
      <c r="P18" s="243">
        <v>0</v>
      </c>
      <c r="Q18" s="243">
        <v>0</v>
      </c>
      <c r="R18" s="135"/>
      <c r="S18" s="135"/>
      <c r="T18" s="135"/>
      <c r="U18" s="135"/>
      <c r="V18" s="135"/>
      <c r="W18" s="135">
        <v>0</v>
      </c>
      <c r="X18" s="135">
        <v>0</v>
      </c>
      <c r="Y18" s="135">
        <v>0</v>
      </c>
      <c r="Z18" s="136">
        <v>315.64999999999998</v>
      </c>
      <c r="AA18" s="136">
        <v>623.30999999999995</v>
      </c>
      <c r="AB18" s="136">
        <v>0</v>
      </c>
      <c r="AC18" s="137">
        <v>0</v>
      </c>
      <c r="AD18" s="137">
        <v>0</v>
      </c>
      <c r="AE18" s="138">
        <v>10</v>
      </c>
      <c r="AF18" s="138">
        <v>8</v>
      </c>
      <c r="AG18" s="138">
        <v>2</v>
      </c>
      <c r="AH18" s="139">
        <v>1</v>
      </c>
      <c r="AI18" s="139" t="s">
        <v>1316</v>
      </c>
      <c r="AJ18" s="138" t="s">
        <v>3630</v>
      </c>
      <c r="AK18" s="195" t="s">
        <v>1316</v>
      </c>
      <c r="AL18" s="138" t="s">
        <v>1316</v>
      </c>
      <c r="AM18" s="27" t="s">
        <v>1316</v>
      </c>
      <c r="AN18" s="138">
        <v>0</v>
      </c>
      <c r="AO18" s="140">
        <v>0</v>
      </c>
      <c r="AP18" s="140">
        <v>0</v>
      </c>
      <c r="AQ18" s="140">
        <v>0</v>
      </c>
      <c r="AR18" s="138">
        <v>0</v>
      </c>
      <c r="AS18" s="138">
        <v>0</v>
      </c>
      <c r="AT18" s="198"/>
      <c r="AU18" s="198"/>
      <c r="AV18" s="198"/>
      <c r="AW18" s="211" t="s">
        <v>790</v>
      </c>
      <c r="AX18" s="211" t="s">
        <v>1324</v>
      </c>
      <c r="AY18" s="141"/>
      <c r="AZ18" s="141"/>
      <c r="BA18" s="142">
        <v>1</v>
      </c>
      <c r="BB18" s="142" t="s">
        <v>527</v>
      </c>
      <c r="BC18" s="142"/>
      <c r="BD18" s="142">
        <v>1</v>
      </c>
      <c r="BE18" s="143" t="s">
        <v>541</v>
      </c>
      <c r="BF18" s="144">
        <v>1</v>
      </c>
      <c r="BG18" s="145"/>
      <c r="BH18" s="212"/>
      <c r="BI18" s="213"/>
      <c r="BJ18" s="146">
        <v>0</v>
      </c>
      <c r="BK18" s="214">
        <v>0</v>
      </c>
      <c r="BL18" s="13">
        <v>0</v>
      </c>
      <c r="BM18" s="13">
        <v>0</v>
      </c>
      <c r="BN18" s="27" t="s">
        <v>1317</v>
      </c>
      <c r="BO18" s="13" t="s">
        <v>1317</v>
      </c>
      <c r="BP18" s="147">
        <v>2</v>
      </c>
      <c r="BQ18" s="148"/>
      <c r="BR18" s="149"/>
      <c r="BS18" s="138">
        <v>1000000000</v>
      </c>
      <c r="BT18" s="150">
        <v>3</v>
      </c>
      <c r="BU18" s="151">
        <v>0</v>
      </c>
      <c r="BV18" s="150">
        <v>0</v>
      </c>
      <c r="BW18" s="152">
        <v>0</v>
      </c>
      <c r="BX18" s="152">
        <v>0</v>
      </c>
      <c r="BY18" s="152">
        <v>0</v>
      </c>
      <c r="BZ18" s="150">
        <v>0</v>
      </c>
      <c r="CA18" s="150">
        <v>0</v>
      </c>
      <c r="CB18" s="150">
        <v>3</v>
      </c>
      <c r="CC18" s="151">
        <v>0</v>
      </c>
      <c r="CD18" s="150"/>
      <c r="CE18" s="150"/>
      <c r="CF18" s="153">
        <v>0</v>
      </c>
      <c r="CG18" s="154">
        <v>0</v>
      </c>
      <c r="CH18" s="148">
        <v>0</v>
      </c>
      <c r="CI18" s="155"/>
      <c r="CJ18" s="156" t="s">
        <v>1316</v>
      </c>
      <c r="CK18" s="157" t="s">
        <v>1316</v>
      </c>
      <c r="CL18" s="154">
        <v>0</v>
      </c>
      <c r="CM18" s="154">
        <v>0</v>
      </c>
      <c r="CN18" s="151">
        <v>0</v>
      </c>
      <c r="CO18" s="151">
        <v>0</v>
      </c>
      <c r="CP18" s="158"/>
      <c r="CQ18" s="151">
        <v>0</v>
      </c>
      <c r="CR18" s="199">
        <v>42636</v>
      </c>
      <c r="CS18" s="200">
        <v>43185</v>
      </c>
      <c r="CT18" s="201">
        <v>43255</v>
      </c>
      <c r="CU18" s="201">
        <v>0</v>
      </c>
      <c r="CV18" s="201">
        <v>0</v>
      </c>
      <c r="CW18" s="201" t="s">
        <v>1316</v>
      </c>
      <c r="CX18" s="201" t="s">
        <v>1316</v>
      </c>
      <c r="CY18" s="151">
        <v>0</v>
      </c>
      <c r="CZ18" s="150">
        <v>0</v>
      </c>
      <c r="DA18" s="151">
        <v>0</v>
      </c>
      <c r="DB18" s="151">
        <v>0</v>
      </c>
      <c r="DC18" s="151">
        <v>0</v>
      </c>
      <c r="DD18" s="151">
        <v>0</v>
      </c>
      <c r="DE18" s="159">
        <v>0.953125</v>
      </c>
      <c r="DF18" s="13" t="s">
        <v>1316</v>
      </c>
      <c r="DG18" s="85" t="s">
        <v>1316</v>
      </c>
      <c r="DH18" s="18" t="b">
        <v>0</v>
      </c>
      <c r="DI18" s="84"/>
      <c r="DJ18" s="84"/>
      <c r="DK18" s="215"/>
      <c r="DL18" s="194"/>
      <c r="DM18" s="216"/>
      <c r="DN18" s="151"/>
      <c r="DO18" s="84"/>
      <c r="DP18" s="84"/>
      <c r="DQ18" s="84"/>
      <c r="DR18" s="84"/>
      <c r="DS18" s="84"/>
      <c r="DT18" s="84"/>
      <c r="DU18" s="84"/>
      <c r="DV18" s="18"/>
      <c r="DW18" s="18"/>
      <c r="DX18" s="18"/>
      <c r="DY18" s="197"/>
      <c r="DZ18" s="197">
        <v>0</v>
      </c>
      <c r="EA18" s="197">
        <v>0</v>
      </c>
      <c r="EB18" s="197">
        <v>0</v>
      </c>
      <c r="EC18" s="197">
        <v>0</v>
      </c>
      <c r="ED18" s="197">
        <v>0</v>
      </c>
      <c r="EE18" s="197">
        <v>0</v>
      </c>
      <c r="EF18" s="197">
        <v>0</v>
      </c>
      <c r="EG18" s="219"/>
      <c r="EH18" s="218">
        <v>10</v>
      </c>
      <c r="EI18" s="218">
        <v>10</v>
      </c>
      <c r="EJ18" s="218">
        <v>9</v>
      </c>
      <c r="EK18" s="218">
        <v>9</v>
      </c>
      <c r="EL18" s="218">
        <v>9</v>
      </c>
      <c r="EM18" s="218">
        <v>8</v>
      </c>
      <c r="EN18" s="218">
        <v>7</v>
      </c>
      <c r="EO18" s="218">
        <v>7</v>
      </c>
      <c r="EP18" s="218">
        <v>7</v>
      </c>
      <c r="EQ18" s="218">
        <v>5</v>
      </c>
      <c r="ER18" s="218">
        <v>3</v>
      </c>
      <c r="ES18" s="218">
        <v>3</v>
      </c>
      <c r="ET18" s="218">
        <v>3</v>
      </c>
      <c r="EU18" s="218">
        <v>3</v>
      </c>
      <c r="EV18" s="218">
        <v>3</v>
      </c>
      <c r="EW18" s="218">
        <v>3</v>
      </c>
      <c r="EX18" s="218">
        <v>3</v>
      </c>
      <c r="EY18" s="218">
        <v>3</v>
      </c>
      <c r="EZ18" s="218">
        <v>3</v>
      </c>
      <c r="FA18" s="218">
        <v>3</v>
      </c>
      <c r="FB18" s="218">
        <v>3</v>
      </c>
      <c r="FC18" s="218">
        <v>3</v>
      </c>
      <c r="FD18" s="218">
        <v>3</v>
      </c>
      <c r="FE18" s="218">
        <v>3</v>
      </c>
      <c r="FF18" s="218">
        <v>3</v>
      </c>
      <c r="FG18" s="218">
        <v>3</v>
      </c>
      <c r="FH18" s="218">
        <v>3</v>
      </c>
      <c r="FI18" s="218">
        <v>3</v>
      </c>
      <c r="FJ18" s="218">
        <v>3</v>
      </c>
      <c r="FK18" s="218">
        <v>3</v>
      </c>
      <c r="FL18" s="218">
        <v>3</v>
      </c>
      <c r="FM18" s="218">
        <v>3</v>
      </c>
      <c r="FN18" s="218">
        <v>3</v>
      </c>
      <c r="FO18" s="218">
        <v>3</v>
      </c>
      <c r="FP18" s="218">
        <v>3</v>
      </c>
      <c r="FQ18" s="218">
        <v>3</v>
      </c>
      <c r="FR18" s="218">
        <v>3</v>
      </c>
      <c r="FS18" s="218">
        <v>3</v>
      </c>
      <c r="FT18" s="218">
        <v>3</v>
      </c>
      <c r="FU18" s="218">
        <v>3</v>
      </c>
      <c r="FV18" s="218">
        <v>3</v>
      </c>
      <c r="FW18" s="218">
        <v>3</v>
      </c>
      <c r="FX18" s="218">
        <v>3</v>
      </c>
      <c r="FY18" s="218">
        <v>3</v>
      </c>
      <c r="FZ18" s="218">
        <v>3</v>
      </c>
      <c r="GA18" s="218">
        <v>3</v>
      </c>
      <c r="GB18" s="218">
        <v>3</v>
      </c>
      <c r="GC18" s="218">
        <v>3</v>
      </c>
      <c r="GD18" s="218">
        <v>3</v>
      </c>
      <c r="GE18" s="219"/>
      <c r="GF18" s="218">
        <v>3</v>
      </c>
      <c r="GG18" s="218">
        <v>3</v>
      </c>
      <c r="GH18" s="218">
        <v>3</v>
      </c>
      <c r="GI18" s="218">
        <v>3</v>
      </c>
      <c r="GJ18" s="218">
        <v>3</v>
      </c>
      <c r="GK18" s="218">
        <v>3</v>
      </c>
      <c r="GL18" s="218">
        <v>3</v>
      </c>
      <c r="GM18" s="219"/>
      <c r="GN18" s="218">
        <v>3</v>
      </c>
      <c r="GO18" s="218">
        <v>3</v>
      </c>
      <c r="GP18" s="218">
        <v>3</v>
      </c>
      <c r="GQ18" s="218">
        <v>3</v>
      </c>
      <c r="GR18" s="218">
        <v>3</v>
      </c>
      <c r="GS18" s="218">
        <v>3</v>
      </c>
      <c r="GT18" s="218">
        <v>3</v>
      </c>
      <c r="GU18" s="218">
        <v>3</v>
      </c>
      <c r="GV18" s="218">
        <v>3</v>
      </c>
      <c r="GW18" s="218">
        <v>3</v>
      </c>
      <c r="GX18" s="218">
        <v>3</v>
      </c>
      <c r="GY18" s="218">
        <v>3</v>
      </c>
      <c r="GZ18" s="218">
        <v>3</v>
      </c>
      <c r="HA18" s="218">
        <v>3</v>
      </c>
      <c r="HB18" s="218">
        <v>3</v>
      </c>
      <c r="HC18" s="218">
        <v>3</v>
      </c>
      <c r="HD18" s="218">
        <v>3</v>
      </c>
      <c r="HE18" s="218">
        <v>3</v>
      </c>
      <c r="HF18" s="218">
        <v>3</v>
      </c>
      <c r="HG18" s="218">
        <v>3</v>
      </c>
      <c r="HH18" s="218">
        <v>3</v>
      </c>
      <c r="HI18" s="218">
        <v>3</v>
      </c>
      <c r="HJ18" s="218">
        <v>3</v>
      </c>
      <c r="HK18" s="218">
        <v>3</v>
      </c>
      <c r="HL18" s="218">
        <v>3</v>
      </c>
      <c r="HM18" s="218">
        <v>3</v>
      </c>
      <c r="HN18" s="218">
        <v>3</v>
      </c>
      <c r="HO18" s="218">
        <v>3</v>
      </c>
      <c r="HP18" s="218">
        <v>3</v>
      </c>
      <c r="HQ18" s="218">
        <v>3</v>
      </c>
      <c r="HR18" s="218">
        <v>3</v>
      </c>
      <c r="HS18" s="218">
        <v>3</v>
      </c>
      <c r="HT18" s="218">
        <v>3</v>
      </c>
      <c r="HU18" s="218">
        <v>3</v>
      </c>
      <c r="HV18" s="218">
        <v>3</v>
      </c>
      <c r="HW18" s="218">
        <v>3</v>
      </c>
      <c r="HX18" s="218">
        <v>3</v>
      </c>
      <c r="HY18" s="218">
        <v>3</v>
      </c>
      <c r="HZ18" s="218">
        <v>3</v>
      </c>
      <c r="IA18" s="218">
        <v>3</v>
      </c>
      <c r="IB18" s="218">
        <v>3</v>
      </c>
      <c r="IC18" s="218">
        <v>3</v>
      </c>
      <c r="ID18" s="218">
        <v>3</v>
      </c>
      <c r="IE18" s="218">
        <v>3</v>
      </c>
      <c r="IF18" s="218">
        <v>3</v>
      </c>
      <c r="IG18" s="218">
        <v>3</v>
      </c>
      <c r="IH18" s="218">
        <v>3</v>
      </c>
      <c r="II18" s="218">
        <v>3</v>
      </c>
      <c r="IJ18" s="219"/>
      <c r="IK18" s="218">
        <v>3</v>
      </c>
      <c r="IL18" s="218">
        <v>3</v>
      </c>
      <c r="IM18" s="219"/>
      <c r="IN18" s="219"/>
      <c r="IO18" s="219"/>
      <c r="IP18" s="219"/>
      <c r="IQ18" s="219"/>
      <c r="IR18" s="219"/>
      <c r="IS18" s="219"/>
      <c r="IT18" s="219"/>
      <c r="IU18" s="219"/>
      <c r="IV18" s="219"/>
      <c r="IW18" s="219"/>
      <c r="IX18" s="219"/>
      <c r="IY18" s="219"/>
      <c r="IZ18" s="219"/>
      <c r="JA18" s="219"/>
      <c r="JB18" s="219"/>
      <c r="JC18" s="219"/>
      <c r="JD18" s="219"/>
      <c r="JE18" s="219"/>
      <c r="JF18" s="219"/>
      <c r="JG18" s="219"/>
      <c r="JH18" s="219"/>
      <c r="JI18" s="219"/>
      <c r="JJ18" s="219"/>
      <c r="JK18" s="219"/>
      <c r="JL18" s="219"/>
      <c r="JM18" s="219"/>
      <c r="JN18" s="219"/>
      <c r="JO18" s="219"/>
      <c r="JP18" s="219"/>
      <c r="JQ18" s="219"/>
      <c r="JR18" s="219"/>
      <c r="JS18" s="219"/>
      <c r="JT18" s="219"/>
      <c r="JU18" s="219"/>
      <c r="JV18" s="219"/>
      <c r="JW18" s="219"/>
      <c r="JX18" s="219"/>
      <c r="JY18" s="219"/>
      <c r="JZ18" s="219"/>
      <c r="KA18" s="219"/>
      <c r="KB18" s="219"/>
      <c r="KC18" s="219"/>
      <c r="KD18" s="219"/>
      <c r="KE18" s="219"/>
      <c r="KF18" s="219"/>
      <c r="KG18" s="219"/>
      <c r="KH18" s="219"/>
      <c r="KI18" s="219"/>
      <c r="KJ18" s="219"/>
      <c r="KK18" s="219"/>
      <c r="KL18" s="219"/>
      <c r="KM18" s="219"/>
      <c r="KN18" s="219"/>
      <c r="KO18" s="219"/>
      <c r="KP18" s="219"/>
      <c r="KQ18" s="219"/>
      <c r="KR18" s="219"/>
      <c r="KS18" s="219"/>
      <c r="KT18" s="219"/>
      <c r="KU18" s="219"/>
      <c r="KV18" s="219"/>
      <c r="KW18" s="219"/>
      <c r="KX18" s="219"/>
      <c r="KY18" s="219"/>
      <c r="KZ18" s="219"/>
      <c r="LA18" s="219"/>
      <c r="LB18" s="219"/>
      <c r="LC18" s="219"/>
      <c r="LD18" s="219"/>
      <c r="LE18" s="219"/>
      <c r="LF18" s="219"/>
      <c r="LG18" s="219"/>
      <c r="LH18" s="219"/>
      <c r="LI18" s="219"/>
      <c r="LJ18" s="219"/>
      <c r="LK18" s="219"/>
      <c r="LL18" s="219"/>
      <c r="LM18" s="219"/>
      <c r="LN18" s="219"/>
      <c r="LO18" s="219"/>
      <c r="LP18" s="219"/>
      <c r="LQ18" s="219"/>
      <c r="LR18" s="219"/>
      <c r="LS18" s="219"/>
      <c r="LT18" s="219"/>
      <c r="LU18" s="219"/>
      <c r="LV18" s="219"/>
      <c r="LW18" s="219"/>
      <c r="LX18" s="219"/>
      <c r="LY18" s="219"/>
      <c r="LZ18" s="219"/>
      <c r="MA18" s="219"/>
      <c r="MB18" s="219"/>
      <c r="MC18" s="219"/>
      <c r="MD18" s="219"/>
      <c r="ME18" s="219"/>
      <c r="MF18" s="305"/>
      <c r="MG18" s="305"/>
      <c r="MH18" s="305"/>
      <c r="MI18" s="305"/>
      <c r="MJ18" s="305"/>
      <c r="MK18" s="305"/>
      <c r="ML18" s="305"/>
      <c r="MM18" s="305"/>
      <c r="MN18" s="305"/>
      <c r="MO18" s="305"/>
      <c r="MP18" s="305"/>
      <c r="MQ18" s="305"/>
      <c r="MR18" s="305"/>
      <c r="MS18" s="305"/>
      <c r="MT18" s="305"/>
      <c r="MU18" s="305"/>
      <c r="MV18" s="305"/>
      <c r="MW18" s="305"/>
      <c r="MX18" s="305"/>
      <c r="MY18" s="305"/>
      <c r="MZ18" s="305"/>
      <c r="NA18" s="305"/>
      <c r="NB18" s="305"/>
      <c r="NC18" s="305"/>
      <c r="ND18" s="305"/>
      <c r="NE18" s="305"/>
      <c r="NF18" s="305"/>
      <c r="NG18" s="305"/>
      <c r="NH18" s="305"/>
      <c r="NI18" s="305"/>
    </row>
    <row r="19" spans="1:373" x14ac:dyDescent="0.2">
      <c r="A19" s="132" t="s">
        <v>739</v>
      </c>
      <c r="B19" s="133" t="s">
        <v>931</v>
      </c>
      <c r="C19" s="134"/>
      <c r="D19" s="242" t="s">
        <v>1248</v>
      </c>
      <c r="E19" s="242">
        <v>0</v>
      </c>
      <c r="F19" s="243" t="s">
        <v>1249</v>
      </c>
      <c r="G19" s="243" t="s">
        <v>960</v>
      </c>
      <c r="H19" s="243" t="s">
        <v>961</v>
      </c>
      <c r="I19" s="243">
        <v>0</v>
      </c>
      <c r="J19" s="243">
        <v>0</v>
      </c>
      <c r="K19" s="243">
        <v>0</v>
      </c>
      <c r="L19" s="243" t="s">
        <v>1219</v>
      </c>
      <c r="M19" s="243">
        <v>0</v>
      </c>
      <c r="N19" s="243" t="s">
        <v>1217</v>
      </c>
      <c r="O19" s="243">
        <v>0</v>
      </c>
      <c r="P19" s="243">
        <v>0</v>
      </c>
      <c r="Q19" s="243">
        <v>0</v>
      </c>
      <c r="R19" s="135"/>
      <c r="S19" s="135"/>
      <c r="T19" s="135"/>
      <c r="U19" s="135"/>
      <c r="V19" s="135"/>
      <c r="W19" s="135">
        <v>0</v>
      </c>
      <c r="X19" s="135">
        <v>0</v>
      </c>
      <c r="Y19" s="135">
        <v>0</v>
      </c>
      <c r="Z19" s="136">
        <v>310.69</v>
      </c>
      <c r="AA19" s="136">
        <v>714.59</v>
      </c>
      <c r="AB19" s="136">
        <v>0</v>
      </c>
      <c r="AC19" s="137">
        <v>0</v>
      </c>
      <c r="AD19" s="137">
        <v>0</v>
      </c>
      <c r="AE19" s="138">
        <v>10</v>
      </c>
      <c r="AF19" s="138">
        <v>8</v>
      </c>
      <c r="AG19" s="138">
        <v>2</v>
      </c>
      <c r="AH19" s="139">
        <v>1</v>
      </c>
      <c r="AI19" s="139" t="s">
        <v>1387</v>
      </c>
      <c r="AJ19" s="138" t="s">
        <v>3632</v>
      </c>
      <c r="AK19" s="195" t="s">
        <v>3627</v>
      </c>
      <c r="AL19" s="138" t="s">
        <v>1316</v>
      </c>
      <c r="AM19" s="27" t="s">
        <v>1316</v>
      </c>
      <c r="AN19" s="138">
        <v>12.55</v>
      </c>
      <c r="AO19" s="140">
        <v>3.3864541832669319</v>
      </c>
      <c r="AP19" s="140">
        <v>0.39840637450199201</v>
      </c>
      <c r="AQ19" s="140">
        <v>1.9920318725099601E-2</v>
      </c>
      <c r="AR19" s="138">
        <v>0</v>
      </c>
      <c r="AS19" s="138">
        <v>0</v>
      </c>
      <c r="AT19" s="198"/>
      <c r="AU19" s="198"/>
      <c r="AV19" s="198"/>
      <c r="AW19" s="211" t="s">
        <v>790</v>
      </c>
      <c r="AX19" s="211" t="s">
        <v>1324</v>
      </c>
      <c r="AY19" s="141"/>
      <c r="AZ19" s="141"/>
      <c r="BA19" s="142">
        <v>1</v>
      </c>
      <c r="BB19" s="142" t="s">
        <v>527</v>
      </c>
      <c r="BC19" s="142"/>
      <c r="BD19" s="142">
        <v>2</v>
      </c>
      <c r="BE19" s="143" t="s">
        <v>541</v>
      </c>
      <c r="BF19" s="144">
        <v>1</v>
      </c>
      <c r="BG19" s="145"/>
      <c r="BH19" s="212"/>
      <c r="BI19" s="213"/>
      <c r="BJ19" s="146">
        <v>170</v>
      </c>
      <c r="BK19" s="214">
        <v>189</v>
      </c>
      <c r="BL19" s="13">
        <v>113</v>
      </c>
      <c r="BM19" s="13">
        <v>56</v>
      </c>
      <c r="BN19" s="27" t="s">
        <v>1393</v>
      </c>
      <c r="BO19" s="13" t="s">
        <v>1393</v>
      </c>
      <c r="BP19" s="147">
        <v>120</v>
      </c>
      <c r="BQ19" s="148"/>
      <c r="BR19" s="149"/>
      <c r="BS19" s="138">
        <v>1000000000</v>
      </c>
      <c r="BT19" s="150">
        <v>18</v>
      </c>
      <c r="BU19" s="151">
        <v>0.89</v>
      </c>
      <c r="BV19" s="150">
        <v>2</v>
      </c>
      <c r="BW19" s="152">
        <v>0</v>
      </c>
      <c r="BX19" s="152">
        <v>0</v>
      </c>
      <c r="BY19" s="152">
        <v>0</v>
      </c>
      <c r="BZ19" s="150">
        <v>0</v>
      </c>
      <c r="CA19" s="150">
        <v>0</v>
      </c>
      <c r="CB19" s="150">
        <v>20</v>
      </c>
      <c r="CC19" s="151">
        <v>0.88</v>
      </c>
      <c r="CD19" s="150"/>
      <c r="CE19" s="150"/>
      <c r="CF19" s="153">
        <v>150</v>
      </c>
      <c r="CG19" s="154">
        <v>34</v>
      </c>
      <c r="CH19" s="148">
        <v>10</v>
      </c>
      <c r="CI19" s="155"/>
      <c r="CJ19" s="156" t="s">
        <v>1316</v>
      </c>
      <c r="CK19" s="157" t="s">
        <v>1316</v>
      </c>
      <c r="CL19" s="154">
        <v>15348.2</v>
      </c>
      <c r="CM19" s="154">
        <v>0</v>
      </c>
      <c r="CN19" s="151">
        <v>0</v>
      </c>
      <c r="CO19" s="151">
        <v>6.2400463484502238</v>
      </c>
      <c r="CP19" s="158"/>
      <c r="CQ19" s="151">
        <v>0.05</v>
      </c>
      <c r="CR19" s="199">
        <v>42970</v>
      </c>
      <c r="CS19" s="200">
        <v>43185</v>
      </c>
      <c r="CT19" s="201">
        <v>43255</v>
      </c>
      <c r="CU19" s="201">
        <v>43195</v>
      </c>
      <c r="CV19" s="201">
        <v>43179</v>
      </c>
      <c r="CW19" s="201">
        <v>43209</v>
      </c>
      <c r="CX19" s="201">
        <v>43251</v>
      </c>
      <c r="CY19" s="151">
        <v>0.45866522186112901</v>
      </c>
      <c r="CZ19" s="150">
        <v>0</v>
      </c>
      <c r="DA19" s="151">
        <v>0</v>
      </c>
      <c r="DB19" s="151">
        <v>0.265625</v>
      </c>
      <c r="DC19" s="151">
        <v>0.453125</v>
      </c>
      <c r="DD19" s="151">
        <v>0.234375</v>
      </c>
      <c r="DE19" s="159">
        <v>0</v>
      </c>
      <c r="DF19" s="13" t="s">
        <v>1316</v>
      </c>
      <c r="DG19" s="85" t="s">
        <v>1394</v>
      </c>
      <c r="DH19" s="18" t="b">
        <v>0</v>
      </c>
      <c r="DI19" s="84"/>
      <c r="DJ19" s="84"/>
      <c r="DK19" s="215"/>
      <c r="DL19" s="194"/>
      <c r="DM19" s="216"/>
      <c r="DN19" s="151"/>
      <c r="DO19" s="84"/>
      <c r="DP19" s="84"/>
      <c r="DQ19" s="84"/>
      <c r="DR19" s="84"/>
      <c r="DS19" s="84"/>
      <c r="DT19" s="84"/>
      <c r="DU19" s="84"/>
      <c r="DV19" s="18"/>
      <c r="DW19" s="18"/>
      <c r="DX19" s="18"/>
      <c r="DY19" s="197"/>
      <c r="DZ19" s="197">
        <v>0</v>
      </c>
      <c r="EA19" s="197">
        <v>0</v>
      </c>
      <c r="EB19" s="197">
        <v>0</v>
      </c>
      <c r="EC19" s="197">
        <v>0</v>
      </c>
      <c r="ED19" s="197">
        <v>0</v>
      </c>
      <c r="EE19" s="197">
        <v>0</v>
      </c>
      <c r="EF19" s="197">
        <v>2</v>
      </c>
      <c r="EG19" s="221"/>
      <c r="EH19" s="248">
        <v>103</v>
      </c>
      <c r="EI19" s="249">
        <v>26</v>
      </c>
      <c r="EJ19" s="249">
        <v>19</v>
      </c>
      <c r="EK19" s="249">
        <v>13</v>
      </c>
      <c r="EL19" s="249">
        <v>9</v>
      </c>
      <c r="EM19" s="250">
        <v>66</v>
      </c>
      <c r="EN19" s="248">
        <v>87</v>
      </c>
      <c r="EO19" s="250">
        <v>97</v>
      </c>
      <c r="EP19" s="250">
        <v>84</v>
      </c>
      <c r="EQ19" s="249">
        <v>51</v>
      </c>
      <c r="ER19" s="250">
        <v>78</v>
      </c>
      <c r="ES19" s="250">
        <v>64</v>
      </c>
      <c r="ET19" s="250">
        <v>87</v>
      </c>
      <c r="EU19" s="248">
        <v>133</v>
      </c>
      <c r="EV19" s="248">
        <v>127</v>
      </c>
      <c r="EW19" s="250">
        <v>108</v>
      </c>
      <c r="EX19" s="250">
        <v>108</v>
      </c>
      <c r="EY19" s="250">
        <v>108</v>
      </c>
      <c r="EZ19" s="250">
        <v>109</v>
      </c>
      <c r="FA19" s="250">
        <v>107</v>
      </c>
      <c r="FB19" s="250">
        <v>107</v>
      </c>
      <c r="FC19" s="250">
        <v>107</v>
      </c>
      <c r="FD19" s="250">
        <v>107</v>
      </c>
      <c r="FE19" s="250">
        <v>107</v>
      </c>
      <c r="FF19" s="248">
        <v>139</v>
      </c>
      <c r="FG19" s="248">
        <v>139</v>
      </c>
      <c r="FH19" s="248">
        <v>139</v>
      </c>
      <c r="FI19" s="248">
        <v>139</v>
      </c>
      <c r="FJ19" s="248">
        <v>139</v>
      </c>
      <c r="FK19" s="248">
        <v>139</v>
      </c>
      <c r="FL19" s="248">
        <v>139</v>
      </c>
      <c r="FM19" s="248">
        <v>139</v>
      </c>
      <c r="FN19" s="248">
        <v>139</v>
      </c>
      <c r="FO19" s="248">
        <v>139</v>
      </c>
      <c r="FP19" s="248">
        <v>138</v>
      </c>
      <c r="FQ19" s="248">
        <v>130</v>
      </c>
      <c r="FR19" s="248">
        <v>130</v>
      </c>
      <c r="FS19" s="248">
        <v>130</v>
      </c>
      <c r="FT19" s="248">
        <v>130</v>
      </c>
      <c r="FU19" s="248">
        <v>125</v>
      </c>
      <c r="FV19" s="248">
        <v>124</v>
      </c>
      <c r="FW19" s="248">
        <v>123</v>
      </c>
      <c r="FX19" s="248">
        <v>153</v>
      </c>
      <c r="FY19" s="248">
        <v>151</v>
      </c>
      <c r="FZ19" s="248">
        <v>151</v>
      </c>
      <c r="GA19" s="248">
        <v>151</v>
      </c>
      <c r="GB19" s="248">
        <v>149</v>
      </c>
      <c r="GC19" s="248">
        <v>149</v>
      </c>
      <c r="GD19" s="248">
        <v>147</v>
      </c>
      <c r="GE19" s="251"/>
      <c r="GF19" s="248">
        <v>133</v>
      </c>
      <c r="GG19" s="248">
        <v>132</v>
      </c>
      <c r="GH19" s="248">
        <v>131</v>
      </c>
      <c r="GI19" s="248">
        <v>129</v>
      </c>
      <c r="GJ19" s="248">
        <v>129</v>
      </c>
      <c r="GK19" s="248">
        <v>127</v>
      </c>
      <c r="GL19" s="248">
        <v>124</v>
      </c>
      <c r="GM19" s="251"/>
      <c r="GN19" s="248">
        <v>116</v>
      </c>
      <c r="GO19" s="248">
        <v>116</v>
      </c>
      <c r="GP19" s="248">
        <v>116</v>
      </c>
      <c r="GQ19" s="248">
        <v>116</v>
      </c>
      <c r="GR19" s="250">
        <v>108</v>
      </c>
      <c r="GS19" s="250">
        <v>106</v>
      </c>
      <c r="GT19" s="250">
        <v>106</v>
      </c>
      <c r="GU19" s="250">
        <v>99</v>
      </c>
      <c r="GV19" s="250">
        <v>97</v>
      </c>
      <c r="GW19" s="250">
        <v>97</v>
      </c>
      <c r="GX19" s="250">
        <v>97</v>
      </c>
      <c r="GY19" s="250">
        <v>97</v>
      </c>
      <c r="GZ19" s="250">
        <v>97</v>
      </c>
      <c r="HA19" s="250">
        <v>84</v>
      </c>
      <c r="HB19" s="250">
        <v>79</v>
      </c>
      <c r="HC19" s="250">
        <v>67</v>
      </c>
      <c r="HD19" s="250">
        <v>67</v>
      </c>
      <c r="HE19" s="250">
        <v>67</v>
      </c>
      <c r="HF19" s="250">
        <v>67</v>
      </c>
      <c r="HG19" s="250">
        <v>67</v>
      </c>
      <c r="HH19" s="250">
        <v>67</v>
      </c>
      <c r="HI19" s="250">
        <v>64</v>
      </c>
      <c r="HJ19" s="250">
        <v>64</v>
      </c>
      <c r="HK19" s="250">
        <v>64</v>
      </c>
      <c r="HL19" s="250">
        <v>64</v>
      </c>
      <c r="HM19" s="250">
        <v>58</v>
      </c>
      <c r="HN19" s="250">
        <v>58</v>
      </c>
      <c r="HO19" s="250">
        <v>58</v>
      </c>
      <c r="HP19" s="250">
        <v>58</v>
      </c>
      <c r="HQ19" s="250">
        <v>58</v>
      </c>
      <c r="HR19" s="250">
        <v>58</v>
      </c>
      <c r="HS19" s="250">
        <v>58</v>
      </c>
      <c r="HT19" s="250">
        <v>58</v>
      </c>
      <c r="HU19" s="249">
        <v>51</v>
      </c>
      <c r="HV19" s="249">
        <v>50</v>
      </c>
      <c r="HW19" s="249">
        <v>50</v>
      </c>
      <c r="HX19" s="249">
        <v>50</v>
      </c>
      <c r="HY19" s="249">
        <v>50</v>
      </c>
      <c r="HZ19" s="249">
        <v>47</v>
      </c>
      <c r="IA19" s="249">
        <v>47</v>
      </c>
      <c r="IB19" s="249">
        <v>45</v>
      </c>
      <c r="IC19" s="249">
        <v>41</v>
      </c>
      <c r="ID19" s="249">
        <v>41</v>
      </c>
      <c r="IE19" s="249">
        <v>41</v>
      </c>
      <c r="IF19" s="249">
        <v>41</v>
      </c>
      <c r="IG19" s="249">
        <v>38</v>
      </c>
      <c r="IH19" s="249">
        <v>32</v>
      </c>
      <c r="II19" s="249">
        <v>28</v>
      </c>
      <c r="IJ19" s="251"/>
      <c r="IK19" s="249">
        <v>18</v>
      </c>
      <c r="IL19" s="249">
        <v>18</v>
      </c>
      <c r="IM19" s="251"/>
      <c r="IN19" s="251"/>
      <c r="IO19" s="251"/>
      <c r="IP19" s="251"/>
      <c r="IQ19" s="251"/>
      <c r="IR19" s="251"/>
      <c r="IS19" s="251"/>
      <c r="IT19" s="251"/>
      <c r="IU19" s="251"/>
      <c r="IV19" s="251"/>
      <c r="IW19" s="251"/>
      <c r="IX19" s="251"/>
      <c r="IY19" s="251"/>
      <c r="IZ19" s="251"/>
      <c r="JA19" s="251"/>
      <c r="JB19" s="251"/>
      <c r="JC19" s="251"/>
      <c r="JD19" s="251"/>
      <c r="JE19" s="251"/>
      <c r="JF19" s="251"/>
      <c r="JG19" s="251"/>
      <c r="JH19" s="251"/>
      <c r="JI19" s="251"/>
      <c r="JJ19" s="251"/>
      <c r="JK19" s="251"/>
      <c r="JL19" s="251"/>
      <c r="JM19" s="251"/>
      <c r="JN19" s="251"/>
      <c r="JO19" s="251"/>
      <c r="JP19" s="251"/>
      <c r="JQ19" s="251"/>
      <c r="JR19" s="251"/>
      <c r="JS19" s="251"/>
      <c r="JT19" s="251"/>
      <c r="JU19" s="251"/>
      <c r="JV19" s="251"/>
      <c r="JW19" s="251"/>
      <c r="JX19" s="251"/>
      <c r="JY19" s="251"/>
      <c r="JZ19" s="251"/>
      <c r="KA19" s="251"/>
      <c r="KB19" s="251"/>
      <c r="KC19" s="251"/>
      <c r="KD19" s="251"/>
      <c r="KE19" s="251"/>
      <c r="KF19" s="251"/>
      <c r="KG19" s="251"/>
      <c r="KH19" s="251"/>
      <c r="KI19" s="251"/>
      <c r="KJ19" s="251"/>
      <c r="KK19" s="251"/>
      <c r="KL19" s="251"/>
      <c r="KM19" s="251"/>
      <c r="KN19" s="251"/>
      <c r="KO19" s="251"/>
      <c r="KP19" s="251"/>
      <c r="KQ19" s="251"/>
      <c r="KR19" s="251"/>
      <c r="KS19" s="251"/>
      <c r="KT19" s="251"/>
      <c r="KU19" s="251"/>
      <c r="KV19" s="251"/>
      <c r="KW19" s="251"/>
      <c r="KX19" s="251"/>
      <c r="KY19" s="251"/>
      <c r="KZ19" s="251"/>
      <c r="LA19" s="251"/>
      <c r="LB19" s="251"/>
      <c r="LC19" s="251"/>
      <c r="LD19" s="251"/>
      <c r="LE19" s="251"/>
      <c r="LF19" s="251"/>
      <c r="LG19" s="251"/>
      <c r="LH19" s="251"/>
      <c r="LI19" s="251"/>
      <c r="LJ19" s="251"/>
      <c r="LK19" s="251"/>
      <c r="LL19" s="251"/>
      <c r="LM19" s="251"/>
      <c r="LN19" s="251"/>
      <c r="LO19" s="251"/>
      <c r="LP19" s="251"/>
      <c r="LQ19" s="251"/>
      <c r="LR19" s="251"/>
      <c r="LS19" s="251"/>
      <c r="LT19" s="251"/>
      <c r="LU19" s="251"/>
      <c r="LV19" s="251"/>
      <c r="LW19" s="251"/>
      <c r="LX19" s="251"/>
      <c r="LY19" s="251"/>
      <c r="LZ19" s="251"/>
      <c r="MA19" s="251"/>
      <c r="MB19" s="251"/>
      <c r="MC19" s="251"/>
      <c r="MD19" s="251"/>
      <c r="ME19" s="251"/>
      <c r="MF19" s="304"/>
      <c r="MG19" s="304"/>
      <c r="MH19" s="304"/>
      <c r="MI19" s="304"/>
      <c r="MJ19" s="304"/>
      <c r="MK19" s="304"/>
      <c r="ML19" s="304"/>
      <c r="MM19" s="304"/>
      <c r="MN19" s="304"/>
      <c r="MO19" s="304"/>
      <c r="MP19" s="304"/>
      <c r="MQ19" s="304"/>
      <c r="MR19" s="304"/>
      <c r="MS19" s="304"/>
      <c r="MT19" s="304"/>
      <c r="MU19" s="304"/>
      <c r="MV19" s="304"/>
      <c r="MW19" s="304"/>
      <c r="MX19" s="304"/>
      <c r="MY19" s="304"/>
      <c r="MZ19" s="304"/>
      <c r="NA19" s="304"/>
      <c r="NB19" s="304"/>
      <c r="NC19" s="304"/>
      <c r="ND19" s="304"/>
      <c r="NE19" s="304"/>
      <c r="NF19" s="304"/>
      <c r="NG19" s="304"/>
      <c r="NH19" s="304"/>
      <c r="NI19" s="304"/>
    </row>
    <row r="20" spans="1:373" x14ac:dyDescent="0.2">
      <c r="A20" s="132" t="s">
        <v>739</v>
      </c>
      <c r="B20" s="133" t="s">
        <v>932</v>
      </c>
      <c r="C20" s="134"/>
      <c r="D20" s="242" t="s">
        <v>1221</v>
      </c>
      <c r="E20" s="242">
        <v>0</v>
      </c>
      <c r="F20" s="243" t="s">
        <v>1222</v>
      </c>
      <c r="G20" s="243" t="s">
        <v>1223</v>
      </c>
      <c r="H20" s="243" t="s">
        <v>961</v>
      </c>
      <c r="I20" s="243">
        <v>0</v>
      </c>
      <c r="J20" s="243">
        <v>0</v>
      </c>
      <c r="K20" s="243">
        <v>0</v>
      </c>
      <c r="L20" s="243" t="s">
        <v>1224</v>
      </c>
      <c r="M20" s="243">
        <v>0</v>
      </c>
      <c r="N20" s="243" t="s">
        <v>1218</v>
      </c>
      <c r="O20" s="243">
        <v>0</v>
      </c>
      <c r="P20" s="243">
        <v>0</v>
      </c>
      <c r="Q20" s="243">
        <v>0</v>
      </c>
      <c r="R20" s="135"/>
      <c r="S20" s="135"/>
      <c r="T20" s="135"/>
      <c r="U20" s="135"/>
      <c r="V20" s="135"/>
      <c r="W20" s="135">
        <v>0</v>
      </c>
      <c r="X20" s="135">
        <v>0</v>
      </c>
      <c r="Y20" s="135">
        <v>0</v>
      </c>
      <c r="Z20" s="136">
        <v>261.19</v>
      </c>
      <c r="AA20" s="136">
        <v>651.08000000000004</v>
      </c>
      <c r="AB20" s="136">
        <v>0</v>
      </c>
      <c r="AC20" s="137">
        <v>0</v>
      </c>
      <c r="AD20" s="137">
        <v>0</v>
      </c>
      <c r="AE20" s="138">
        <v>10</v>
      </c>
      <c r="AF20" s="138">
        <v>8</v>
      </c>
      <c r="AG20" s="138">
        <v>2</v>
      </c>
      <c r="AH20" s="139">
        <v>1</v>
      </c>
      <c r="AI20" s="139" t="s">
        <v>1387</v>
      </c>
      <c r="AJ20" s="138" t="s">
        <v>3632</v>
      </c>
      <c r="AK20" s="195" t="s">
        <v>3637</v>
      </c>
      <c r="AL20" s="138" t="s">
        <v>1316</v>
      </c>
      <c r="AM20" s="27" t="s">
        <v>1316</v>
      </c>
      <c r="AN20" s="138">
        <v>8.4499999999999993</v>
      </c>
      <c r="AO20" s="140">
        <v>5.3254437869822491</v>
      </c>
      <c r="AP20" s="140">
        <v>3.550295857988166</v>
      </c>
      <c r="AQ20" s="140">
        <v>2.9585798816568049E-2</v>
      </c>
      <c r="AR20" s="138">
        <v>0</v>
      </c>
      <c r="AS20" s="138">
        <v>0</v>
      </c>
      <c r="AT20" s="198"/>
      <c r="AU20" s="198"/>
      <c r="AV20" s="198"/>
      <c r="AW20" s="211" t="s">
        <v>790</v>
      </c>
      <c r="AX20" s="211" t="s">
        <v>1324</v>
      </c>
      <c r="AY20" s="141"/>
      <c r="AZ20" s="141"/>
      <c r="BA20" s="142">
        <v>1</v>
      </c>
      <c r="BB20" s="142" t="s">
        <v>527</v>
      </c>
      <c r="BC20" s="142"/>
      <c r="BD20" s="142">
        <v>1</v>
      </c>
      <c r="BE20" s="143" t="s">
        <v>541</v>
      </c>
      <c r="BF20" s="144">
        <v>1</v>
      </c>
      <c r="BG20" s="145"/>
      <c r="BH20" s="212"/>
      <c r="BI20" s="213"/>
      <c r="BJ20" s="146">
        <v>180</v>
      </c>
      <c r="BK20" s="214">
        <v>127</v>
      </c>
      <c r="BL20" s="13">
        <v>120</v>
      </c>
      <c r="BM20" s="13">
        <v>59</v>
      </c>
      <c r="BN20" s="27" t="s">
        <v>1393</v>
      </c>
      <c r="BO20" s="13" t="s">
        <v>1392</v>
      </c>
      <c r="BP20" s="147">
        <v>150</v>
      </c>
      <c r="BQ20" s="148"/>
      <c r="BR20" s="149"/>
      <c r="BS20" s="138">
        <v>1000000000</v>
      </c>
      <c r="BT20" s="150">
        <v>44</v>
      </c>
      <c r="BU20" s="151">
        <v>0.76</v>
      </c>
      <c r="BV20" s="150">
        <v>76</v>
      </c>
      <c r="BW20" s="152">
        <v>0</v>
      </c>
      <c r="BX20" s="152">
        <v>0</v>
      </c>
      <c r="BY20" s="152">
        <v>0</v>
      </c>
      <c r="BZ20" s="150">
        <v>0</v>
      </c>
      <c r="CA20" s="150">
        <v>0</v>
      </c>
      <c r="CB20" s="150">
        <v>120</v>
      </c>
      <c r="CC20" s="151">
        <v>0.33</v>
      </c>
      <c r="CD20" s="150"/>
      <c r="CE20" s="150"/>
      <c r="CF20" s="153">
        <v>60</v>
      </c>
      <c r="CG20" s="154">
        <v>36</v>
      </c>
      <c r="CH20" s="148">
        <v>30</v>
      </c>
      <c r="CI20" s="155"/>
      <c r="CJ20" s="156" t="s">
        <v>1316</v>
      </c>
      <c r="CK20" s="157" t="s">
        <v>1316</v>
      </c>
      <c r="CL20" s="154">
        <v>5848.35</v>
      </c>
      <c r="CM20" s="154">
        <v>0</v>
      </c>
      <c r="CN20" s="151">
        <v>0</v>
      </c>
      <c r="CO20" s="151">
        <v>7.1651747769822745</v>
      </c>
      <c r="CP20" s="158"/>
      <c r="CQ20" s="151">
        <v>0.79</v>
      </c>
      <c r="CR20" s="199">
        <v>42970</v>
      </c>
      <c r="CS20" s="200">
        <v>43185</v>
      </c>
      <c r="CT20" s="201">
        <v>43255</v>
      </c>
      <c r="CU20" s="201">
        <v>43195</v>
      </c>
      <c r="CV20" s="201">
        <v>43179</v>
      </c>
      <c r="CW20" s="201">
        <v>43209</v>
      </c>
      <c r="CX20" s="201">
        <v>43251</v>
      </c>
      <c r="CY20" s="151">
        <v>0.36189741341628634</v>
      </c>
      <c r="CZ20" s="150">
        <v>0</v>
      </c>
      <c r="DA20" s="151">
        <v>0</v>
      </c>
      <c r="DB20" s="151">
        <v>0.5625</v>
      </c>
      <c r="DC20" s="151">
        <v>0.390625</v>
      </c>
      <c r="DD20" s="151">
        <v>0</v>
      </c>
      <c r="DE20" s="159">
        <v>0</v>
      </c>
      <c r="DF20" s="13" t="s">
        <v>1316</v>
      </c>
      <c r="DG20" s="85" t="s">
        <v>1394</v>
      </c>
      <c r="DH20" s="18" t="b">
        <v>0</v>
      </c>
      <c r="DI20" s="84"/>
      <c r="DJ20" s="84"/>
      <c r="DK20" s="215"/>
      <c r="DL20" s="194"/>
      <c r="DM20" s="216"/>
      <c r="DN20" s="151"/>
      <c r="DO20" s="84"/>
      <c r="DP20" s="84"/>
      <c r="DQ20" s="84"/>
      <c r="DR20" s="84"/>
      <c r="DS20" s="84"/>
      <c r="DT20" s="84"/>
      <c r="DU20" s="84"/>
      <c r="DV20" s="18"/>
      <c r="DW20" s="18"/>
      <c r="DX20" s="18"/>
      <c r="DY20" s="197"/>
      <c r="DZ20" s="197">
        <v>0</v>
      </c>
      <c r="EA20" s="197">
        <v>0</v>
      </c>
      <c r="EB20" s="197">
        <v>0</v>
      </c>
      <c r="EC20" s="197">
        <v>0</v>
      </c>
      <c r="ED20" s="197">
        <v>0</v>
      </c>
      <c r="EE20" s="197">
        <v>0</v>
      </c>
      <c r="EF20" s="197">
        <v>76</v>
      </c>
      <c r="EG20" s="219"/>
      <c r="EH20" s="224">
        <v>84</v>
      </c>
      <c r="EI20" s="224">
        <v>61</v>
      </c>
      <c r="EJ20" s="224">
        <v>91</v>
      </c>
      <c r="EK20" s="224">
        <v>84</v>
      </c>
      <c r="EL20" s="224">
        <v>83</v>
      </c>
      <c r="EM20" s="224">
        <v>88</v>
      </c>
      <c r="EN20" s="223">
        <v>50</v>
      </c>
      <c r="EO20" s="223">
        <v>46</v>
      </c>
      <c r="EP20" s="223">
        <v>46</v>
      </c>
      <c r="EQ20" s="224">
        <v>87</v>
      </c>
      <c r="ER20" s="224">
        <v>108</v>
      </c>
      <c r="ES20" s="224">
        <v>63</v>
      </c>
      <c r="ET20" s="223">
        <v>26</v>
      </c>
      <c r="EU20" s="224">
        <v>66</v>
      </c>
      <c r="EV20" s="224">
        <v>66</v>
      </c>
      <c r="EW20" s="223">
        <v>51</v>
      </c>
      <c r="EX20" s="223">
        <v>51</v>
      </c>
      <c r="EY20" s="223">
        <v>51</v>
      </c>
      <c r="EZ20" s="223">
        <v>50</v>
      </c>
      <c r="FA20" s="223">
        <v>50</v>
      </c>
      <c r="FB20" s="223">
        <v>48</v>
      </c>
      <c r="FC20" s="223">
        <v>48</v>
      </c>
      <c r="FD20" s="223">
        <v>48</v>
      </c>
      <c r="FE20" s="223">
        <v>48</v>
      </c>
      <c r="FF20" s="225">
        <v>128</v>
      </c>
      <c r="FG20" s="225">
        <v>128</v>
      </c>
      <c r="FH20" s="224">
        <v>104</v>
      </c>
      <c r="FI20" s="224">
        <v>104</v>
      </c>
      <c r="FJ20" s="224">
        <v>104</v>
      </c>
      <c r="FK20" s="224">
        <v>103</v>
      </c>
      <c r="FL20" s="224">
        <v>103</v>
      </c>
      <c r="FM20" s="224">
        <v>103</v>
      </c>
      <c r="FN20" s="224">
        <v>103</v>
      </c>
      <c r="FO20" s="224">
        <v>102</v>
      </c>
      <c r="FP20" s="224">
        <v>102</v>
      </c>
      <c r="FQ20" s="224">
        <v>95</v>
      </c>
      <c r="FR20" s="224">
        <v>93</v>
      </c>
      <c r="FS20" s="224">
        <v>93</v>
      </c>
      <c r="FT20" s="224">
        <v>93</v>
      </c>
      <c r="FU20" s="224">
        <v>90</v>
      </c>
      <c r="FV20" s="224">
        <v>90</v>
      </c>
      <c r="FW20" s="224">
        <v>89</v>
      </c>
      <c r="FX20" s="224">
        <v>88</v>
      </c>
      <c r="FY20" s="224">
        <v>87</v>
      </c>
      <c r="FZ20" s="224">
        <v>87</v>
      </c>
      <c r="GA20" s="224">
        <v>87</v>
      </c>
      <c r="GB20" s="224">
        <v>88</v>
      </c>
      <c r="GC20" s="224">
        <v>88</v>
      </c>
      <c r="GD20" s="224">
        <v>87</v>
      </c>
      <c r="GE20" s="247"/>
      <c r="GF20" s="224">
        <v>87</v>
      </c>
      <c r="GG20" s="224">
        <v>85</v>
      </c>
      <c r="GH20" s="224">
        <v>85</v>
      </c>
      <c r="GI20" s="224">
        <v>84</v>
      </c>
      <c r="GJ20" s="224">
        <v>84</v>
      </c>
      <c r="GK20" s="224">
        <v>84</v>
      </c>
      <c r="GL20" s="224">
        <v>84</v>
      </c>
      <c r="GM20" s="247"/>
      <c r="GN20" s="224">
        <v>70</v>
      </c>
      <c r="GO20" s="224">
        <v>69</v>
      </c>
      <c r="GP20" s="224">
        <v>69</v>
      </c>
      <c r="GQ20" s="224">
        <v>69</v>
      </c>
      <c r="GR20" s="224">
        <v>69</v>
      </c>
      <c r="GS20" s="224">
        <v>68</v>
      </c>
      <c r="GT20" s="224">
        <v>68</v>
      </c>
      <c r="GU20" s="224">
        <v>63</v>
      </c>
      <c r="GV20" s="224">
        <v>63</v>
      </c>
      <c r="GW20" s="224">
        <v>63</v>
      </c>
      <c r="GX20" s="224">
        <v>63</v>
      </c>
      <c r="GY20" s="224">
        <v>63</v>
      </c>
      <c r="GZ20" s="224">
        <v>63</v>
      </c>
      <c r="HA20" s="224">
        <v>61</v>
      </c>
      <c r="HB20" s="223">
        <v>58</v>
      </c>
      <c r="HC20" s="223">
        <v>56</v>
      </c>
      <c r="HD20" s="223">
        <v>56</v>
      </c>
      <c r="HE20" s="223">
        <v>56</v>
      </c>
      <c r="HF20" s="223">
        <v>56</v>
      </c>
      <c r="HG20" s="223">
        <v>56</v>
      </c>
      <c r="HH20" s="223">
        <v>56</v>
      </c>
      <c r="HI20" s="223">
        <v>1</v>
      </c>
      <c r="HJ20" s="223">
        <v>1</v>
      </c>
      <c r="HK20" s="223">
        <v>1</v>
      </c>
      <c r="HL20" s="223">
        <v>1</v>
      </c>
      <c r="HM20" s="223">
        <v>52</v>
      </c>
      <c r="HN20" s="223">
        <v>52</v>
      </c>
      <c r="HO20" s="223">
        <v>52</v>
      </c>
      <c r="HP20" s="223">
        <v>52</v>
      </c>
      <c r="HQ20" s="223">
        <v>50</v>
      </c>
      <c r="HR20" s="223">
        <v>50</v>
      </c>
      <c r="HS20" s="223">
        <v>50</v>
      </c>
      <c r="HT20" s="223">
        <v>50</v>
      </c>
      <c r="HU20" s="223">
        <v>49</v>
      </c>
      <c r="HV20" s="223">
        <v>49</v>
      </c>
      <c r="HW20" s="223">
        <v>49</v>
      </c>
      <c r="HX20" s="223">
        <v>49</v>
      </c>
      <c r="HY20" s="223">
        <v>49</v>
      </c>
      <c r="HZ20" s="223">
        <v>49</v>
      </c>
      <c r="IA20" s="223">
        <v>47</v>
      </c>
      <c r="IB20" s="223">
        <v>47</v>
      </c>
      <c r="IC20" s="223">
        <v>45</v>
      </c>
      <c r="ID20" s="223">
        <v>45</v>
      </c>
      <c r="IE20" s="223">
        <v>45</v>
      </c>
      <c r="IF20" s="223">
        <v>45</v>
      </c>
      <c r="IG20" s="223">
        <v>43</v>
      </c>
      <c r="IH20" s="223">
        <v>43</v>
      </c>
      <c r="II20" s="223">
        <v>44</v>
      </c>
      <c r="IJ20" s="247"/>
      <c r="IK20" s="223">
        <v>44</v>
      </c>
      <c r="IL20" s="223">
        <v>44</v>
      </c>
      <c r="IM20" s="247"/>
      <c r="IN20" s="247"/>
      <c r="IO20" s="247"/>
      <c r="IP20" s="247"/>
      <c r="IQ20" s="247"/>
      <c r="IR20" s="247"/>
      <c r="IS20" s="247"/>
      <c r="IT20" s="247"/>
      <c r="IU20" s="247"/>
      <c r="IV20" s="247"/>
      <c r="IW20" s="247"/>
      <c r="IX20" s="247"/>
      <c r="IY20" s="247"/>
      <c r="IZ20" s="247"/>
      <c r="JA20" s="247"/>
      <c r="JB20" s="247"/>
      <c r="JC20" s="247"/>
      <c r="JD20" s="247"/>
      <c r="JE20" s="247"/>
      <c r="JF20" s="247"/>
      <c r="JG20" s="247"/>
      <c r="JH20" s="247"/>
      <c r="JI20" s="247"/>
      <c r="JJ20" s="247"/>
      <c r="JK20" s="247"/>
      <c r="JL20" s="247"/>
      <c r="JM20" s="247"/>
      <c r="JN20" s="247"/>
      <c r="JO20" s="247"/>
      <c r="JP20" s="247"/>
      <c r="JQ20" s="247"/>
      <c r="JR20" s="247"/>
      <c r="JS20" s="247"/>
      <c r="JT20" s="247"/>
      <c r="JU20" s="247"/>
      <c r="JV20" s="247"/>
      <c r="JW20" s="247"/>
      <c r="JX20" s="247"/>
      <c r="JY20" s="247"/>
      <c r="JZ20" s="247"/>
      <c r="KA20" s="247"/>
      <c r="KB20" s="247"/>
      <c r="KC20" s="247"/>
      <c r="KD20" s="247"/>
      <c r="KE20" s="247"/>
      <c r="KF20" s="247"/>
      <c r="KG20" s="247"/>
      <c r="KH20" s="247"/>
      <c r="KI20" s="247"/>
      <c r="KJ20" s="247"/>
      <c r="KK20" s="247"/>
      <c r="KL20" s="247"/>
      <c r="KM20" s="247"/>
      <c r="KN20" s="247"/>
      <c r="KO20" s="247"/>
      <c r="KP20" s="247"/>
      <c r="KQ20" s="247"/>
      <c r="KR20" s="247"/>
      <c r="KS20" s="247"/>
      <c r="KT20" s="247"/>
      <c r="KU20" s="247"/>
      <c r="KV20" s="247"/>
      <c r="KW20" s="247"/>
      <c r="KX20" s="247"/>
      <c r="KY20" s="247"/>
      <c r="KZ20" s="247"/>
      <c r="LA20" s="247"/>
      <c r="LB20" s="247"/>
      <c r="LC20" s="247"/>
      <c r="LD20" s="247"/>
      <c r="LE20" s="247"/>
      <c r="LF20" s="247"/>
      <c r="LG20" s="247"/>
      <c r="LH20" s="247"/>
      <c r="LI20" s="247"/>
      <c r="LJ20" s="247"/>
      <c r="LK20" s="247"/>
      <c r="LL20" s="247"/>
      <c r="LM20" s="247"/>
      <c r="LN20" s="247"/>
      <c r="LO20" s="247"/>
      <c r="LP20" s="247"/>
      <c r="LQ20" s="247"/>
      <c r="LR20" s="247"/>
      <c r="LS20" s="247"/>
      <c r="LT20" s="247"/>
      <c r="LU20" s="247"/>
      <c r="LV20" s="247"/>
      <c r="LW20" s="247"/>
      <c r="LX20" s="247"/>
      <c r="LY20" s="247"/>
      <c r="LZ20" s="247"/>
      <c r="MA20" s="247"/>
      <c r="MB20" s="247"/>
      <c r="MC20" s="247"/>
      <c r="MD20" s="247"/>
      <c r="ME20" s="247"/>
      <c r="MF20" s="304"/>
      <c r="MG20" s="304"/>
      <c r="MH20" s="304"/>
      <c r="MI20" s="304"/>
      <c r="MJ20" s="304"/>
      <c r="MK20" s="304"/>
      <c r="ML20" s="304"/>
      <c r="MM20" s="304"/>
      <c r="MN20" s="304"/>
      <c r="MO20" s="304"/>
      <c r="MP20" s="304"/>
      <c r="MQ20" s="304"/>
      <c r="MR20" s="304"/>
      <c r="MS20" s="304"/>
      <c r="MT20" s="304"/>
      <c r="MU20" s="304"/>
      <c r="MV20" s="304"/>
      <c r="MW20" s="304"/>
      <c r="MX20" s="304"/>
      <c r="MY20" s="304"/>
      <c r="MZ20" s="304"/>
      <c r="NA20" s="304"/>
      <c r="NB20" s="304"/>
      <c r="NC20" s="304"/>
      <c r="ND20" s="304"/>
      <c r="NE20" s="304"/>
      <c r="NF20" s="304"/>
      <c r="NG20" s="304"/>
      <c r="NH20" s="304"/>
      <c r="NI20" s="304"/>
    </row>
    <row r="21" spans="1:373" x14ac:dyDescent="0.2">
      <c r="A21" s="132" t="s">
        <v>739</v>
      </c>
      <c r="B21" s="133" t="s">
        <v>1334</v>
      </c>
      <c r="C21" s="134"/>
      <c r="D21" s="242" t="s">
        <v>1353</v>
      </c>
      <c r="E21" s="242">
        <v>0</v>
      </c>
      <c r="F21" s="243" t="s">
        <v>1371</v>
      </c>
      <c r="G21" s="243" t="s">
        <v>1257</v>
      </c>
      <c r="H21" s="243" t="s">
        <v>1220</v>
      </c>
      <c r="I21" s="243">
        <v>0</v>
      </c>
      <c r="J21" s="243">
        <v>0</v>
      </c>
      <c r="K21" s="243">
        <v>0</v>
      </c>
      <c r="L21" s="243" t="s">
        <v>1257</v>
      </c>
      <c r="M21" s="243">
        <v>0</v>
      </c>
      <c r="N21" s="243" t="s">
        <v>1217</v>
      </c>
      <c r="O21" s="243">
        <v>0</v>
      </c>
      <c r="P21" s="243">
        <v>0</v>
      </c>
      <c r="Q21" s="243">
        <v>0</v>
      </c>
      <c r="R21" s="135"/>
      <c r="S21" s="135"/>
      <c r="T21" s="135"/>
      <c r="U21" s="135"/>
      <c r="V21" s="135"/>
      <c r="W21" s="135">
        <v>0</v>
      </c>
      <c r="X21" s="135">
        <v>0</v>
      </c>
      <c r="Y21" s="135">
        <v>0</v>
      </c>
      <c r="Z21" s="136">
        <v>0</v>
      </c>
      <c r="AA21" s="136">
        <v>559.33000000000004</v>
      </c>
      <c r="AB21" s="136">
        <v>0</v>
      </c>
      <c r="AC21" s="137">
        <v>0</v>
      </c>
      <c r="AD21" s="137">
        <v>0</v>
      </c>
      <c r="AE21" s="138">
        <v>10</v>
      </c>
      <c r="AF21" s="138">
        <v>8</v>
      </c>
      <c r="AG21" s="138">
        <v>2</v>
      </c>
      <c r="AH21" s="139">
        <v>1</v>
      </c>
      <c r="AI21" s="139" t="s">
        <v>1316</v>
      </c>
      <c r="AJ21" s="138" t="s">
        <v>3638</v>
      </c>
      <c r="AK21" s="195" t="s">
        <v>1316</v>
      </c>
      <c r="AL21" s="138" t="s">
        <v>1316</v>
      </c>
      <c r="AM21" s="27" t="s">
        <v>1316</v>
      </c>
      <c r="AN21" s="138">
        <v>0</v>
      </c>
      <c r="AO21" s="140">
        <v>0</v>
      </c>
      <c r="AP21" s="140">
        <v>0</v>
      </c>
      <c r="AQ21" s="140">
        <v>0</v>
      </c>
      <c r="AR21" s="138">
        <v>0</v>
      </c>
      <c r="AS21" s="138">
        <v>0</v>
      </c>
      <c r="AT21" s="198"/>
      <c r="AU21" s="198"/>
      <c r="AV21" s="198"/>
      <c r="AW21" s="211" t="s">
        <v>790</v>
      </c>
      <c r="AX21" s="211" t="s">
        <v>1324</v>
      </c>
      <c r="AY21" s="141"/>
      <c r="AZ21" s="141"/>
      <c r="BA21" s="142">
        <v>1</v>
      </c>
      <c r="BB21" s="142" t="s">
        <v>527</v>
      </c>
      <c r="BC21" s="142"/>
      <c r="BD21" s="142">
        <v>1</v>
      </c>
      <c r="BE21" s="143" t="s">
        <v>541</v>
      </c>
      <c r="BF21" s="144">
        <v>1</v>
      </c>
      <c r="BG21" s="145"/>
      <c r="BH21" s="212"/>
      <c r="BI21" s="213"/>
      <c r="BJ21" s="146">
        <v>0</v>
      </c>
      <c r="BK21" s="214">
        <v>0</v>
      </c>
      <c r="BL21" s="13">
        <v>0</v>
      </c>
      <c r="BM21" s="13">
        <v>0</v>
      </c>
      <c r="BN21" s="27" t="s">
        <v>1317</v>
      </c>
      <c r="BO21" s="13" t="s">
        <v>1317</v>
      </c>
      <c r="BP21" s="147">
        <v>3</v>
      </c>
      <c r="BQ21" s="148"/>
      <c r="BR21" s="149"/>
      <c r="BS21" s="138">
        <v>1000000000</v>
      </c>
      <c r="BT21" s="150">
        <v>0</v>
      </c>
      <c r="BU21" s="151">
        <v>0</v>
      </c>
      <c r="BV21" s="150">
        <v>0</v>
      </c>
      <c r="BW21" s="152">
        <v>0</v>
      </c>
      <c r="BX21" s="152">
        <v>0</v>
      </c>
      <c r="BY21" s="152">
        <v>0</v>
      </c>
      <c r="BZ21" s="150">
        <v>0</v>
      </c>
      <c r="CA21" s="150">
        <v>0</v>
      </c>
      <c r="CB21" s="150">
        <v>0</v>
      </c>
      <c r="CC21" s="151">
        <v>0</v>
      </c>
      <c r="CD21" s="150"/>
      <c r="CE21" s="150"/>
      <c r="CF21" s="153">
        <v>0</v>
      </c>
      <c r="CG21" s="154">
        <v>0</v>
      </c>
      <c r="CH21" s="148">
        <v>0</v>
      </c>
      <c r="CI21" s="155"/>
      <c r="CJ21" s="156" t="s">
        <v>1316</v>
      </c>
      <c r="CK21" s="157" t="s">
        <v>1316</v>
      </c>
      <c r="CL21" s="154">
        <v>0</v>
      </c>
      <c r="CM21" s="154">
        <v>0</v>
      </c>
      <c r="CN21" s="151">
        <v>0</v>
      </c>
      <c r="CO21" s="151">
        <v>0</v>
      </c>
      <c r="CP21" s="158"/>
      <c r="CQ21" s="151">
        <v>0</v>
      </c>
      <c r="CR21" s="199">
        <v>42759</v>
      </c>
      <c r="CS21" s="200">
        <v>43185</v>
      </c>
      <c r="CT21" s="201">
        <v>43255</v>
      </c>
      <c r="CU21" s="201">
        <v>0</v>
      </c>
      <c r="CV21" s="201">
        <v>0</v>
      </c>
      <c r="CW21" s="201" t="s">
        <v>1316</v>
      </c>
      <c r="CX21" s="201" t="s">
        <v>1316</v>
      </c>
      <c r="CY21" s="151">
        <v>1</v>
      </c>
      <c r="CZ21" s="150">
        <v>0</v>
      </c>
      <c r="DA21" s="151">
        <v>0.953125</v>
      </c>
      <c r="DB21" s="151">
        <v>0</v>
      </c>
      <c r="DC21" s="151">
        <v>0</v>
      </c>
      <c r="DD21" s="151">
        <v>0</v>
      </c>
      <c r="DE21" s="159">
        <v>0</v>
      </c>
      <c r="DF21" s="13" t="s">
        <v>1316</v>
      </c>
      <c r="DG21" s="85" t="s">
        <v>1316</v>
      </c>
      <c r="DH21" s="18" t="b">
        <v>0</v>
      </c>
      <c r="DI21" s="84"/>
      <c r="DJ21" s="84"/>
      <c r="DK21" s="215"/>
      <c r="DL21" s="194"/>
      <c r="DM21" s="216"/>
      <c r="DN21" s="151"/>
      <c r="DO21" s="84"/>
      <c r="DP21" s="84"/>
      <c r="DQ21" s="84"/>
      <c r="DR21" s="84"/>
      <c r="DS21" s="84"/>
      <c r="DT21" s="84"/>
      <c r="DU21" s="84"/>
      <c r="DV21" s="18"/>
      <c r="DW21" s="18"/>
      <c r="DX21" s="18"/>
      <c r="DY21" s="197"/>
      <c r="DZ21" s="197">
        <v>0</v>
      </c>
      <c r="EA21" s="197">
        <v>0</v>
      </c>
      <c r="EB21" s="197">
        <v>0</v>
      </c>
      <c r="EC21" s="197">
        <v>0</v>
      </c>
      <c r="ED21" s="197">
        <v>0</v>
      </c>
      <c r="EE21" s="197">
        <v>0</v>
      </c>
      <c r="EF21" s="197">
        <v>0</v>
      </c>
      <c r="EG21" s="221"/>
      <c r="EH21" s="260">
        <v>0</v>
      </c>
      <c r="EI21" s="260">
        <v>0</v>
      </c>
      <c r="EJ21" s="260">
        <v>0</v>
      </c>
      <c r="EK21" s="260">
        <v>0</v>
      </c>
      <c r="EL21" s="260">
        <v>0</v>
      </c>
      <c r="EM21" s="260">
        <v>0</v>
      </c>
      <c r="EN21" s="260">
        <v>0</v>
      </c>
      <c r="EO21" s="260">
        <v>0</v>
      </c>
      <c r="EP21" s="260">
        <v>0</v>
      </c>
      <c r="EQ21" s="260">
        <v>0</v>
      </c>
      <c r="ER21" s="260">
        <v>0</v>
      </c>
      <c r="ES21" s="260">
        <v>0</v>
      </c>
      <c r="ET21" s="260">
        <v>0</v>
      </c>
      <c r="EU21" s="260">
        <v>0</v>
      </c>
      <c r="EV21" s="260">
        <v>0</v>
      </c>
      <c r="EW21" s="260">
        <v>0</v>
      </c>
      <c r="EX21" s="260">
        <v>0</v>
      </c>
      <c r="EY21" s="260">
        <v>0</v>
      </c>
      <c r="EZ21" s="260">
        <v>0</v>
      </c>
      <c r="FA21" s="260">
        <v>0</v>
      </c>
      <c r="FB21" s="260">
        <v>0</v>
      </c>
      <c r="FC21" s="260">
        <v>0</v>
      </c>
      <c r="FD21" s="260">
        <v>0</v>
      </c>
      <c r="FE21" s="260">
        <v>0</v>
      </c>
      <c r="FF21" s="260">
        <v>0</v>
      </c>
      <c r="FG21" s="260">
        <v>0</v>
      </c>
      <c r="FH21" s="260">
        <v>0</v>
      </c>
      <c r="FI21" s="260">
        <v>0</v>
      </c>
      <c r="FJ21" s="260">
        <v>0</v>
      </c>
      <c r="FK21" s="260">
        <v>0</v>
      </c>
      <c r="FL21" s="260">
        <v>0</v>
      </c>
      <c r="FM21" s="260">
        <v>0</v>
      </c>
      <c r="FN21" s="260">
        <v>0</v>
      </c>
      <c r="FO21" s="260">
        <v>0</v>
      </c>
      <c r="FP21" s="260">
        <v>0</v>
      </c>
      <c r="FQ21" s="260">
        <v>0</v>
      </c>
      <c r="FR21" s="260">
        <v>0</v>
      </c>
      <c r="FS21" s="260">
        <v>0</v>
      </c>
      <c r="FT21" s="260">
        <v>0</v>
      </c>
      <c r="FU21" s="260">
        <v>0</v>
      </c>
      <c r="FV21" s="260">
        <v>0</v>
      </c>
      <c r="FW21" s="260">
        <v>0</v>
      </c>
      <c r="FX21" s="260">
        <v>0</v>
      </c>
      <c r="FY21" s="260">
        <v>0</v>
      </c>
      <c r="FZ21" s="260">
        <v>0</v>
      </c>
      <c r="GA21" s="260">
        <v>0</v>
      </c>
      <c r="GB21" s="260">
        <v>0</v>
      </c>
      <c r="GC21" s="260">
        <v>0</v>
      </c>
      <c r="GD21" s="260">
        <v>0</v>
      </c>
      <c r="GE21" s="258"/>
      <c r="GF21" s="260">
        <v>0</v>
      </c>
      <c r="GG21" s="260">
        <v>0</v>
      </c>
      <c r="GH21" s="260">
        <v>0</v>
      </c>
      <c r="GI21" s="260">
        <v>0</v>
      </c>
      <c r="GJ21" s="260">
        <v>0</v>
      </c>
      <c r="GK21" s="260">
        <v>0</v>
      </c>
      <c r="GL21" s="260">
        <v>0</v>
      </c>
      <c r="GM21" s="258"/>
      <c r="GN21" s="260">
        <v>0</v>
      </c>
      <c r="GO21" s="260">
        <v>0</v>
      </c>
      <c r="GP21" s="260">
        <v>0</v>
      </c>
      <c r="GQ21" s="260">
        <v>0</v>
      </c>
      <c r="GR21" s="260">
        <v>0</v>
      </c>
      <c r="GS21" s="260">
        <v>0</v>
      </c>
      <c r="GT21" s="260">
        <v>0</v>
      </c>
      <c r="GU21" s="260">
        <v>0</v>
      </c>
      <c r="GV21" s="260">
        <v>0</v>
      </c>
      <c r="GW21" s="260">
        <v>0</v>
      </c>
      <c r="GX21" s="260">
        <v>0</v>
      </c>
      <c r="GY21" s="260">
        <v>0</v>
      </c>
      <c r="GZ21" s="260">
        <v>0</v>
      </c>
      <c r="HA21" s="260">
        <v>0</v>
      </c>
      <c r="HB21" s="260">
        <v>0</v>
      </c>
      <c r="HC21" s="260">
        <v>0</v>
      </c>
      <c r="HD21" s="260">
        <v>0</v>
      </c>
      <c r="HE21" s="260">
        <v>0</v>
      </c>
      <c r="HF21" s="260">
        <v>0</v>
      </c>
      <c r="HG21" s="260">
        <v>0</v>
      </c>
      <c r="HH21" s="260">
        <v>0</v>
      </c>
      <c r="HI21" s="260">
        <v>0</v>
      </c>
      <c r="HJ21" s="260">
        <v>0</v>
      </c>
      <c r="HK21" s="260">
        <v>0</v>
      </c>
      <c r="HL21" s="260">
        <v>0</v>
      </c>
      <c r="HM21" s="260">
        <v>0</v>
      </c>
      <c r="HN21" s="260">
        <v>0</v>
      </c>
      <c r="HO21" s="260">
        <v>0</v>
      </c>
      <c r="HP21" s="260">
        <v>0</v>
      </c>
      <c r="HQ21" s="260">
        <v>0</v>
      </c>
      <c r="HR21" s="260">
        <v>0</v>
      </c>
      <c r="HS21" s="260">
        <v>0</v>
      </c>
      <c r="HT21" s="260">
        <v>0</v>
      </c>
      <c r="HU21" s="260">
        <v>0</v>
      </c>
      <c r="HV21" s="260">
        <v>0</v>
      </c>
      <c r="HW21" s="260">
        <v>0</v>
      </c>
      <c r="HX21" s="260">
        <v>0</v>
      </c>
      <c r="HY21" s="260">
        <v>0</v>
      </c>
      <c r="HZ21" s="260">
        <v>0</v>
      </c>
      <c r="IA21" s="260">
        <v>0</v>
      </c>
      <c r="IB21" s="260">
        <v>0</v>
      </c>
      <c r="IC21" s="260">
        <v>0</v>
      </c>
      <c r="ID21" s="260">
        <v>0</v>
      </c>
      <c r="IE21" s="260">
        <v>0</v>
      </c>
      <c r="IF21" s="260">
        <v>0</v>
      </c>
      <c r="IG21" s="260">
        <v>0</v>
      </c>
      <c r="IH21" s="260">
        <v>0</v>
      </c>
      <c r="II21" s="260">
        <v>0</v>
      </c>
      <c r="IJ21" s="258"/>
      <c r="IK21" s="260">
        <v>0</v>
      </c>
      <c r="IL21" s="260">
        <v>0</v>
      </c>
      <c r="IM21" s="258"/>
      <c r="IN21" s="258"/>
      <c r="IO21" s="258"/>
      <c r="IP21" s="258"/>
      <c r="IQ21" s="258"/>
      <c r="IR21" s="258"/>
      <c r="IS21" s="258"/>
      <c r="IT21" s="258"/>
      <c r="IU21" s="258"/>
      <c r="IV21" s="258"/>
      <c r="IW21" s="258"/>
      <c r="IX21" s="258"/>
      <c r="IY21" s="258"/>
      <c r="IZ21" s="258"/>
      <c r="JA21" s="258"/>
      <c r="JB21" s="258"/>
      <c r="JC21" s="258"/>
      <c r="JD21" s="258"/>
      <c r="JE21" s="258"/>
      <c r="JF21" s="258"/>
      <c r="JG21" s="258"/>
      <c r="JH21" s="258"/>
      <c r="JI21" s="258"/>
      <c r="JJ21" s="258"/>
      <c r="JK21" s="258"/>
      <c r="JL21" s="258"/>
      <c r="JM21" s="258"/>
      <c r="JN21" s="258"/>
      <c r="JO21" s="258"/>
      <c r="JP21" s="258"/>
      <c r="JQ21" s="258"/>
      <c r="JR21" s="258"/>
      <c r="JS21" s="258"/>
      <c r="JT21" s="258"/>
      <c r="JU21" s="258"/>
      <c r="JV21" s="258"/>
      <c r="JW21" s="258"/>
      <c r="JX21" s="258"/>
      <c r="JY21" s="258"/>
      <c r="JZ21" s="258"/>
      <c r="KA21" s="258"/>
      <c r="KB21" s="258"/>
      <c r="KC21" s="258"/>
      <c r="KD21" s="258"/>
      <c r="KE21" s="258"/>
      <c r="KF21" s="258"/>
      <c r="KG21" s="258"/>
      <c r="KH21" s="258"/>
      <c r="KI21" s="258"/>
      <c r="KJ21" s="258"/>
      <c r="KK21" s="258"/>
      <c r="KL21" s="258"/>
      <c r="KM21" s="258"/>
      <c r="KN21" s="258"/>
      <c r="KO21" s="258"/>
      <c r="KP21" s="258"/>
      <c r="KQ21" s="258"/>
      <c r="KR21" s="258"/>
      <c r="KS21" s="258"/>
      <c r="KT21" s="258"/>
      <c r="KU21" s="258"/>
      <c r="KV21" s="258"/>
      <c r="KW21" s="258"/>
      <c r="KX21" s="258"/>
      <c r="KY21" s="258"/>
      <c r="KZ21" s="258"/>
      <c r="LA21" s="258"/>
      <c r="LB21" s="258"/>
      <c r="LC21" s="258"/>
      <c r="LD21" s="258"/>
      <c r="LE21" s="258"/>
      <c r="LF21" s="258"/>
      <c r="LG21" s="258"/>
      <c r="LH21" s="258"/>
      <c r="LI21" s="258"/>
      <c r="LJ21" s="258"/>
      <c r="LK21" s="258"/>
      <c r="LL21" s="258"/>
      <c r="LM21" s="258"/>
      <c r="LN21" s="258"/>
      <c r="LO21" s="258"/>
      <c r="LP21" s="258"/>
      <c r="LQ21" s="258"/>
      <c r="LR21" s="258"/>
      <c r="LS21" s="258"/>
      <c r="LT21" s="258"/>
      <c r="LU21" s="258"/>
      <c r="LV21" s="258"/>
      <c r="LW21" s="258"/>
      <c r="LX21" s="258"/>
      <c r="LY21" s="258"/>
      <c r="LZ21" s="258"/>
      <c r="MA21" s="258"/>
      <c r="MB21" s="258"/>
      <c r="MC21" s="258"/>
      <c r="MD21" s="258"/>
      <c r="ME21" s="258"/>
      <c r="MF21" s="303"/>
      <c r="MG21" s="303"/>
      <c r="MH21" s="303"/>
      <c r="MI21" s="303"/>
      <c r="MJ21" s="303"/>
      <c r="MK21" s="303"/>
      <c r="ML21" s="303"/>
      <c r="MM21" s="303"/>
      <c r="MN21" s="303"/>
      <c r="MO21" s="303"/>
      <c r="MP21" s="303"/>
      <c r="MQ21" s="303"/>
      <c r="MR21" s="303"/>
      <c r="MS21" s="303"/>
      <c r="MT21" s="303"/>
      <c r="MU21" s="303"/>
      <c r="MV21" s="303"/>
      <c r="MW21" s="303"/>
      <c r="MX21" s="303"/>
      <c r="MY21" s="303"/>
      <c r="MZ21" s="303"/>
      <c r="NA21" s="303"/>
      <c r="NB21" s="303"/>
      <c r="NC21" s="303"/>
      <c r="ND21" s="303"/>
      <c r="NE21" s="303"/>
      <c r="NF21" s="303"/>
      <c r="NG21" s="303"/>
      <c r="NH21" s="303"/>
      <c r="NI21" s="303"/>
    </row>
    <row r="22" spans="1:373" x14ac:dyDescent="0.2">
      <c r="A22" s="132" t="s">
        <v>739</v>
      </c>
      <c r="B22" s="133" t="s">
        <v>1335</v>
      </c>
      <c r="C22" s="134"/>
      <c r="D22" s="242" t="s">
        <v>1354</v>
      </c>
      <c r="E22" s="242">
        <v>0</v>
      </c>
      <c r="F22" s="243" t="s">
        <v>1372</v>
      </c>
      <c r="G22" s="243" t="s">
        <v>1262</v>
      </c>
      <c r="H22" s="243" t="s">
        <v>961</v>
      </c>
      <c r="I22" s="243">
        <v>0</v>
      </c>
      <c r="J22" s="243">
        <v>0</v>
      </c>
      <c r="K22" s="243">
        <v>0</v>
      </c>
      <c r="L22" s="243" t="s">
        <v>1263</v>
      </c>
      <c r="M22" s="243">
        <v>0</v>
      </c>
      <c r="N22" s="243" t="s">
        <v>1218</v>
      </c>
      <c r="O22" s="243">
        <v>0</v>
      </c>
      <c r="P22" s="243">
        <v>0</v>
      </c>
      <c r="Q22" s="243">
        <v>0</v>
      </c>
      <c r="R22" s="135"/>
      <c r="S22" s="135"/>
      <c r="T22" s="135"/>
      <c r="U22" s="135"/>
      <c r="V22" s="135"/>
      <c r="W22" s="135">
        <v>0</v>
      </c>
      <c r="X22" s="135">
        <v>0</v>
      </c>
      <c r="Y22" s="135">
        <v>0</v>
      </c>
      <c r="Z22" s="136">
        <v>286.02</v>
      </c>
      <c r="AA22" s="136">
        <v>562.6</v>
      </c>
      <c r="AB22" s="136">
        <v>0</v>
      </c>
      <c r="AC22" s="137">
        <v>0</v>
      </c>
      <c r="AD22" s="137">
        <v>0</v>
      </c>
      <c r="AE22" s="138">
        <v>10</v>
      </c>
      <c r="AF22" s="138">
        <v>8</v>
      </c>
      <c r="AG22" s="138">
        <v>2</v>
      </c>
      <c r="AH22" s="139">
        <v>1</v>
      </c>
      <c r="AI22" s="139" t="s">
        <v>1387</v>
      </c>
      <c r="AJ22" s="138" t="s">
        <v>3639</v>
      </c>
      <c r="AK22" s="195" t="s">
        <v>3625</v>
      </c>
      <c r="AL22" s="138" t="s">
        <v>1316</v>
      </c>
      <c r="AM22" s="27" t="s">
        <v>1391</v>
      </c>
      <c r="AN22" s="138">
        <v>0</v>
      </c>
      <c r="AO22" s="140">
        <v>0</v>
      </c>
      <c r="AP22" s="140">
        <v>0</v>
      </c>
      <c r="AQ22" s="140">
        <v>0</v>
      </c>
      <c r="AR22" s="138">
        <v>27</v>
      </c>
      <c r="AS22" s="138">
        <v>0</v>
      </c>
      <c r="AT22" s="198"/>
      <c r="AU22" s="198"/>
      <c r="AV22" s="198"/>
      <c r="AW22" s="211" t="s">
        <v>790</v>
      </c>
      <c r="AX22" s="211" t="s">
        <v>1324</v>
      </c>
      <c r="AY22" s="141"/>
      <c r="AZ22" s="141"/>
      <c r="BA22" s="142">
        <v>1</v>
      </c>
      <c r="BB22" s="142" t="s">
        <v>527</v>
      </c>
      <c r="BC22" s="142"/>
      <c r="BD22" s="142">
        <v>1</v>
      </c>
      <c r="BE22" s="143" t="s">
        <v>541</v>
      </c>
      <c r="BF22" s="144">
        <v>1</v>
      </c>
      <c r="BG22" s="145"/>
      <c r="BH22" s="212"/>
      <c r="BI22" s="213"/>
      <c r="BJ22" s="146">
        <v>3</v>
      </c>
      <c r="BK22" s="214">
        <v>0</v>
      </c>
      <c r="BL22" s="13">
        <v>2</v>
      </c>
      <c r="BM22" s="13">
        <v>1</v>
      </c>
      <c r="BN22" s="27" t="s">
        <v>1394</v>
      </c>
      <c r="BO22" s="13" t="s">
        <v>1394</v>
      </c>
      <c r="BP22" s="147">
        <v>4</v>
      </c>
      <c r="BQ22" s="148"/>
      <c r="BR22" s="149"/>
      <c r="BS22" s="138">
        <v>1000000000</v>
      </c>
      <c r="BT22" s="150">
        <v>0</v>
      </c>
      <c r="BU22" s="151">
        <v>1</v>
      </c>
      <c r="BV22" s="150">
        <v>0</v>
      </c>
      <c r="BW22" s="152">
        <v>0</v>
      </c>
      <c r="BX22" s="152">
        <v>0</v>
      </c>
      <c r="BY22" s="152">
        <v>0</v>
      </c>
      <c r="BZ22" s="150">
        <v>0</v>
      </c>
      <c r="CA22" s="150">
        <v>0</v>
      </c>
      <c r="CB22" s="150">
        <v>0</v>
      </c>
      <c r="CC22" s="151">
        <v>1</v>
      </c>
      <c r="CD22" s="150"/>
      <c r="CE22" s="150"/>
      <c r="CF22" s="153">
        <v>3</v>
      </c>
      <c r="CG22" s="154">
        <v>1</v>
      </c>
      <c r="CH22" s="148">
        <v>0</v>
      </c>
      <c r="CI22" s="155"/>
      <c r="CJ22" s="156" t="s">
        <v>1316</v>
      </c>
      <c r="CK22" s="157" t="s">
        <v>1316</v>
      </c>
      <c r="CL22" s="154">
        <v>276.58000000000004</v>
      </c>
      <c r="CM22" s="154">
        <v>0</v>
      </c>
      <c r="CN22" s="151">
        <v>0</v>
      </c>
      <c r="CO22" s="151">
        <v>4.6415775120620939</v>
      </c>
      <c r="CP22" s="158"/>
      <c r="CQ22" s="151">
        <v>1</v>
      </c>
      <c r="CR22" s="199">
        <v>42872</v>
      </c>
      <c r="CS22" s="200">
        <v>43185</v>
      </c>
      <c r="CT22" s="201">
        <v>43255</v>
      </c>
      <c r="CU22" s="201">
        <v>43168</v>
      </c>
      <c r="CV22" s="201">
        <v>43179</v>
      </c>
      <c r="CW22" s="201">
        <v>43182</v>
      </c>
      <c r="CX22" s="201">
        <v>43224</v>
      </c>
      <c r="CY22" s="151">
        <v>5.4764647964418307</v>
      </c>
      <c r="CZ22" s="150">
        <v>0</v>
      </c>
      <c r="DA22" s="151">
        <v>0.921875</v>
      </c>
      <c r="DB22" s="151">
        <v>3.125E-2</v>
      </c>
      <c r="DC22" s="151">
        <v>0</v>
      </c>
      <c r="DD22" s="151">
        <v>0</v>
      </c>
      <c r="DE22" s="159">
        <v>0</v>
      </c>
      <c r="DF22" s="13" t="s">
        <v>1316</v>
      </c>
      <c r="DG22" s="85" t="s">
        <v>1394</v>
      </c>
      <c r="DH22" s="18" t="b">
        <v>0</v>
      </c>
      <c r="DI22" s="84"/>
      <c r="DJ22" s="84"/>
      <c r="DK22" s="215"/>
      <c r="DL22" s="194"/>
      <c r="DM22" s="216"/>
      <c r="DN22" s="151"/>
      <c r="DO22" s="84"/>
      <c r="DP22" s="84"/>
      <c r="DQ22" s="84"/>
      <c r="DR22" s="84"/>
      <c r="DS22" s="84"/>
      <c r="DT22" s="84"/>
      <c r="DU22" s="84"/>
      <c r="DV22" s="18"/>
      <c r="DW22" s="18"/>
      <c r="DX22" s="18"/>
      <c r="DY22" s="197"/>
      <c r="DZ22" s="197">
        <v>0</v>
      </c>
      <c r="EA22" s="197">
        <v>0</v>
      </c>
      <c r="EB22" s="197">
        <v>0</v>
      </c>
      <c r="EC22" s="197">
        <v>0</v>
      </c>
      <c r="ED22" s="197">
        <v>0</v>
      </c>
      <c r="EE22" s="197">
        <v>0</v>
      </c>
      <c r="EF22" s="197">
        <v>0</v>
      </c>
      <c r="EG22" s="219"/>
      <c r="EH22" s="225">
        <v>4</v>
      </c>
      <c r="EI22" s="223">
        <v>1</v>
      </c>
      <c r="EJ22" s="224">
        <v>2</v>
      </c>
      <c r="EK22" s="224">
        <v>2</v>
      </c>
      <c r="EL22" s="224">
        <v>2</v>
      </c>
      <c r="EM22" s="224">
        <v>2</v>
      </c>
      <c r="EN22" s="223">
        <v>1</v>
      </c>
      <c r="EO22" s="223">
        <v>1</v>
      </c>
      <c r="EP22" s="223">
        <v>1</v>
      </c>
      <c r="EQ22" s="223">
        <v>1</v>
      </c>
      <c r="ER22" s="223">
        <v>1</v>
      </c>
      <c r="ES22" s="223">
        <v>1</v>
      </c>
      <c r="ET22" s="223">
        <v>1</v>
      </c>
      <c r="EU22" s="225">
        <v>3</v>
      </c>
      <c r="EV22" s="225">
        <v>3</v>
      </c>
      <c r="EW22" s="223">
        <v>1</v>
      </c>
      <c r="EX22" s="223">
        <v>1</v>
      </c>
      <c r="EY22" s="223">
        <v>1</v>
      </c>
      <c r="EZ22" s="223">
        <v>1</v>
      </c>
      <c r="FA22" s="223">
        <v>1</v>
      </c>
      <c r="FB22" s="223">
        <v>1</v>
      </c>
      <c r="FC22" s="223">
        <v>1</v>
      </c>
      <c r="FD22" s="223">
        <v>1</v>
      </c>
      <c r="FE22" s="223">
        <v>1</v>
      </c>
      <c r="FF22" s="224">
        <v>2</v>
      </c>
      <c r="FG22" s="224">
        <v>2</v>
      </c>
      <c r="FH22" s="224">
        <v>2</v>
      </c>
      <c r="FI22" s="224">
        <v>2</v>
      </c>
      <c r="FJ22" s="224">
        <v>2</v>
      </c>
      <c r="FK22" s="224">
        <v>2</v>
      </c>
      <c r="FL22" s="224">
        <v>2</v>
      </c>
      <c r="FM22" s="224">
        <v>2</v>
      </c>
      <c r="FN22" s="224">
        <v>2</v>
      </c>
      <c r="FO22" s="224">
        <v>2</v>
      </c>
      <c r="FP22" s="224">
        <v>2</v>
      </c>
      <c r="FQ22" s="224">
        <v>2</v>
      </c>
      <c r="FR22" s="224">
        <v>2</v>
      </c>
      <c r="FS22" s="224">
        <v>2</v>
      </c>
      <c r="FT22" s="224">
        <v>2</v>
      </c>
      <c r="FU22" s="223">
        <v>1</v>
      </c>
      <c r="FV22" s="223">
        <v>1</v>
      </c>
      <c r="FW22" s="223">
        <v>1</v>
      </c>
      <c r="FX22" s="223">
        <v>1</v>
      </c>
      <c r="FY22" s="223">
        <v>1</v>
      </c>
      <c r="FZ22" s="222">
        <v>0</v>
      </c>
      <c r="GA22" s="222">
        <v>0</v>
      </c>
      <c r="GB22" s="222">
        <v>0</v>
      </c>
      <c r="GC22" s="222">
        <v>0</v>
      </c>
      <c r="GD22" s="222">
        <v>0</v>
      </c>
      <c r="GE22" s="247"/>
      <c r="GF22" s="222">
        <v>0</v>
      </c>
      <c r="GG22" s="222">
        <v>0</v>
      </c>
      <c r="GH22" s="222">
        <v>0</v>
      </c>
      <c r="GI22" s="222">
        <v>0</v>
      </c>
      <c r="GJ22" s="222">
        <v>0</v>
      </c>
      <c r="GK22" s="222">
        <v>0</v>
      </c>
      <c r="GL22" s="222">
        <v>0</v>
      </c>
      <c r="GM22" s="247"/>
      <c r="GN22" s="222">
        <v>0</v>
      </c>
      <c r="GO22" s="222">
        <v>0</v>
      </c>
      <c r="GP22" s="222">
        <v>0</v>
      </c>
      <c r="GQ22" s="222">
        <v>0</v>
      </c>
      <c r="GR22" s="222">
        <v>0</v>
      </c>
      <c r="GS22" s="222">
        <v>0</v>
      </c>
      <c r="GT22" s="222">
        <v>0</v>
      </c>
      <c r="GU22" s="222">
        <v>0</v>
      </c>
      <c r="GV22" s="222">
        <v>0</v>
      </c>
      <c r="GW22" s="222">
        <v>0</v>
      </c>
      <c r="GX22" s="222">
        <v>0</v>
      </c>
      <c r="GY22" s="222">
        <v>0</v>
      </c>
      <c r="GZ22" s="222">
        <v>0</v>
      </c>
      <c r="HA22" s="223">
        <v>1</v>
      </c>
      <c r="HB22" s="223">
        <v>1</v>
      </c>
      <c r="HC22" s="222">
        <v>0</v>
      </c>
      <c r="HD22" s="222">
        <v>0</v>
      </c>
      <c r="HE22" s="222">
        <v>0</v>
      </c>
      <c r="HF22" s="222">
        <v>0</v>
      </c>
      <c r="HG22" s="222">
        <v>0</v>
      </c>
      <c r="HH22" s="222">
        <v>0</v>
      </c>
      <c r="HI22" s="222">
        <v>0</v>
      </c>
      <c r="HJ22" s="222">
        <v>0</v>
      </c>
      <c r="HK22" s="222">
        <v>0</v>
      </c>
      <c r="HL22" s="222">
        <v>0</v>
      </c>
      <c r="HM22" s="222">
        <v>0</v>
      </c>
      <c r="HN22" s="222">
        <v>0</v>
      </c>
      <c r="HO22" s="222">
        <v>0</v>
      </c>
      <c r="HP22" s="222">
        <v>0</v>
      </c>
      <c r="HQ22" s="222">
        <v>0</v>
      </c>
      <c r="HR22" s="222">
        <v>0</v>
      </c>
      <c r="HS22" s="222">
        <v>0</v>
      </c>
      <c r="HT22" s="222">
        <v>0</v>
      </c>
      <c r="HU22" s="222">
        <v>0</v>
      </c>
      <c r="HV22" s="222">
        <v>0</v>
      </c>
      <c r="HW22" s="222">
        <v>0</v>
      </c>
      <c r="HX22" s="222">
        <v>0</v>
      </c>
      <c r="HY22" s="222">
        <v>0</v>
      </c>
      <c r="HZ22" s="222">
        <v>0</v>
      </c>
      <c r="IA22" s="222">
        <v>0</v>
      </c>
      <c r="IB22" s="222">
        <v>0</v>
      </c>
      <c r="IC22" s="222">
        <v>0</v>
      </c>
      <c r="ID22" s="222">
        <v>0</v>
      </c>
      <c r="IE22" s="222">
        <v>0</v>
      </c>
      <c r="IF22" s="222">
        <v>0</v>
      </c>
      <c r="IG22" s="222">
        <v>0</v>
      </c>
      <c r="IH22" s="222">
        <v>0</v>
      </c>
      <c r="II22" s="222">
        <v>0</v>
      </c>
      <c r="IJ22" s="247"/>
      <c r="IK22" s="222">
        <v>0</v>
      </c>
      <c r="IL22" s="222">
        <v>0</v>
      </c>
      <c r="IM22" s="247"/>
      <c r="IN22" s="247"/>
      <c r="IO22" s="247"/>
      <c r="IP22" s="247"/>
      <c r="IQ22" s="247"/>
      <c r="IR22" s="247"/>
      <c r="IS22" s="247"/>
      <c r="IT22" s="247"/>
      <c r="IU22" s="247"/>
      <c r="IV22" s="247"/>
      <c r="IW22" s="247"/>
      <c r="IX22" s="247"/>
      <c r="IY22" s="247"/>
      <c r="IZ22" s="247"/>
      <c r="JA22" s="247"/>
      <c r="JB22" s="247"/>
      <c r="JC22" s="247"/>
      <c r="JD22" s="247"/>
      <c r="JE22" s="247"/>
      <c r="JF22" s="247"/>
      <c r="JG22" s="247"/>
      <c r="JH22" s="247"/>
      <c r="JI22" s="247"/>
      <c r="JJ22" s="247"/>
      <c r="JK22" s="247"/>
      <c r="JL22" s="247"/>
      <c r="JM22" s="247"/>
      <c r="JN22" s="247"/>
      <c r="JO22" s="247"/>
      <c r="JP22" s="247"/>
      <c r="JQ22" s="247"/>
      <c r="JR22" s="247"/>
      <c r="JS22" s="247"/>
      <c r="JT22" s="247"/>
      <c r="JU22" s="247"/>
      <c r="JV22" s="247"/>
      <c r="JW22" s="247"/>
      <c r="JX22" s="247"/>
      <c r="JY22" s="247"/>
      <c r="JZ22" s="247"/>
      <c r="KA22" s="247"/>
      <c r="KB22" s="247"/>
      <c r="KC22" s="247"/>
      <c r="KD22" s="247"/>
      <c r="KE22" s="247"/>
      <c r="KF22" s="247"/>
      <c r="KG22" s="247"/>
      <c r="KH22" s="247"/>
      <c r="KI22" s="247"/>
      <c r="KJ22" s="247"/>
      <c r="KK22" s="247"/>
      <c r="KL22" s="247"/>
      <c r="KM22" s="247"/>
      <c r="KN22" s="247"/>
      <c r="KO22" s="247"/>
      <c r="KP22" s="247"/>
      <c r="KQ22" s="247"/>
      <c r="KR22" s="247"/>
      <c r="KS22" s="247"/>
      <c r="KT22" s="247"/>
      <c r="KU22" s="247"/>
      <c r="KV22" s="247"/>
      <c r="KW22" s="247"/>
      <c r="KX22" s="247"/>
      <c r="KY22" s="247"/>
      <c r="KZ22" s="247"/>
      <c r="LA22" s="247"/>
      <c r="LB22" s="247"/>
      <c r="LC22" s="247"/>
      <c r="LD22" s="247"/>
      <c r="LE22" s="247"/>
      <c r="LF22" s="247"/>
      <c r="LG22" s="247"/>
      <c r="LH22" s="247"/>
      <c r="LI22" s="247"/>
      <c r="LJ22" s="247"/>
      <c r="LK22" s="247"/>
      <c r="LL22" s="247"/>
      <c r="LM22" s="247"/>
      <c r="LN22" s="247"/>
      <c r="LO22" s="247"/>
      <c r="LP22" s="247"/>
      <c r="LQ22" s="247"/>
      <c r="LR22" s="247"/>
      <c r="LS22" s="247"/>
      <c r="LT22" s="247"/>
      <c r="LU22" s="247"/>
      <c r="LV22" s="247"/>
      <c r="LW22" s="247"/>
      <c r="LX22" s="247"/>
      <c r="LY22" s="247"/>
      <c r="LZ22" s="247"/>
      <c r="MA22" s="247"/>
      <c r="MB22" s="247"/>
      <c r="MC22" s="247"/>
      <c r="MD22" s="247"/>
      <c r="ME22" s="247"/>
      <c r="MF22" s="304"/>
      <c r="MG22" s="304"/>
      <c r="MH22" s="304"/>
      <c r="MI22" s="304"/>
      <c r="MJ22" s="304"/>
      <c r="MK22" s="304"/>
      <c r="ML22" s="304"/>
      <c r="MM22" s="304"/>
      <c r="MN22" s="304"/>
      <c r="MO22" s="304"/>
      <c r="MP22" s="304"/>
      <c r="MQ22" s="304"/>
      <c r="MR22" s="304"/>
      <c r="MS22" s="304"/>
      <c r="MT22" s="304"/>
      <c r="MU22" s="304"/>
      <c r="MV22" s="304"/>
      <c r="MW22" s="304"/>
      <c r="MX22" s="304"/>
      <c r="MY22" s="304"/>
      <c r="MZ22" s="304"/>
      <c r="NA22" s="304"/>
      <c r="NB22" s="304"/>
      <c r="NC22" s="304"/>
      <c r="ND22" s="304"/>
      <c r="NE22" s="304"/>
      <c r="NF22" s="304"/>
      <c r="NG22" s="304"/>
      <c r="NH22" s="304"/>
      <c r="NI22" s="304"/>
    </row>
    <row r="23" spans="1:373" x14ac:dyDescent="0.2">
      <c r="A23" s="132" t="s">
        <v>739</v>
      </c>
      <c r="B23" s="133" t="s">
        <v>933</v>
      </c>
      <c r="C23" s="134"/>
      <c r="D23" s="242" t="s">
        <v>1237</v>
      </c>
      <c r="E23" s="242">
        <v>0</v>
      </c>
      <c r="F23" s="243" t="s">
        <v>1238</v>
      </c>
      <c r="G23" s="243" t="s">
        <v>960</v>
      </c>
      <c r="H23" s="243" t="s">
        <v>961</v>
      </c>
      <c r="I23" s="243">
        <v>0</v>
      </c>
      <c r="J23" s="243">
        <v>0</v>
      </c>
      <c r="K23" s="243">
        <v>0</v>
      </c>
      <c r="L23" s="243" t="s">
        <v>1219</v>
      </c>
      <c r="M23" s="243">
        <v>0</v>
      </c>
      <c r="N23" s="243" t="s">
        <v>1218</v>
      </c>
      <c r="O23" s="243">
        <v>0</v>
      </c>
      <c r="P23" s="243">
        <v>0</v>
      </c>
      <c r="Q23" s="243">
        <v>0</v>
      </c>
      <c r="R23" s="135"/>
      <c r="S23" s="135"/>
      <c r="T23" s="135"/>
      <c r="U23" s="135"/>
      <c r="V23" s="135"/>
      <c r="W23" s="135">
        <v>0</v>
      </c>
      <c r="X23" s="135">
        <v>0</v>
      </c>
      <c r="Y23" s="135">
        <v>0</v>
      </c>
      <c r="Z23" s="136">
        <v>284.66000000000003</v>
      </c>
      <c r="AA23" s="136">
        <v>719</v>
      </c>
      <c r="AB23" s="136">
        <v>0</v>
      </c>
      <c r="AC23" s="137">
        <v>0</v>
      </c>
      <c r="AD23" s="137">
        <v>0</v>
      </c>
      <c r="AE23" s="138">
        <v>10</v>
      </c>
      <c r="AF23" s="138">
        <v>8</v>
      </c>
      <c r="AG23" s="138">
        <v>2</v>
      </c>
      <c r="AH23" s="139">
        <v>1</v>
      </c>
      <c r="AI23" s="139" t="s">
        <v>1387</v>
      </c>
      <c r="AJ23" s="138" t="s">
        <v>3640</v>
      </c>
      <c r="AK23" s="195" t="s">
        <v>3637</v>
      </c>
      <c r="AL23" s="138" t="s">
        <v>1316</v>
      </c>
      <c r="AM23" s="27" t="s">
        <v>1316</v>
      </c>
      <c r="AN23" s="138">
        <v>1.68</v>
      </c>
      <c r="AO23" s="140">
        <v>3.7202380952380953</v>
      </c>
      <c r="AP23" s="140">
        <v>2.0833333333333335</v>
      </c>
      <c r="AQ23" s="140">
        <v>0.29761904761904762</v>
      </c>
      <c r="AR23" s="138">
        <v>0</v>
      </c>
      <c r="AS23" s="138">
        <v>0</v>
      </c>
      <c r="AT23" s="198"/>
      <c r="AU23" s="198"/>
      <c r="AV23" s="198"/>
      <c r="AW23" s="211" t="s">
        <v>790</v>
      </c>
      <c r="AX23" s="211" t="s">
        <v>1324</v>
      </c>
      <c r="AY23" s="141"/>
      <c r="AZ23" s="141"/>
      <c r="BA23" s="142">
        <v>2</v>
      </c>
      <c r="BB23" s="142" t="s">
        <v>527</v>
      </c>
      <c r="BC23" s="142"/>
      <c r="BD23" s="142">
        <v>2</v>
      </c>
      <c r="BE23" s="143" t="s">
        <v>541</v>
      </c>
      <c r="BF23" s="144">
        <v>1</v>
      </c>
      <c r="BG23" s="145"/>
      <c r="BH23" s="212"/>
      <c r="BI23" s="213"/>
      <c r="BJ23" s="146">
        <v>25</v>
      </c>
      <c r="BK23" s="214">
        <v>26</v>
      </c>
      <c r="BL23" s="13">
        <v>17</v>
      </c>
      <c r="BM23" s="13">
        <v>8</v>
      </c>
      <c r="BN23" s="27" t="s">
        <v>1393</v>
      </c>
      <c r="BO23" s="13" t="s">
        <v>1392</v>
      </c>
      <c r="BP23" s="147">
        <v>30</v>
      </c>
      <c r="BQ23" s="148"/>
      <c r="BR23" s="149"/>
      <c r="BS23" s="138">
        <v>1000000000</v>
      </c>
      <c r="BT23" s="150">
        <v>6</v>
      </c>
      <c r="BU23" s="151">
        <v>0.76</v>
      </c>
      <c r="BV23" s="150">
        <v>8</v>
      </c>
      <c r="BW23" s="152">
        <v>0</v>
      </c>
      <c r="BX23" s="152">
        <v>0</v>
      </c>
      <c r="BY23" s="152">
        <v>0</v>
      </c>
      <c r="BZ23" s="150">
        <v>0</v>
      </c>
      <c r="CA23" s="150">
        <v>0</v>
      </c>
      <c r="CB23" s="150">
        <v>14</v>
      </c>
      <c r="CC23" s="151">
        <v>0.44</v>
      </c>
      <c r="CD23" s="150"/>
      <c r="CE23" s="150"/>
      <c r="CF23" s="153">
        <v>12</v>
      </c>
      <c r="CG23" s="154">
        <v>5</v>
      </c>
      <c r="CH23" s="148">
        <v>6</v>
      </c>
      <c r="CI23" s="155"/>
      <c r="CJ23" s="156" t="s">
        <v>1316</v>
      </c>
      <c r="CK23" s="157" t="s">
        <v>1316</v>
      </c>
      <c r="CL23" s="154">
        <v>868.68</v>
      </c>
      <c r="CM23" s="154">
        <v>0</v>
      </c>
      <c r="CN23" s="151">
        <v>0</v>
      </c>
      <c r="CO23" s="151">
        <v>7.3239373287430602</v>
      </c>
      <c r="CP23" s="158"/>
      <c r="CQ23" s="151">
        <v>0.8</v>
      </c>
      <c r="CR23" s="199">
        <v>42891</v>
      </c>
      <c r="CS23" s="200">
        <v>43185</v>
      </c>
      <c r="CT23" s="201">
        <v>43255</v>
      </c>
      <c r="CU23" s="201">
        <v>43195</v>
      </c>
      <c r="CV23" s="201">
        <v>43179</v>
      </c>
      <c r="CW23" s="201">
        <v>43209</v>
      </c>
      <c r="CX23" s="201">
        <v>43251</v>
      </c>
      <c r="CY23" s="151">
        <v>0.74820742279597918</v>
      </c>
      <c r="CZ23" s="150">
        <v>0</v>
      </c>
      <c r="DA23" s="151">
        <v>0</v>
      </c>
      <c r="DB23" s="151">
        <v>0.6875</v>
      </c>
      <c r="DC23" s="151">
        <v>0.265625</v>
      </c>
      <c r="DD23" s="151">
        <v>0</v>
      </c>
      <c r="DE23" s="159">
        <v>0</v>
      </c>
      <c r="DF23" s="13" t="s">
        <v>1316</v>
      </c>
      <c r="DG23" s="85" t="s">
        <v>1394</v>
      </c>
      <c r="DH23" s="18" t="b">
        <v>0</v>
      </c>
      <c r="DI23" s="84"/>
      <c r="DJ23" s="84"/>
      <c r="DK23" s="215"/>
      <c r="DL23" s="194"/>
      <c r="DM23" s="216"/>
      <c r="DN23" s="151"/>
      <c r="DO23" s="84"/>
      <c r="DP23" s="84"/>
      <c r="DQ23" s="84"/>
      <c r="DR23" s="84"/>
      <c r="DS23" s="84"/>
      <c r="DT23" s="84"/>
      <c r="DU23" s="84"/>
      <c r="DV23" s="18"/>
      <c r="DW23" s="18"/>
      <c r="DX23" s="18"/>
      <c r="DY23" s="197"/>
      <c r="DZ23" s="197">
        <v>0</v>
      </c>
      <c r="EA23" s="197">
        <v>0</v>
      </c>
      <c r="EB23" s="197">
        <v>0</v>
      </c>
      <c r="EC23" s="197">
        <v>0</v>
      </c>
      <c r="ED23" s="197">
        <v>0</v>
      </c>
      <c r="EE23" s="197">
        <v>0</v>
      </c>
      <c r="EF23" s="197">
        <v>8</v>
      </c>
      <c r="EG23" s="221"/>
      <c r="EH23" s="248">
        <v>23</v>
      </c>
      <c r="EI23" s="248">
        <v>21</v>
      </c>
      <c r="EJ23" s="250">
        <v>19</v>
      </c>
      <c r="EK23" s="250">
        <v>19</v>
      </c>
      <c r="EL23" s="248">
        <v>19</v>
      </c>
      <c r="EM23" s="252">
        <v>26</v>
      </c>
      <c r="EN23" s="249">
        <v>6</v>
      </c>
      <c r="EO23" s="249">
        <v>1</v>
      </c>
      <c r="EP23" s="249">
        <v>1</v>
      </c>
      <c r="EQ23" s="249">
        <v>3</v>
      </c>
      <c r="ER23" s="250">
        <v>9</v>
      </c>
      <c r="ES23" s="249">
        <v>6</v>
      </c>
      <c r="ET23" s="250">
        <v>11</v>
      </c>
      <c r="EU23" s="249">
        <v>8</v>
      </c>
      <c r="EV23" s="249">
        <v>8</v>
      </c>
      <c r="EW23" s="249">
        <v>7</v>
      </c>
      <c r="EX23" s="249">
        <v>7</v>
      </c>
      <c r="EY23" s="249">
        <v>7</v>
      </c>
      <c r="EZ23" s="249">
        <v>7</v>
      </c>
      <c r="FA23" s="249">
        <v>7</v>
      </c>
      <c r="FB23" s="249">
        <v>6</v>
      </c>
      <c r="FC23" s="249">
        <v>6</v>
      </c>
      <c r="FD23" s="249">
        <v>6</v>
      </c>
      <c r="FE23" s="249">
        <v>6</v>
      </c>
      <c r="FF23" s="250">
        <v>17</v>
      </c>
      <c r="FG23" s="250">
        <v>17</v>
      </c>
      <c r="FH23" s="250">
        <v>17</v>
      </c>
      <c r="FI23" s="250">
        <v>17</v>
      </c>
      <c r="FJ23" s="250">
        <v>17</v>
      </c>
      <c r="FK23" s="250">
        <v>17</v>
      </c>
      <c r="FL23" s="250">
        <v>17</v>
      </c>
      <c r="FM23" s="250">
        <v>17</v>
      </c>
      <c r="FN23" s="250">
        <v>17</v>
      </c>
      <c r="FO23" s="250">
        <v>17</v>
      </c>
      <c r="FP23" s="250">
        <v>17</v>
      </c>
      <c r="FQ23" s="250">
        <v>17</v>
      </c>
      <c r="FR23" s="250">
        <v>17</v>
      </c>
      <c r="FS23" s="250">
        <v>17</v>
      </c>
      <c r="FT23" s="250">
        <v>17</v>
      </c>
      <c r="FU23" s="250">
        <v>16</v>
      </c>
      <c r="FV23" s="250">
        <v>16</v>
      </c>
      <c r="FW23" s="250">
        <v>16</v>
      </c>
      <c r="FX23" s="250">
        <v>16</v>
      </c>
      <c r="FY23" s="250">
        <v>16</v>
      </c>
      <c r="FZ23" s="250">
        <v>16</v>
      </c>
      <c r="GA23" s="250">
        <v>16</v>
      </c>
      <c r="GB23" s="250">
        <v>16</v>
      </c>
      <c r="GC23" s="250">
        <v>16</v>
      </c>
      <c r="GD23" s="250">
        <v>16</v>
      </c>
      <c r="GE23" s="221"/>
      <c r="GF23" s="250">
        <v>16</v>
      </c>
      <c r="GG23" s="250">
        <v>16</v>
      </c>
      <c r="GH23" s="250">
        <v>16</v>
      </c>
      <c r="GI23" s="250">
        <v>16</v>
      </c>
      <c r="GJ23" s="250">
        <v>16</v>
      </c>
      <c r="GK23" s="250">
        <v>16</v>
      </c>
      <c r="GL23" s="250">
        <v>16</v>
      </c>
      <c r="GM23" s="221"/>
      <c r="GN23" s="250">
        <v>16</v>
      </c>
      <c r="GO23" s="250">
        <v>16</v>
      </c>
      <c r="GP23" s="250">
        <v>16</v>
      </c>
      <c r="GQ23" s="250">
        <v>16</v>
      </c>
      <c r="GR23" s="250">
        <v>16</v>
      </c>
      <c r="GS23" s="250">
        <v>16</v>
      </c>
      <c r="GT23" s="249">
        <v>7</v>
      </c>
      <c r="GU23" s="249">
        <v>6</v>
      </c>
      <c r="GV23" s="249">
        <v>6</v>
      </c>
      <c r="GW23" s="249">
        <v>6</v>
      </c>
      <c r="GX23" s="249">
        <v>6</v>
      </c>
      <c r="GY23" s="249">
        <v>6</v>
      </c>
      <c r="GZ23" s="249">
        <v>6</v>
      </c>
      <c r="HA23" s="249">
        <v>2</v>
      </c>
      <c r="HB23" s="249">
        <v>2</v>
      </c>
      <c r="HC23" s="249">
        <v>2</v>
      </c>
      <c r="HD23" s="249">
        <v>2</v>
      </c>
      <c r="HE23" s="249">
        <v>2</v>
      </c>
      <c r="HF23" s="249">
        <v>2</v>
      </c>
      <c r="HG23" s="249">
        <v>2</v>
      </c>
      <c r="HH23" s="249">
        <v>2</v>
      </c>
      <c r="HI23" s="249">
        <v>2</v>
      </c>
      <c r="HJ23" s="249">
        <v>2</v>
      </c>
      <c r="HK23" s="249">
        <v>2</v>
      </c>
      <c r="HL23" s="249">
        <v>2</v>
      </c>
      <c r="HM23" s="249">
        <v>2</v>
      </c>
      <c r="HN23" s="249">
        <v>2</v>
      </c>
      <c r="HO23" s="249">
        <v>2</v>
      </c>
      <c r="HP23" s="249">
        <v>2</v>
      </c>
      <c r="HQ23" s="249">
        <v>2</v>
      </c>
      <c r="HR23" s="249">
        <v>2</v>
      </c>
      <c r="HS23" s="249">
        <v>2</v>
      </c>
      <c r="HT23" s="249">
        <v>2</v>
      </c>
      <c r="HU23" s="249">
        <v>6</v>
      </c>
      <c r="HV23" s="249">
        <v>6</v>
      </c>
      <c r="HW23" s="249">
        <v>6</v>
      </c>
      <c r="HX23" s="249">
        <v>6</v>
      </c>
      <c r="HY23" s="249">
        <v>6</v>
      </c>
      <c r="HZ23" s="249">
        <v>6</v>
      </c>
      <c r="IA23" s="249">
        <v>6</v>
      </c>
      <c r="IB23" s="249">
        <v>6</v>
      </c>
      <c r="IC23" s="249">
        <v>6</v>
      </c>
      <c r="ID23" s="249">
        <v>6</v>
      </c>
      <c r="IE23" s="249">
        <v>6</v>
      </c>
      <c r="IF23" s="249">
        <v>6</v>
      </c>
      <c r="IG23" s="249">
        <v>6</v>
      </c>
      <c r="IH23" s="249">
        <v>6</v>
      </c>
      <c r="II23" s="249">
        <v>6</v>
      </c>
      <c r="IJ23" s="221"/>
      <c r="IK23" s="249">
        <v>6</v>
      </c>
      <c r="IL23" s="249">
        <v>6</v>
      </c>
      <c r="IM23" s="221"/>
      <c r="IN23" s="221"/>
      <c r="IO23" s="221"/>
      <c r="IP23" s="221"/>
      <c r="IQ23" s="221"/>
      <c r="IR23" s="221"/>
      <c r="IS23" s="221"/>
      <c r="IT23" s="221"/>
      <c r="IU23" s="221"/>
      <c r="IV23" s="221"/>
      <c r="IW23" s="221"/>
      <c r="IX23" s="221"/>
      <c r="IY23" s="221"/>
      <c r="IZ23" s="221"/>
      <c r="JA23" s="221"/>
      <c r="JB23" s="221"/>
      <c r="JC23" s="221"/>
      <c r="JD23" s="221"/>
      <c r="JE23" s="221"/>
      <c r="JF23" s="221"/>
      <c r="JG23" s="221"/>
      <c r="JH23" s="221"/>
      <c r="JI23" s="221"/>
      <c r="JJ23" s="221"/>
      <c r="JK23" s="221"/>
      <c r="JL23" s="221"/>
      <c r="JM23" s="221"/>
      <c r="JN23" s="221"/>
      <c r="JO23" s="221"/>
      <c r="JP23" s="221"/>
      <c r="JQ23" s="221"/>
      <c r="JR23" s="221"/>
      <c r="JS23" s="221"/>
      <c r="JT23" s="221"/>
      <c r="JU23" s="221"/>
      <c r="JV23" s="221"/>
      <c r="JW23" s="221"/>
      <c r="JX23" s="221"/>
      <c r="JY23" s="221"/>
      <c r="JZ23" s="221"/>
      <c r="KA23" s="221"/>
      <c r="KB23" s="221"/>
      <c r="KC23" s="221"/>
      <c r="KD23" s="221"/>
      <c r="KE23" s="221"/>
      <c r="KF23" s="221"/>
      <c r="KG23" s="221"/>
      <c r="KH23" s="221"/>
      <c r="KI23" s="221"/>
      <c r="KJ23" s="221"/>
      <c r="KK23" s="221"/>
      <c r="KL23" s="221"/>
      <c r="KM23" s="221"/>
      <c r="KN23" s="221"/>
      <c r="KO23" s="221"/>
      <c r="KP23" s="221"/>
      <c r="KQ23" s="221"/>
      <c r="KR23" s="221"/>
      <c r="KS23" s="221"/>
      <c r="KT23" s="221"/>
      <c r="KU23" s="221"/>
      <c r="KV23" s="221"/>
      <c r="KW23" s="221"/>
      <c r="KX23" s="221"/>
      <c r="KY23" s="221"/>
      <c r="KZ23" s="221"/>
      <c r="LA23" s="221"/>
      <c r="LB23" s="221"/>
      <c r="LC23" s="221"/>
      <c r="LD23" s="221"/>
      <c r="LE23" s="221"/>
      <c r="LF23" s="221"/>
      <c r="LG23" s="221"/>
      <c r="LH23" s="221"/>
      <c r="LI23" s="221"/>
      <c r="LJ23" s="221"/>
      <c r="LK23" s="221"/>
      <c r="LL23" s="221"/>
      <c r="LM23" s="221"/>
      <c r="LN23" s="221"/>
      <c r="LO23" s="221"/>
      <c r="LP23" s="221"/>
      <c r="LQ23" s="221"/>
      <c r="LR23" s="221"/>
      <c r="LS23" s="221"/>
      <c r="LT23" s="221"/>
      <c r="LU23" s="221"/>
      <c r="LV23" s="221"/>
      <c r="LW23" s="221"/>
      <c r="LX23" s="221"/>
      <c r="LY23" s="221"/>
      <c r="LZ23" s="221"/>
      <c r="MA23" s="221"/>
      <c r="MB23" s="221"/>
      <c r="MC23" s="221"/>
      <c r="MD23" s="221"/>
      <c r="ME23" s="221"/>
      <c r="MF23" s="305"/>
      <c r="MG23" s="305"/>
      <c r="MH23" s="305"/>
      <c r="MI23" s="305"/>
      <c r="MJ23" s="305"/>
      <c r="MK23" s="305"/>
      <c r="ML23" s="305"/>
      <c r="MM23" s="305"/>
      <c r="MN23" s="305"/>
      <c r="MO23" s="305"/>
      <c r="MP23" s="305"/>
      <c r="MQ23" s="305"/>
      <c r="MR23" s="305"/>
      <c r="MS23" s="305"/>
      <c r="MT23" s="305"/>
      <c r="MU23" s="305"/>
      <c r="MV23" s="305"/>
      <c r="MW23" s="305"/>
      <c r="MX23" s="305"/>
      <c r="MY23" s="305"/>
      <c r="MZ23" s="305"/>
      <c r="NA23" s="305"/>
      <c r="NB23" s="305"/>
      <c r="NC23" s="305"/>
      <c r="ND23" s="305"/>
      <c r="NE23" s="305"/>
      <c r="NF23" s="305"/>
      <c r="NG23" s="305"/>
      <c r="NH23" s="305"/>
      <c r="NI23" s="305"/>
    </row>
    <row r="24" spans="1:373" x14ac:dyDescent="0.2">
      <c r="A24" s="132" t="s">
        <v>739</v>
      </c>
      <c r="B24" s="133" t="s">
        <v>934</v>
      </c>
      <c r="C24" s="134"/>
      <c r="D24" s="242" t="s">
        <v>1252</v>
      </c>
      <c r="E24" s="242">
        <v>0</v>
      </c>
      <c r="F24" s="243" t="s">
        <v>1253</v>
      </c>
      <c r="G24" s="243" t="s">
        <v>1242</v>
      </c>
      <c r="H24" s="243" t="s">
        <v>961</v>
      </c>
      <c r="I24" s="243">
        <v>0</v>
      </c>
      <c r="J24" s="243">
        <v>0</v>
      </c>
      <c r="K24" s="243">
        <v>0</v>
      </c>
      <c r="L24" s="243" t="s">
        <v>1243</v>
      </c>
      <c r="M24" s="243">
        <v>0</v>
      </c>
      <c r="N24" s="243" t="s">
        <v>1218</v>
      </c>
      <c r="O24" s="243">
        <v>0</v>
      </c>
      <c r="P24" s="243">
        <v>0</v>
      </c>
      <c r="Q24" s="243">
        <v>0</v>
      </c>
      <c r="R24" s="135"/>
      <c r="S24" s="135"/>
      <c r="T24" s="135"/>
      <c r="U24" s="135"/>
      <c r="V24" s="135"/>
      <c r="W24" s="135">
        <v>0</v>
      </c>
      <c r="X24" s="135">
        <v>0</v>
      </c>
      <c r="Y24" s="135">
        <v>0</v>
      </c>
      <c r="Z24" s="136">
        <v>283.99</v>
      </c>
      <c r="AA24" s="136">
        <v>589.29</v>
      </c>
      <c r="AB24" s="136">
        <v>0</v>
      </c>
      <c r="AC24" s="137">
        <v>0</v>
      </c>
      <c r="AD24" s="137">
        <v>0</v>
      </c>
      <c r="AE24" s="138">
        <v>10</v>
      </c>
      <c r="AF24" s="138">
        <v>8</v>
      </c>
      <c r="AG24" s="138">
        <v>2</v>
      </c>
      <c r="AH24" s="139">
        <v>1</v>
      </c>
      <c r="AI24" s="139" t="s">
        <v>1387</v>
      </c>
      <c r="AJ24" s="138" t="s">
        <v>3640</v>
      </c>
      <c r="AK24" s="195" t="s">
        <v>3641</v>
      </c>
      <c r="AL24" s="138" t="s">
        <v>1316</v>
      </c>
      <c r="AM24" s="27" t="s">
        <v>1316</v>
      </c>
      <c r="AN24" s="138">
        <v>1</v>
      </c>
      <c r="AO24" s="140">
        <v>3.5</v>
      </c>
      <c r="AP24" s="140">
        <v>0.5</v>
      </c>
      <c r="AQ24" s="140">
        <v>0.25</v>
      </c>
      <c r="AR24" s="138">
        <v>0</v>
      </c>
      <c r="AS24" s="138">
        <v>0</v>
      </c>
      <c r="AT24" s="198"/>
      <c r="AU24" s="198"/>
      <c r="AV24" s="198"/>
      <c r="AW24" s="211" t="s">
        <v>790</v>
      </c>
      <c r="AX24" s="211" t="s">
        <v>1324</v>
      </c>
      <c r="AY24" s="141"/>
      <c r="AZ24" s="141"/>
      <c r="BA24" s="142">
        <v>1</v>
      </c>
      <c r="BB24" s="142" t="s">
        <v>527</v>
      </c>
      <c r="BC24" s="142"/>
      <c r="BD24" s="142">
        <v>1</v>
      </c>
      <c r="BE24" s="143" t="s">
        <v>541</v>
      </c>
      <c r="BF24" s="144">
        <v>1</v>
      </c>
      <c r="BG24" s="145"/>
      <c r="BH24" s="212"/>
      <c r="BI24" s="213"/>
      <c r="BJ24" s="146">
        <v>14</v>
      </c>
      <c r="BK24" s="214">
        <v>15</v>
      </c>
      <c r="BL24" s="13">
        <v>9</v>
      </c>
      <c r="BM24" s="13">
        <v>5</v>
      </c>
      <c r="BN24" s="27" t="s">
        <v>1393</v>
      </c>
      <c r="BO24" s="13" t="s">
        <v>1393</v>
      </c>
      <c r="BP24" s="147">
        <v>16</v>
      </c>
      <c r="BQ24" s="148"/>
      <c r="BR24" s="149"/>
      <c r="BS24" s="138">
        <v>1000000000</v>
      </c>
      <c r="BT24" s="150">
        <v>2</v>
      </c>
      <c r="BU24" s="151">
        <v>0.86</v>
      </c>
      <c r="BV24" s="150">
        <v>0</v>
      </c>
      <c r="BW24" s="152">
        <v>0</v>
      </c>
      <c r="BX24" s="152">
        <v>0</v>
      </c>
      <c r="BY24" s="152">
        <v>0</v>
      </c>
      <c r="BZ24" s="150">
        <v>0</v>
      </c>
      <c r="CA24" s="150">
        <v>0</v>
      </c>
      <c r="CB24" s="150">
        <v>2</v>
      </c>
      <c r="CC24" s="151">
        <v>0.86</v>
      </c>
      <c r="CD24" s="150"/>
      <c r="CE24" s="150"/>
      <c r="CF24" s="153">
        <v>12</v>
      </c>
      <c r="CG24" s="154">
        <v>3</v>
      </c>
      <c r="CH24" s="148">
        <v>4</v>
      </c>
      <c r="CI24" s="155"/>
      <c r="CJ24" s="156" t="s">
        <v>1316</v>
      </c>
      <c r="CK24" s="157" t="s">
        <v>1316</v>
      </c>
      <c r="CL24" s="154">
        <v>915.89999999999986</v>
      </c>
      <c r="CM24" s="154">
        <v>0</v>
      </c>
      <c r="CN24" s="151">
        <v>0</v>
      </c>
      <c r="CO24" s="151">
        <v>5.1601816965386096</v>
      </c>
      <c r="CP24" s="158"/>
      <c r="CQ24" s="151">
        <v>1</v>
      </c>
      <c r="CR24" s="199">
        <v>42891</v>
      </c>
      <c r="CS24" s="200">
        <v>43185</v>
      </c>
      <c r="CT24" s="201">
        <v>43255</v>
      </c>
      <c r="CU24" s="201">
        <v>43118</v>
      </c>
      <c r="CV24" s="201">
        <v>43133</v>
      </c>
      <c r="CW24" s="201">
        <v>43132</v>
      </c>
      <c r="CX24" s="201">
        <v>43174</v>
      </c>
      <c r="CY24" s="151">
        <v>0.46600271994228132</v>
      </c>
      <c r="CZ24" s="150">
        <v>0</v>
      </c>
      <c r="DA24" s="151">
        <v>0</v>
      </c>
      <c r="DB24" s="151">
        <v>0.140625</v>
      </c>
      <c r="DC24" s="151">
        <v>0.328125</v>
      </c>
      <c r="DD24" s="151">
        <v>0.203125</v>
      </c>
      <c r="DE24" s="159">
        <v>0.28125</v>
      </c>
      <c r="DF24" s="13" t="s">
        <v>1316</v>
      </c>
      <c r="DG24" s="85" t="s">
        <v>1394</v>
      </c>
      <c r="DH24" s="18" t="b">
        <v>0</v>
      </c>
      <c r="DI24" s="84"/>
      <c r="DJ24" s="84"/>
      <c r="DK24" s="215"/>
      <c r="DL24" s="194"/>
      <c r="DM24" s="216"/>
      <c r="DN24" s="151"/>
      <c r="DO24" s="84"/>
      <c r="DP24" s="84"/>
      <c r="DQ24" s="84"/>
      <c r="DR24" s="84"/>
      <c r="DS24" s="84"/>
      <c r="DT24" s="84"/>
      <c r="DU24" s="84"/>
      <c r="DV24" s="18"/>
      <c r="DW24" s="18"/>
      <c r="DX24" s="18"/>
      <c r="DY24" s="197"/>
      <c r="DZ24" s="197">
        <v>0</v>
      </c>
      <c r="EA24" s="197">
        <v>0</v>
      </c>
      <c r="EB24" s="197">
        <v>0</v>
      </c>
      <c r="EC24" s="197">
        <v>0</v>
      </c>
      <c r="ED24" s="197">
        <v>0</v>
      </c>
      <c r="EE24" s="197">
        <v>0</v>
      </c>
      <c r="EF24" s="197">
        <v>0</v>
      </c>
      <c r="EG24" s="219"/>
      <c r="EH24" s="225">
        <v>13</v>
      </c>
      <c r="EI24" s="225">
        <v>12</v>
      </c>
      <c r="EJ24" s="225">
        <v>12</v>
      </c>
      <c r="EK24" s="225">
        <v>12</v>
      </c>
      <c r="EL24" s="225">
        <v>13</v>
      </c>
      <c r="EM24" s="224">
        <v>8</v>
      </c>
      <c r="EN24" s="223">
        <v>4</v>
      </c>
      <c r="EO24" s="223">
        <v>1</v>
      </c>
      <c r="EP24" s="223">
        <v>1</v>
      </c>
      <c r="EQ24" s="223">
        <v>2</v>
      </c>
      <c r="ER24" s="224">
        <v>8</v>
      </c>
      <c r="ES24" s="224">
        <v>8</v>
      </c>
      <c r="ET24" s="224">
        <v>9</v>
      </c>
      <c r="EU24" s="225">
        <v>11</v>
      </c>
      <c r="EV24" s="225">
        <v>11</v>
      </c>
      <c r="EW24" s="226">
        <v>17</v>
      </c>
      <c r="EX24" s="226">
        <v>17</v>
      </c>
      <c r="EY24" s="226">
        <v>17</v>
      </c>
      <c r="EZ24" s="226">
        <v>16</v>
      </c>
      <c r="FA24" s="226">
        <v>16</v>
      </c>
      <c r="FB24" s="226">
        <v>16</v>
      </c>
      <c r="FC24" s="226">
        <v>16</v>
      </c>
      <c r="FD24" s="226">
        <v>16</v>
      </c>
      <c r="FE24" s="226">
        <v>16</v>
      </c>
      <c r="FF24" s="226">
        <v>18</v>
      </c>
      <c r="FG24" s="226">
        <v>18</v>
      </c>
      <c r="FH24" s="226">
        <v>18</v>
      </c>
      <c r="FI24" s="226">
        <v>18</v>
      </c>
      <c r="FJ24" s="226">
        <v>18</v>
      </c>
      <c r="FK24" s="226">
        <v>18</v>
      </c>
      <c r="FL24" s="226">
        <v>18</v>
      </c>
      <c r="FM24" s="226">
        <v>18</v>
      </c>
      <c r="FN24" s="226">
        <v>18</v>
      </c>
      <c r="FO24" s="226">
        <v>18</v>
      </c>
      <c r="FP24" s="226">
        <v>18</v>
      </c>
      <c r="FQ24" s="226">
        <v>18</v>
      </c>
      <c r="FR24" s="226">
        <v>18</v>
      </c>
      <c r="FS24" s="226">
        <v>18</v>
      </c>
      <c r="FT24" s="226">
        <v>18</v>
      </c>
      <c r="FU24" s="226">
        <v>17</v>
      </c>
      <c r="FV24" s="226">
        <v>16</v>
      </c>
      <c r="FW24" s="226">
        <v>16</v>
      </c>
      <c r="FX24" s="226">
        <v>16</v>
      </c>
      <c r="FY24" s="226">
        <v>15</v>
      </c>
      <c r="FZ24" s="226">
        <v>15</v>
      </c>
      <c r="GA24" s="226">
        <v>15</v>
      </c>
      <c r="GB24" s="226">
        <v>15</v>
      </c>
      <c r="GC24" s="226">
        <v>15</v>
      </c>
      <c r="GD24" s="226">
        <v>15</v>
      </c>
      <c r="GE24" s="247"/>
      <c r="GF24" s="226">
        <v>15</v>
      </c>
      <c r="GG24" s="226">
        <v>15</v>
      </c>
      <c r="GH24" s="226">
        <v>15</v>
      </c>
      <c r="GI24" s="226">
        <v>15</v>
      </c>
      <c r="GJ24" s="226">
        <v>15</v>
      </c>
      <c r="GK24" s="226">
        <v>15</v>
      </c>
      <c r="GL24" s="226">
        <v>15</v>
      </c>
      <c r="GM24" s="247"/>
      <c r="GN24" s="226">
        <v>15</v>
      </c>
      <c r="GO24" s="226">
        <v>15</v>
      </c>
      <c r="GP24" s="226">
        <v>15</v>
      </c>
      <c r="GQ24" s="226">
        <v>15</v>
      </c>
      <c r="GR24" s="226">
        <v>15</v>
      </c>
      <c r="GS24" s="226">
        <v>15</v>
      </c>
      <c r="GT24" s="226">
        <v>15</v>
      </c>
      <c r="GU24" s="225">
        <v>10</v>
      </c>
      <c r="GV24" s="225">
        <v>10</v>
      </c>
      <c r="GW24" s="225">
        <v>10</v>
      </c>
      <c r="GX24" s="225">
        <v>10</v>
      </c>
      <c r="GY24" s="225">
        <v>10</v>
      </c>
      <c r="GZ24" s="225">
        <v>10</v>
      </c>
      <c r="HA24" s="225">
        <v>10</v>
      </c>
      <c r="HB24" s="225">
        <v>10</v>
      </c>
      <c r="HC24" s="225">
        <v>10</v>
      </c>
      <c r="HD24" s="225">
        <v>10</v>
      </c>
      <c r="HE24" s="225">
        <v>10</v>
      </c>
      <c r="HF24" s="225">
        <v>10</v>
      </c>
      <c r="HG24" s="225">
        <v>10</v>
      </c>
      <c r="HH24" s="224">
        <v>7</v>
      </c>
      <c r="HI24" s="224">
        <v>7</v>
      </c>
      <c r="HJ24" s="224">
        <v>7</v>
      </c>
      <c r="HK24" s="224">
        <v>7</v>
      </c>
      <c r="HL24" s="224">
        <v>7</v>
      </c>
      <c r="HM24" s="224">
        <v>7</v>
      </c>
      <c r="HN24" s="224">
        <v>7</v>
      </c>
      <c r="HO24" s="224">
        <v>7</v>
      </c>
      <c r="HP24" s="224">
        <v>7</v>
      </c>
      <c r="HQ24" s="224">
        <v>7</v>
      </c>
      <c r="HR24" s="224">
        <v>7</v>
      </c>
      <c r="HS24" s="224">
        <v>7</v>
      </c>
      <c r="HT24" s="224">
        <v>6</v>
      </c>
      <c r="HU24" s="224">
        <v>6</v>
      </c>
      <c r="HV24" s="224">
        <v>6</v>
      </c>
      <c r="HW24" s="224">
        <v>6</v>
      </c>
      <c r="HX24" s="224">
        <v>6</v>
      </c>
      <c r="HY24" s="224">
        <v>6</v>
      </c>
      <c r="HZ24" s="224">
        <v>6</v>
      </c>
      <c r="IA24" s="224">
        <v>6</v>
      </c>
      <c r="IB24" s="224">
        <v>6</v>
      </c>
      <c r="IC24" s="223">
        <v>4</v>
      </c>
      <c r="ID24" s="223">
        <v>4</v>
      </c>
      <c r="IE24" s="223">
        <v>4</v>
      </c>
      <c r="IF24" s="223">
        <v>4</v>
      </c>
      <c r="IG24" s="223">
        <v>3</v>
      </c>
      <c r="IH24" s="223">
        <v>2</v>
      </c>
      <c r="II24" s="223">
        <v>2</v>
      </c>
      <c r="IJ24" s="247"/>
      <c r="IK24" s="223">
        <v>2</v>
      </c>
      <c r="IL24" s="223">
        <v>2</v>
      </c>
      <c r="IM24" s="247"/>
      <c r="IN24" s="247"/>
      <c r="IO24" s="247"/>
      <c r="IP24" s="247"/>
      <c r="IQ24" s="247"/>
      <c r="IR24" s="247"/>
      <c r="IS24" s="247"/>
      <c r="IT24" s="247"/>
      <c r="IU24" s="247"/>
      <c r="IV24" s="247"/>
      <c r="IW24" s="247"/>
      <c r="IX24" s="247"/>
      <c r="IY24" s="247"/>
      <c r="IZ24" s="247"/>
      <c r="JA24" s="247"/>
      <c r="JB24" s="247"/>
      <c r="JC24" s="247"/>
      <c r="JD24" s="247"/>
      <c r="JE24" s="247"/>
      <c r="JF24" s="247"/>
      <c r="JG24" s="247"/>
      <c r="JH24" s="247"/>
      <c r="JI24" s="247"/>
      <c r="JJ24" s="247"/>
      <c r="JK24" s="247"/>
      <c r="JL24" s="247"/>
      <c r="JM24" s="247"/>
      <c r="JN24" s="247"/>
      <c r="JO24" s="247"/>
      <c r="JP24" s="247"/>
      <c r="JQ24" s="247"/>
      <c r="JR24" s="247"/>
      <c r="JS24" s="247"/>
      <c r="JT24" s="247"/>
      <c r="JU24" s="247"/>
      <c r="JV24" s="247"/>
      <c r="JW24" s="247"/>
      <c r="JX24" s="247"/>
      <c r="JY24" s="247"/>
      <c r="JZ24" s="247"/>
      <c r="KA24" s="247"/>
      <c r="KB24" s="247"/>
      <c r="KC24" s="247"/>
      <c r="KD24" s="247"/>
      <c r="KE24" s="247"/>
      <c r="KF24" s="247"/>
      <c r="KG24" s="247"/>
      <c r="KH24" s="247"/>
      <c r="KI24" s="247"/>
      <c r="KJ24" s="247"/>
      <c r="KK24" s="247"/>
      <c r="KL24" s="247"/>
      <c r="KM24" s="247"/>
      <c r="KN24" s="247"/>
      <c r="KO24" s="247"/>
      <c r="KP24" s="247"/>
      <c r="KQ24" s="247"/>
      <c r="KR24" s="247"/>
      <c r="KS24" s="247"/>
      <c r="KT24" s="247"/>
      <c r="KU24" s="247"/>
      <c r="KV24" s="247"/>
      <c r="KW24" s="247"/>
      <c r="KX24" s="247"/>
      <c r="KY24" s="247"/>
      <c r="KZ24" s="247"/>
      <c r="LA24" s="247"/>
      <c r="LB24" s="247"/>
      <c r="LC24" s="247"/>
      <c r="LD24" s="247"/>
      <c r="LE24" s="247"/>
      <c r="LF24" s="247"/>
      <c r="LG24" s="247"/>
      <c r="LH24" s="247"/>
      <c r="LI24" s="247"/>
      <c r="LJ24" s="247"/>
      <c r="LK24" s="247"/>
      <c r="LL24" s="247"/>
      <c r="LM24" s="247"/>
      <c r="LN24" s="247"/>
      <c r="LO24" s="247"/>
      <c r="LP24" s="247"/>
      <c r="LQ24" s="247"/>
      <c r="LR24" s="247"/>
      <c r="LS24" s="247"/>
      <c r="LT24" s="247"/>
      <c r="LU24" s="247"/>
      <c r="LV24" s="247"/>
      <c r="LW24" s="247"/>
      <c r="LX24" s="247"/>
      <c r="LY24" s="247"/>
      <c r="LZ24" s="247"/>
      <c r="MA24" s="247"/>
      <c r="MB24" s="247"/>
      <c r="MC24" s="247"/>
      <c r="MD24" s="247"/>
      <c r="ME24" s="247"/>
      <c r="MF24" s="304"/>
      <c r="MG24" s="304"/>
      <c r="MH24" s="304"/>
      <c r="MI24" s="304"/>
      <c r="MJ24" s="304"/>
      <c r="MK24" s="304"/>
      <c r="ML24" s="304"/>
      <c r="MM24" s="304"/>
      <c r="MN24" s="304"/>
      <c r="MO24" s="304"/>
      <c r="MP24" s="304"/>
      <c r="MQ24" s="304"/>
      <c r="MR24" s="304"/>
      <c r="MS24" s="304"/>
      <c r="MT24" s="304"/>
      <c r="MU24" s="304"/>
      <c r="MV24" s="304"/>
      <c r="MW24" s="304"/>
      <c r="MX24" s="304"/>
      <c r="MY24" s="304"/>
      <c r="MZ24" s="304"/>
      <c r="NA24" s="304"/>
      <c r="NB24" s="304"/>
      <c r="NC24" s="304"/>
      <c r="ND24" s="304"/>
      <c r="NE24" s="304"/>
      <c r="NF24" s="304"/>
      <c r="NG24" s="304"/>
      <c r="NH24" s="304"/>
      <c r="NI24" s="304"/>
    </row>
    <row r="25" spans="1:373" x14ac:dyDescent="0.2">
      <c r="A25" s="132" t="s">
        <v>739</v>
      </c>
      <c r="B25" s="133" t="s">
        <v>935</v>
      </c>
      <c r="C25" s="134"/>
      <c r="D25" s="242" t="s">
        <v>1235</v>
      </c>
      <c r="E25" s="242">
        <v>0</v>
      </c>
      <c r="F25" s="243" t="s">
        <v>1236</v>
      </c>
      <c r="G25" s="243" t="s">
        <v>960</v>
      </c>
      <c r="H25" s="243" t="s">
        <v>961</v>
      </c>
      <c r="I25" s="243">
        <v>0</v>
      </c>
      <c r="J25" s="243">
        <v>0</v>
      </c>
      <c r="K25" s="243">
        <v>0</v>
      </c>
      <c r="L25" s="243" t="s">
        <v>1219</v>
      </c>
      <c r="M25" s="243">
        <v>0</v>
      </c>
      <c r="N25" s="243" t="s">
        <v>1218</v>
      </c>
      <c r="O25" s="243">
        <v>0</v>
      </c>
      <c r="P25" s="243">
        <v>0</v>
      </c>
      <c r="Q25" s="243">
        <v>0</v>
      </c>
      <c r="R25" s="135"/>
      <c r="S25" s="135"/>
      <c r="T25" s="135"/>
      <c r="U25" s="135"/>
      <c r="V25" s="135"/>
      <c r="W25" s="135">
        <v>0</v>
      </c>
      <c r="X25" s="135">
        <v>0</v>
      </c>
      <c r="Y25" s="135">
        <v>0</v>
      </c>
      <c r="Z25" s="136">
        <v>234.48</v>
      </c>
      <c r="AA25" s="136">
        <v>709.49</v>
      </c>
      <c r="AB25" s="136">
        <v>0</v>
      </c>
      <c r="AC25" s="137">
        <v>0</v>
      </c>
      <c r="AD25" s="137">
        <v>0</v>
      </c>
      <c r="AE25" s="138">
        <v>10</v>
      </c>
      <c r="AF25" s="138">
        <v>8</v>
      </c>
      <c r="AG25" s="138">
        <v>2</v>
      </c>
      <c r="AH25" s="139">
        <v>1</v>
      </c>
      <c r="AI25" s="139" t="s">
        <v>1387</v>
      </c>
      <c r="AJ25" s="138" t="s">
        <v>3632</v>
      </c>
      <c r="AK25" s="195" t="s">
        <v>3627</v>
      </c>
      <c r="AL25" s="138">
        <v>240</v>
      </c>
      <c r="AM25" s="27" t="s">
        <v>1316</v>
      </c>
      <c r="AN25" s="138">
        <v>20.64</v>
      </c>
      <c r="AO25" s="140">
        <v>3.6337209302325579</v>
      </c>
      <c r="AP25" s="140">
        <v>1.7078488372093024</v>
      </c>
      <c r="AQ25" s="140">
        <v>2.4224806201550386E-2</v>
      </c>
      <c r="AR25" s="138">
        <v>0</v>
      </c>
      <c r="AS25" s="138">
        <v>0</v>
      </c>
      <c r="AT25" s="198"/>
      <c r="AU25" s="198"/>
      <c r="AV25" s="198"/>
      <c r="AW25" s="211" t="s">
        <v>790</v>
      </c>
      <c r="AX25" s="211" t="s">
        <v>1324</v>
      </c>
      <c r="AY25" s="141"/>
      <c r="AZ25" s="141"/>
      <c r="BA25" s="142">
        <v>2</v>
      </c>
      <c r="BB25" s="142" t="s">
        <v>527</v>
      </c>
      <c r="BC25" s="142"/>
      <c r="BD25" s="142">
        <v>2</v>
      </c>
      <c r="BE25" s="143" t="s">
        <v>541</v>
      </c>
      <c r="BF25" s="144">
        <v>1</v>
      </c>
      <c r="BG25" s="145"/>
      <c r="BH25" s="212"/>
      <c r="BI25" s="213"/>
      <c r="BJ25" s="146">
        <v>300</v>
      </c>
      <c r="BK25" s="214">
        <v>310</v>
      </c>
      <c r="BL25" s="13">
        <v>200</v>
      </c>
      <c r="BM25" s="13">
        <v>99</v>
      </c>
      <c r="BN25" s="27" t="s">
        <v>1392</v>
      </c>
      <c r="BO25" s="13" t="s">
        <v>1392</v>
      </c>
      <c r="BP25" s="147">
        <v>230</v>
      </c>
      <c r="BQ25" s="148"/>
      <c r="BR25" s="149"/>
      <c r="BS25" s="138">
        <v>1000000000</v>
      </c>
      <c r="BT25" s="150">
        <v>127</v>
      </c>
      <c r="BU25" s="151">
        <v>0.57999999999999996</v>
      </c>
      <c r="BV25" s="150">
        <v>14</v>
      </c>
      <c r="BW25" s="152">
        <v>0</v>
      </c>
      <c r="BX25" s="152">
        <v>0</v>
      </c>
      <c r="BY25" s="152">
        <v>0</v>
      </c>
      <c r="BZ25" s="150">
        <v>0</v>
      </c>
      <c r="CA25" s="150">
        <v>0</v>
      </c>
      <c r="CB25" s="150">
        <v>141</v>
      </c>
      <c r="CC25" s="151">
        <v>0.53</v>
      </c>
      <c r="CD25" s="150"/>
      <c r="CE25" s="150"/>
      <c r="CF25" s="153">
        <v>160</v>
      </c>
      <c r="CG25" s="154">
        <v>60</v>
      </c>
      <c r="CH25" s="148">
        <v>20</v>
      </c>
      <c r="CI25" s="155"/>
      <c r="CJ25" s="156" t="s">
        <v>1316</v>
      </c>
      <c r="CK25" s="157" t="s">
        <v>1316</v>
      </c>
      <c r="CL25" s="154">
        <v>0</v>
      </c>
      <c r="CM25" s="154">
        <v>0</v>
      </c>
      <c r="CN25" s="151">
        <v>0</v>
      </c>
      <c r="CO25" s="151">
        <v>9.7238485158648906</v>
      </c>
      <c r="CP25" s="158"/>
      <c r="CQ25" s="151">
        <v>0.23</v>
      </c>
      <c r="CR25" s="199">
        <v>42970</v>
      </c>
      <c r="CS25" s="200">
        <v>43185</v>
      </c>
      <c r="CT25" s="201">
        <v>43255</v>
      </c>
      <c r="CU25" s="201">
        <v>43195</v>
      </c>
      <c r="CV25" s="201">
        <v>43179</v>
      </c>
      <c r="CW25" s="201">
        <v>43209</v>
      </c>
      <c r="CX25" s="201">
        <v>43251</v>
      </c>
      <c r="CY25" s="151">
        <v>0.19860471530347124</v>
      </c>
      <c r="CZ25" s="150">
        <v>0</v>
      </c>
      <c r="DA25" s="151">
        <v>0</v>
      </c>
      <c r="DB25" s="151">
        <v>0</v>
      </c>
      <c r="DC25" s="151">
        <v>0.671875</v>
      </c>
      <c r="DD25" s="151">
        <v>0.28125</v>
      </c>
      <c r="DE25" s="159">
        <v>0</v>
      </c>
      <c r="DF25" s="13" t="s">
        <v>1316</v>
      </c>
      <c r="DG25" s="85" t="s">
        <v>1394</v>
      </c>
      <c r="DH25" s="18" t="b">
        <v>0</v>
      </c>
      <c r="DI25" s="84"/>
      <c r="DJ25" s="84"/>
      <c r="DK25" s="215"/>
      <c r="DL25" s="194"/>
      <c r="DM25" s="216"/>
      <c r="DN25" s="151"/>
      <c r="DO25" s="84"/>
      <c r="DP25" s="84"/>
      <c r="DQ25" s="84"/>
      <c r="DR25" s="84"/>
      <c r="DS25" s="84"/>
      <c r="DT25" s="84"/>
      <c r="DU25" s="84"/>
      <c r="DV25" s="18"/>
      <c r="DW25" s="18"/>
      <c r="DX25" s="18"/>
      <c r="DY25" s="197"/>
      <c r="DZ25" s="197">
        <v>0</v>
      </c>
      <c r="EA25" s="197">
        <v>0</v>
      </c>
      <c r="EB25" s="197">
        <v>0</v>
      </c>
      <c r="EC25" s="197">
        <v>0</v>
      </c>
      <c r="ED25" s="197">
        <v>0</v>
      </c>
      <c r="EE25" s="197">
        <v>0</v>
      </c>
      <c r="EF25" s="197">
        <v>14</v>
      </c>
      <c r="EG25" s="221"/>
      <c r="EH25" s="249">
        <v>41</v>
      </c>
      <c r="EI25" s="249">
        <v>10</v>
      </c>
      <c r="EJ25" s="249">
        <v>25</v>
      </c>
      <c r="EK25" s="249">
        <v>4</v>
      </c>
      <c r="EL25" s="249">
        <v>5</v>
      </c>
      <c r="EM25" s="250">
        <v>132</v>
      </c>
      <c r="EN25" s="248">
        <v>216</v>
      </c>
      <c r="EO25" s="248">
        <v>209</v>
      </c>
      <c r="EP25" s="248">
        <v>209</v>
      </c>
      <c r="EQ25" s="250">
        <v>158</v>
      </c>
      <c r="ER25" s="250">
        <v>198</v>
      </c>
      <c r="ES25" s="250">
        <v>172</v>
      </c>
      <c r="ET25" s="248">
        <v>251</v>
      </c>
      <c r="EU25" s="248">
        <v>256</v>
      </c>
      <c r="EV25" s="248">
        <v>250</v>
      </c>
      <c r="EW25" s="248">
        <v>209</v>
      </c>
      <c r="EX25" s="248">
        <v>209</v>
      </c>
      <c r="EY25" s="248">
        <v>209</v>
      </c>
      <c r="EZ25" s="248">
        <v>208</v>
      </c>
      <c r="FA25" s="248">
        <v>208</v>
      </c>
      <c r="FB25" s="248">
        <v>208</v>
      </c>
      <c r="FC25" s="248">
        <v>208</v>
      </c>
      <c r="FD25" s="248">
        <v>208</v>
      </c>
      <c r="FE25" s="248">
        <v>208</v>
      </c>
      <c r="FF25" s="248">
        <v>256</v>
      </c>
      <c r="FG25" s="248">
        <v>256</v>
      </c>
      <c r="FH25" s="248">
        <v>256</v>
      </c>
      <c r="FI25" s="248">
        <v>247</v>
      </c>
      <c r="FJ25" s="248">
        <v>247</v>
      </c>
      <c r="FK25" s="248">
        <v>247</v>
      </c>
      <c r="FL25" s="248">
        <v>247</v>
      </c>
      <c r="FM25" s="248">
        <v>247</v>
      </c>
      <c r="FN25" s="248">
        <v>247</v>
      </c>
      <c r="FO25" s="248">
        <v>247</v>
      </c>
      <c r="FP25" s="248">
        <v>247</v>
      </c>
      <c r="FQ25" s="248">
        <v>227</v>
      </c>
      <c r="FR25" s="248">
        <v>225</v>
      </c>
      <c r="FS25" s="248">
        <v>225</v>
      </c>
      <c r="FT25" s="248">
        <v>225</v>
      </c>
      <c r="FU25" s="248">
        <v>216</v>
      </c>
      <c r="FV25" s="248">
        <v>209</v>
      </c>
      <c r="FW25" s="248">
        <v>209</v>
      </c>
      <c r="FX25" s="248">
        <v>249</v>
      </c>
      <c r="FY25" s="248">
        <v>249</v>
      </c>
      <c r="FZ25" s="248">
        <v>249</v>
      </c>
      <c r="GA25" s="248">
        <v>249</v>
      </c>
      <c r="GB25" s="248">
        <v>249</v>
      </c>
      <c r="GC25" s="248">
        <v>247</v>
      </c>
      <c r="GD25" s="248">
        <v>243</v>
      </c>
      <c r="GE25" s="251"/>
      <c r="GF25" s="248">
        <v>239</v>
      </c>
      <c r="GG25" s="248">
        <v>239</v>
      </c>
      <c r="GH25" s="248">
        <v>239</v>
      </c>
      <c r="GI25" s="248">
        <v>239</v>
      </c>
      <c r="GJ25" s="248">
        <v>239</v>
      </c>
      <c r="GK25" s="248">
        <v>239</v>
      </c>
      <c r="GL25" s="248">
        <v>239</v>
      </c>
      <c r="GM25" s="251"/>
      <c r="GN25" s="248">
        <v>211</v>
      </c>
      <c r="GO25" s="248">
        <v>210</v>
      </c>
      <c r="GP25" s="248">
        <v>210</v>
      </c>
      <c r="GQ25" s="248">
        <v>210</v>
      </c>
      <c r="GR25" s="248">
        <v>211</v>
      </c>
      <c r="GS25" s="248">
        <v>209</v>
      </c>
      <c r="GT25" s="248">
        <v>209</v>
      </c>
      <c r="GU25" s="250">
        <v>187</v>
      </c>
      <c r="GV25" s="250">
        <v>175</v>
      </c>
      <c r="GW25" s="250">
        <v>175</v>
      </c>
      <c r="GX25" s="250">
        <v>175</v>
      </c>
      <c r="GY25" s="250">
        <v>174</v>
      </c>
      <c r="GZ25" s="250">
        <v>174</v>
      </c>
      <c r="HA25" s="250">
        <v>174</v>
      </c>
      <c r="HB25" s="250">
        <v>162</v>
      </c>
      <c r="HC25" s="250">
        <v>159</v>
      </c>
      <c r="HD25" s="250">
        <v>159</v>
      </c>
      <c r="HE25" s="250">
        <v>159</v>
      </c>
      <c r="HF25" s="250">
        <v>159</v>
      </c>
      <c r="HG25" s="250">
        <v>159</v>
      </c>
      <c r="HH25" s="250">
        <v>159</v>
      </c>
      <c r="HI25" s="250">
        <v>159</v>
      </c>
      <c r="HJ25" s="250">
        <v>159</v>
      </c>
      <c r="HK25" s="250">
        <v>159</v>
      </c>
      <c r="HL25" s="250">
        <v>159</v>
      </c>
      <c r="HM25" s="250">
        <v>158</v>
      </c>
      <c r="HN25" s="250">
        <v>158</v>
      </c>
      <c r="HO25" s="250">
        <v>158</v>
      </c>
      <c r="HP25" s="250">
        <v>157</v>
      </c>
      <c r="HQ25" s="250">
        <v>157</v>
      </c>
      <c r="HR25" s="250">
        <v>157</v>
      </c>
      <c r="HS25" s="250">
        <v>157</v>
      </c>
      <c r="HT25" s="250">
        <v>158</v>
      </c>
      <c r="HU25" s="250">
        <v>153</v>
      </c>
      <c r="HV25" s="250">
        <v>153</v>
      </c>
      <c r="HW25" s="250">
        <v>153</v>
      </c>
      <c r="HX25" s="250">
        <v>153</v>
      </c>
      <c r="HY25" s="250">
        <v>153</v>
      </c>
      <c r="HZ25" s="250">
        <v>154</v>
      </c>
      <c r="IA25" s="250">
        <v>154</v>
      </c>
      <c r="IB25" s="250">
        <v>154</v>
      </c>
      <c r="IC25" s="250">
        <v>154</v>
      </c>
      <c r="ID25" s="250">
        <v>154</v>
      </c>
      <c r="IE25" s="250">
        <v>154</v>
      </c>
      <c r="IF25" s="250">
        <v>154</v>
      </c>
      <c r="IG25" s="250">
        <v>154</v>
      </c>
      <c r="IH25" s="250">
        <v>153</v>
      </c>
      <c r="II25" s="250">
        <v>128</v>
      </c>
      <c r="IJ25" s="251"/>
      <c r="IK25" s="250">
        <v>127</v>
      </c>
      <c r="IL25" s="250">
        <v>127</v>
      </c>
      <c r="IM25" s="251"/>
      <c r="IN25" s="251"/>
      <c r="IO25" s="251"/>
      <c r="IP25" s="251"/>
      <c r="IQ25" s="251"/>
      <c r="IR25" s="251"/>
      <c r="IS25" s="251"/>
      <c r="IT25" s="251"/>
      <c r="IU25" s="251"/>
      <c r="IV25" s="251"/>
      <c r="IW25" s="251"/>
      <c r="IX25" s="251"/>
      <c r="IY25" s="251"/>
      <c r="IZ25" s="251"/>
      <c r="JA25" s="251"/>
      <c r="JB25" s="251"/>
      <c r="JC25" s="251"/>
      <c r="JD25" s="251"/>
      <c r="JE25" s="251"/>
      <c r="JF25" s="251"/>
      <c r="JG25" s="251"/>
      <c r="JH25" s="251"/>
      <c r="JI25" s="251"/>
      <c r="JJ25" s="251"/>
      <c r="JK25" s="251"/>
      <c r="JL25" s="251"/>
      <c r="JM25" s="251"/>
      <c r="JN25" s="251"/>
      <c r="JO25" s="251"/>
      <c r="JP25" s="251"/>
      <c r="JQ25" s="251"/>
      <c r="JR25" s="251"/>
      <c r="JS25" s="251"/>
      <c r="JT25" s="251"/>
      <c r="JU25" s="251"/>
      <c r="JV25" s="251"/>
      <c r="JW25" s="251"/>
      <c r="JX25" s="251"/>
      <c r="JY25" s="251"/>
      <c r="JZ25" s="251"/>
      <c r="KA25" s="251"/>
      <c r="KB25" s="251"/>
      <c r="KC25" s="251"/>
      <c r="KD25" s="251"/>
      <c r="KE25" s="251"/>
      <c r="KF25" s="251"/>
      <c r="KG25" s="251"/>
      <c r="KH25" s="251"/>
      <c r="KI25" s="251"/>
      <c r="KJ25" s="251"/>
      <c r="KK25" s="251"/>
      <c r="KL25" s="251"/>
      <c r="KM25" s="251"/>
      <c r="KN25" s="251"/>
      <c r="KO25" s="251"/>
      <c r="KP25" s="251"/>
      <c r="KQ25" s="251"/>
      <c r="KR25" s="251"/>
      <c r="KS25" s="251"/>
      <c r="KT25" s="251"/>
      <c r="KU25" s="251"/>
      <c r="KV25" s="251"/>
      <c r="KW25" s="251"/>
      <c r="KX25" s="251"/>
      <c r="KY25" s="251"/>
      <c r="KZ25" s="251"/>
      <c r="LA25" s="251"/>
      <c r="LB25" s="251"/>
      <c r="LC25" s="251"/>
      <c r="LD25" s="251"/>
      <c r="LE25" s="251"/>
      <c r="LF25" s="251"/>
      <c r="LG25" s="251"/>
      <c r="LH25" s="251"/>
      <c r="LI25" s="251"/>
      <c r="LJ25" s="251"/>
      <c r="LK25" s="251"/>
      <c r="LL25" s="251"/>
      <c r="LM25" s="251"/>
      <c r="LN25" s="251"/>
      <c r="LO25" s="251"/>
      <c r="LP25" s="251"/>
      <c r="LQ25" s="251"/>
      <c r="LR25" s="251"/>
      <c r="LS25" s="251"/>
      <c r="LT25" s="251"/>
      <c r="LU25" s="251"/>
      <c r="LV25" s="251"/>
      <c r="LW25" s="251"/>
      <c r="LX25" s="251"/>
      <c r="LY25" s="251"/>
      <c r="LZ25" s="251"/>
      <c r="MA25" s="251"/>
      <c r="MB25" s="251"/>
      <c r="MC25" s="251"/>
      <c r="MD25" s="251"/>
      <c r="ME25" s="251"/>
      <c r="MF25" s="304"/>
      <c r="MG25" s="304"/>
      <c r="MH25" s="304"/>
      <c r="MI25" s="304"/>
      <c r="MJ25" s="304"/>
      <c r="MK25" s="304"/>
      <c r="ML25" s="304"/>
      <c r="MM25" s="304"/>
      <c r="MN25" s="304"/>
      <c r="MO25" s="304"/>
      <c r="MP25" s="304"/>
      <c r="MQ25" s="304"/>
      <c r="MR25" s="304"/>
      <c r="MS25" s="304"/>
      <c r="MT25" s="304"/>
      <c r="MU25" s="304"/>
      <c r="MV25" s="304"/>
      <c r="MW25" s="304"/>
      <c r="MX25" s="304"/>
      <c r="MY25" s="304"/>
      <c r="MZ25" s="304"/>
      <c r="NA25" s="304"/>
      <c r="NB25" s="304"/>
      <c r="NC25" s="304"/>
      <c r="ND25" s="304"/>
      <c r="NE25" s="304"/>
      <c r="NF25" s="304"/>
      <c r="NG25" s="304"/>
      <c r="NH25" s="304"/>
      <c r="NI25" s="304"/>
    </row>
    <row r="26" spans="1:373" x14ac:dyDescent="0.2">
      <c r="A26" s="132" t="s">
        <v>739</v>
      </c>
      <c r="B26" s="133" t="s">
        <v>936</v>
      </c>
      <c r="C26" s="134"/>
      <c r="D26" s="242" t="s">
        <v>1229</v>
      </c>
      <c r="E26" s="242">
        <v>0</v>
      </c>
      <c r="F26" s="243" t="s">
        <v>1230</v>
      </c>
      <c r="G26" s="243" t="s">
        <v>960</v>
      </c>
      <c r="H26" s="243" t="s">
        <v>961</v>
      </c>
      <c r="I26" s="243">
        <v>0</v>
      </c>
      <c r="J26" s="243">
        <v>0</v>
      </c>
      <c r="K26" s="243">
        <v>0</v>
      </c>
      <c r="L26" s="243" t="s">
        <v>1219</v>
      </c>
      <c r="M26" s="243">
        <v>0</v>
      </c>
      <c r="N26" s="243" t="s">
        <v>1217</v>
      </c>
      <c r="O26" s="243">
        <v>0</v>
      </c>
      <c r="P26" s="243">
        <v>0</v>
      </c>
      <c r="Q26" s="243">
        <v>0</v>
      </c>
      <c r="R26" s="135"/>
      <c r="S26" s="135"/>
      <c r="T26" s="135"/>
      <c r="U26" s="135"/>
      <c r="V26" s="135"/>
      <c r="W26" s="135">
        <v>0</v>
      </c>
      <c r="X26" s="135">
        <v>0</v>
      </c>
      <c r="Y26" s="135">
        <v>0</v>
      </c>
      <c r="Z26" s="136">
        <v>234.82</v>
      </c>
      <c r="AA26" s="136">
        <v>509.51</v>
      </c>
      <c r="AB26" s="136">
        <v>0</v>
      </c>
      <c r="AC26" s="137">
        <v>0</v>
      </c>
      <c r="AD26" s="137">
        <v>0</v>
      </c>
      <c r="AE26" s="138">
        <v>10</v>
      </c>
      <c r="AF26" s="138">
        <v>8</v>
      </c>
      <c r="AG26" s="138">
        <v>2</v>
      </c>
      <c r="AH26" s="139">
        <v>1</v>
      </c>
      <c r="AI26" s="139" t="s">
        <v>1387</v>
      </c>
      <c r="AJ26" s="138" t="s">
        <v>3642</v>
      </c>
      <c r="AK26" s="195" t="s">
        <v>3643</v>
      </c>
      <c r="AL26" s="138" t="s">
        <v>1316</v>
      </c>
      <c r="AM26" s="27" t="s">
        <v>1391</v>
      </c>
      <c r="AN26" s="138">
        <v>30.59</v>
      </c>
      <c r="AO26" s="140">
        <v>2.0431513566525008</v>
      </c>
      <c r="AP26" s="140">
        <v>0.41680287675711014</v>
      </c>
      <c r="AQ26" s="140">
        <v>8.1726054266100037E-3</v>
      </c>
      <c r="AR26" s="138">
        <v>0</v>
      </c>
      <c r="AS26" s="138">
        <v>0</v>
      </c>
      <c r="AT26" s="198"/>
      <c r="AU26" s="198"/>
      <c r="AV26" s="198"/>
      <c r="AW26" s="211" t="s">
        <v>790</v>
      </c>
      <c r="AX26" s="211" t="s">
        <v>1324</v>
      </c>
      <c r="AY26" s="141"/>
      <c r="AZ26" s="141"/>
      <c r="BA26" s="142">
        <v>1</v>
      </c>
      <c r="BB26" s="142" t="s">
        <v>527</v>
      </c>
      <c r="BC26" s="142"/>
      <c r="BD26" s="142">
        <v>2</v>
      </c>
      <c r="BE26" s="143" t="s">
        <v>541</v>
      </c>
      <c r="BF26" s="144">
        <v>1</v>
      </c>
      <c r="BG26" s="145"/>
      <c r="BH26" s="212"/>
      <c r="BI26" s="213"/>
      <c r="BJ26" s="146">
        <v>250</v>
      </c>
      <c r="BK26" s="214">
        <v>459</v>
      </c>
      <c r="BL26" s="13">
        <v>166</v>
      </c>
      <c r="BM26" s="13">
        <v>83</v>
      </c>
      <c r="BN26" s="27" t="s">
        <v>1393</v>
      </c>
      <c r="BO26" s="13" t="s">
        <v>1393</v>
      </c>
      <c r="BP26" s="147">
        <v>280</v>
      </c>
      <c r="BQ26" s="148"/>
      <c r="BR26" s="149"/>
      <c r="BS26" s="138">
        <v>1000000000</v>
      </c>
      <c r="BT26" s="150">
        <v>51</v>
      </c>
      <c r="BU26" s="151">
        <v>0.8</v>
      </c>
      <c r="BV26" s="150">
        <v>0</v>
      </c>
      <c r="BW26" s="152">
        <v>0</v>
      </c>
      <c r="BX26" s="152">
        <v>0</v>
      </c>
      <c r="BY26" s="152">
        <v>0</v>
      </c>
      <c r="BZ26" s="150">
        <v>0</v>
      </c>
      <c r="CA26" s="150">
        <v>0</v>
      </c>
      <c r="CB26" s="150">
        <v>51</v>
      </c>
      <c r="CC26" s="151">
        <v>0.8</v>
      </c>
      <c r="CD26" s="150"/>
      <c r="CE26" s="150"/>
      <c r="CF26" s="153">
        <v>200</v>
      </c>
      <c r="CG26" s="154">
        <v>50</v>
      </c>
      <c r="CH26" s="148">
        <v>20</v>
      </c>
      <c r="CI26" s="155"/>
      <c r="CJ26" s="156" t="s">
        <v>1316</v>
      </c>
      <c r="CK26" s="157" t="s">
        <v>1316</v>
      </c>
      <c r="CL26" s="154">
        <v>8790.08</v>
      </c>
      <c r="CM26" s="154">
        <v>0</v>
      </c>
      <c r="CN26" s="151">
        <v>0</v>
      </c>
      <c r="CO26" s="151">
        <v>5.6149902052636058</v>
      </c>
      <c r="CP26" s="158"/>
      <c r="CQ26" s="151">
        <v>0</v>
      </c>
      <c r="CR26" s="199">
        <v>43137</v>
      </c>
      <c r="CS26" s="200">
        <v>43185</v>
      </c>
      <c r="CT26" s="201">
        <v>43255</v>
      </c>
      <c r="CU26" s="201">
        <v>43133</v>
      </c>
      <c r="CV26" s="201">
        <v>43179</v>
      </c>
      <c r="CW26" s="201">
        <v>43147</v>
      </c>
      <c r="CX26" s="201">
        <v>43189</v>
      </c>
      <c r="CY26" s="151">
        <v>0.90190113941740502</v>
      </c>
      <c r="CZ26" s="150">
        <v>0</v>
      </c>
      <c r="DA26" s="151">
        <v>1.5625E-2</v>
      </c>
      <c r="DB26" s="151">
        <v>0.796875</v>
      </c>
      <c r="DC26" s="151">
        <v>0.109375</v>
      </c>
      <c r="DD26" s="151">
        <v>3.125E-2</v>
      </c>
      <c r="DE26" s="159">
        <v>0</v>
      </c>
      <c r="DF26" s="13" t="s">
        <v>1316</v>
      </c>
      <c r="DG26" s="85" t="s">
        <v>1394</v>
      </c>
      <c r="DH26" s="18" t="b">
        <v>0</v>
      </c>
      <c r="DI26" s="84"/>
      <c r="DJ26" s="84"/>
      <c r="DK26" s="215"/>
      <c r="DL26" s="194"/>
      <c r="DM26" s="216"/>
      <c r="DN26" s="151"/>
      <c r="DO26" s="84"/>
      <c r="DP26" s="84"/>
      <c r="DQ26" s="84"/>
      <c r="DR26" s="84"/>
      <c r="DS26" s="84"/>
      <c r="DT26" s="84"/>
      <c r="DU26" s="84"/>
      <c r="DV26" s="18"/>
      <c r="DW26" s="18"/>
      <c r="DX26" s="18"/>
      <c r="DY26" s="197"/>
      <c r="DZ26" s="197">
        <v>0</v>
      </c>
      <c r="EA26" s="197">
        <v>0</v>
      </c>
      <c r="EB26" s="197">
        <v>0</v>
      </c>
      <c r="EC26" s="197">
        <v>0</v>
      </c>
      <c r="ED26" s="197">
        <v>0</v>
      </c>
      <c r="EE26" s="197">
        <v>0</v>
      </c>
      <c r="EF26" s="197">
        <v>0</v>
      </c>
      <c r="EG26" s="219"/>
      <c r="EH26" s="223">
        <v>41</v>
      </c>
      <c r="EI26" s="223">
        <v>1</v>
      </c>
      <c r="EJ26" s="224">
        <v>62</v>
      </c>
      <c r="EK26" s="223">
        <v>45</v>
      </c>
      <c r="EL26" s="223">
        <v>38</v>
      </c>
      <c r="EM26" s="223">
        <v>47</v>
      </c>
      <c r="EN26" s="225">
        <v>160</v>
      </c>
      <c r="EO26" s="224">
        <v>172</v>
      </c>
      <c r="EP26" s="224">
        <v>169</v>
      </c>
      <c r="EQ26" s="224">
        <v>110</v>
      </c>
      <c r="ER26" s="224">
        <v>175</v>
      </c>
      <c r="ES26" s="224">
        <v>168</v>
      </c>
      <c r="ET26" s="225">
        <v>209</v>
      </c>
      <c r="EU26" s="225">
        <v>254</v>
      </c>
      <c r="EV26" s="226">
        <v>253</v>
      </c>
      <c r="EW26" s="225">
        <v>239</v>
      </c>
      <c r="EX26" s="225">
        <v>239</v>
      </c>
      <c r="EY26" s="225">
        <v>239</v>
      </c>
      <c r="EZ26" s="225">
        <v>239</v>
      </c>
      <c r="FA26" s="225">
        <v>238</v>
      </c>
      <c r="FB26" s="225">
        <v>231</v>
      </c>
      <c r="FC26" s="225">
        <v>231</v>
      </c>
      <c r="FD26" s="225">
        <v>231</v>
      </c>
      <c r="FE26" s="225">
        <v>231</v>
      </c>
      <c r="FF26" s="226">
        <v>274</v>
      </c>
      <c r="FG26" s="226">
        <v>274</v>
      </c>
      <c r="FH26" s="226">
        <v>274</v>
      </c>
      <c r="FI26" s="226">
        <v>270</v>
      </c>
      <c r="FJ26" s="226">
        <v>267</v>
      </c>
      <c r="FK26" s="226">
        <v>260</v>
      </c>
      <c r="FL26" s="226">
        <v>260</v>
      </c>
      <c r="FM26" s="226">
        <v>260</v>
      </c>
      <c r="FN26" s="226">
        <v>258</v>
      </c>
      <c r="FO26" s="226">
        <v>257</v>
      </c>
      <c r="FP26" s="226">
        <v>253</v>
      </c>
      <c r="FQ26" s="223">
        <v>1</v>
      </c>
      <c r="FR26" s="223">
        <v>1</v>
      </c>
      <c r="FS26" s="223">
        <v>1</v>
      </c>
      <c r="FT26" s="223">
        <v>1</v>
      </c>
      <c r="FU26" s="223">
        <v>1</v>
      </c>
      <c r="FV26" s="223">
        <v>3</v>
      </c>
      <c r="FW26" s="223">
        <v>1</v>
      </c>
      <c r="FX26" s="223">
        <v>40</v>
      </c>
      <c r="FY26" s="223">
        <v>1</v>
      </c>
      <c r="FZ26" s="223">
        <v>1</v>
      </c>
      <c r="GA26" s="223">
        <v>1</v>
      </c>
      <c r="GB26" s="223">
        <v>1</v>
      </c>
      <c r="GC26" s="223">
        <v>1</v>
      </c>
      <c r="GD26" s="223">
        <v>1</v>
      </c>
      <c r="GE26" s="247"/>
      <c r="GF26" s="223">
        <v>1</v>
      </c>
      <c r="GG26" s="223">
        <v>1</v>
      </c>
      <c r="GH26" s="223">
        <v>1</v>
      </c>
      <c r="GI26" s="223">
        <v>1</v>
      </c>
      <c r="GJ26" s="223">
        <v>1</v>
      </c>
      <c r="GK26" s="223">
        <v>1</v>
      </c>
      <c r="GL26" s="222">
        <v>0</v>
      </c>
      <c r="GM26" s="247"/>
      <c r="GN26" s="223">
        <v>1</v>
      </c>
      <c r="GO26" s="223">
        <v>3</v>
      </c>
      <c r="GP26" s="223">
        <v>3</v>
      </c>
      <c r="GQ26" s="223">
        <v>3</v>
      </c>
      <c r="GR26" s="223">
        <v>4</v>
      </c>
      <c r="GS26" s="223">
        <v>3</v>
      </c>
      <c r="GT26" s="223">
        <v>2</v>
      </c>
      <c r="GU26" s="223">
        <v>2</v>
      </c>
      <c r="GV26" s="223">
        <v>2</v>
      </c>
      <c r="GW26" s="223">
        <v>2</v>
      </c>
      <c r="GX26" s="223">
        <v>2</v>
      </c>
      <c r="GY26" s="223">
        <v>6</v>
      </c>
      <c r="GZ26" s="225">
        <v>210</v>
      </c>
      <c r="HA26" s="225">
        <v>206</v>
      </c>
      <c r="HB26" s="224">
        <v>105</v>
      </c>
      <c r="HC26" s="224">
        <v>91</v>
      </c>
      <c r="HD26" s="224">
        <v>91</v>
      </c>
      <c r="HE26" s="224">
        <v>91</v>
      </c>
      <c r="HF26" s="224">
        <v>91</v>
      </c>
      <c r="HG26" s="224">
        <v>91</v>
      </c>
      <c r="HH26" s="224">
        <v>87</v>
      </c>
      <c r="HI26" s="223">
        <v>83</v>
      </c>
      <c r="HJ26" s="223">
        <v>83</v>
      </c>
      <c r="HK26" s="223">
        <v>83</v>
      </c>
      <c r="HL26" s="223">
        <v>83</v>
      </c>
      <c r="HM26" s="223">
        <v>82</v>
      </c>
      <c r="HN26" s="223">
        <v>81</v>
      </c>
      <c r="HO26" s="223">
        <v>81</v>
      </c>
      <c r="HP26" s="223">
        <v>80</v>
      </c>
      <c r="HQ26" s="223">
        <v>80</v>
      </c>
      <c r="HR26" s="223">
        <v>80</v>
      </c>
      <c r="HS26" s="223">
        <v>80</v>
      </c>
      <c r="HT26" s="223">
        <v>81</v>
      </c>
      <c r="HU26" s="223">
        <v>74</v>
      </c>
      <c r="HV26" s="223">
        <v>70</v>
      </c>
      <c r="HW26" s="223">
        <v>71</v>
      </c>
      <c r="HX26" s="223">
        <v>71</v>
      </c>
      <c r="HY26" s="223">
        <v>71</v>
      </c>
      <c r="HZ26" s="223">
        <v>69</v>
      </c>
      <c r="IA26" s="223">
        <v>68</v>
      </c>
      <c r="IB26" s="223">
        <v>65</v>
      </c>
      <c r="IC26" s="223">
        <v>65</v>
      </c>
      <c r="ID26" s="223">
        <v>65</v>
      </c>
      <c r="IE26" s="223">
        <v>65</v>
      </c>
      <c r="IF26" s="223">
        <v>65</v>
      </c>
      <c r="IG26" s="223">
        <v>57</v>
      </c>
      <c r="IH26" s="223">
        <v>55</v>
      </c>
      <c r="II26" s="223">
        <v>55</v>
      </c>
      <c r="IJ26" s="247"/>
      <c r="IK26" s="223">
        <v>51</v>
      </c>
      <c r="IL26" s="223">
        <v>51</v>
      </c>
      <c r="IM26" s="247"/>
      <c r="IN26" s="247"/>
      <c r="IO26" s="247"/>
      <c r="IP26" s="247"/>
      <c r="IQ26" s="247"/>
      <c r="IR26" s="247"/>
      <c r="IS26" s="247"/>
      <c r="IT26" s="247"/>
      <c r="IU26" s="247"/>
      <c r="IV26" s="247"/>
      <c r="IW26" s="247"/>
      <c r="IX26" s="247"/>
      <c r="IY26" s="247"/>
      <c r="IZ26" s="247"/>
      <c r="JA26" s="247"/>
      <c r="JB26" s="247"/>
      <c r="JC26" s="247"/>
      <c r="JD26" s="247"/>
      <c r="JE26" s="247"/>
      <c r="JF26" s="247"/>
      <c r="JG26" s="247"/>
      <c r="JH26" s="247"/>
      <c r="JI26" s="247"/>
      <c r="JJ26" s="247"/>
      <c r="JK26" s="247"/>
      <c r="JL26" s="247"/>
      <c r="JM26" s="247"/>
      <c r="JN26" s="247"/>
      <c r="JO26" s="247"/>
      <c r="JP26" s="247"/>
      <c r="JQ26" s="247"/>
      <c r="JR26" s="247"/>
      <c r="JS26" s="247"/>
      <c r="JT26" s="247"/>
      <c r="JU26" s="247"/>
      <c r="JV26" s="247"/>
      <c r="JW26" s="247"/>
      <c r="JX26" s="247"/>
      <c r="JY26" s="247"/>
      <c r="JZ26" s="247"/>
      <c r="KA26" s="247"/>
      <c r="KB26" s="247"/>
      <c r="KC26" s="247"/>
      <c r="KD26" s="247"/>
      <c r="KE26" s="247"/>
      <c r="KF26" s="247"/>
      <c r="KG26" s="247"/>
      <c r="KH26" s="247"/>
      <c r="KI26" s="247"/>
      <c r="KJ26" s="247"/>
      <c r="KK26" s="247"/>
      <c r="KL26" s="247"/>
      <c r="KM26" s="247"/>
      <c r="KN26" s="247"/>
      <c r="KO26" s="247"/>
      <c r="KP26" s="247"/>
      <c r="KQ26" s="247"/>
      <c r="KR26" s="247"/>
      <c r="KS26" s="247"/>
      <c r="KT26" s="247"/>
      <c r="KU26" s="247"/>
      <c r="KV26" s="247"/>
      <c r="KW26" s="247"/>
      <c r="KX26" s="247"/>
      <c r="KY26" s="247"/>
      <c r="KZ26" s="247"/>
      <c r="LA26" s="247"/>
      <c r="LB26" s="247"/>
      <c r="LC26" s="247"/>
      <c r="LD26" s="247"/>
      <c r="LE26" s="247"/>
      <c r="LF26" s="247"/>
      <c r="LG26" s="247"/>
      <c r="LH26" s="247"/>
      <c r="LI26" s="247"/>
      <c r="LJ26" s="247"/>
      <c r="LK26" s="247"/>
      <c r="LL26" s="247"/>
      <c r="LM26" s="247"/>
      <c r="LN26" s="247"/>
      <c r="LO26" s="247"/>
      <c r="LP26" s="247"/>
      <c r="LQ26" s="247"/>
      <c r="LR26" s="247"/>
      <c r="LS26" s="247"/>
      <c r="LT26" s="247"/>
      <c r="LU26" s="247"/>
      <c r="LV26" s="247"/>
      <c r="LW26" s="247"/>
      <c r="LX26" s="247"/>
      <c r="LY26" s="247"/>
      <c r="LZ26" s="247"/>
      <c r="MA26" s="247"/>
      <c r="MB26" s="247"/>
      <c r="MC26" s="247"/>
      <c r="MD26" s="247"/>
      <c r="ME26" s="247"/>
      <c r="MF26" s="304"/>
      <c r="MG26" s="304"/>
      <c r="MH26" s="304"/>
      <c r="MI26" s="304"/>
      <c r="MJ26" s="304"/>
      <c r="MK26" s="304"/>
      <c r="ML26" s="304"/>
      <c r="MM26" s="304"/>
      <c r="MN26" s="304"/>
      <c r="MO26" s="304"/>
      <c r="MP26" s="304"/>
      <c r="MQ26" s="304"/>
      <c r="MR26" s="304"/>
      <c r="MS26" s="304"/>
      <c r="MT26" s="304"/>
      <c r="MU26" s="304"/>
      <c r="MV26" s="304"/>
      <c r="MW26" s="304"/>
      <c r="MX26" s="304"/>
      <c r="MY26" s="304"/>
      <c r="MZ26" s="304"/>
      <c r="NA26" s="304"/>
      <c r="NB26" s="304"/>
      <c r="NC26" s="304"/>
      <c r="ND26" s="304"/>
      <c r="NE26" s="304"/>
      <c r="NF26" s="304"/>
      <c r="NG26" s="304"/>
      <c r="NH26" s="304"/>
      <c r="NI26" s="304"/>
    </row>
    <row r="27" spans="1:373" x14ac:dyDescent="0.2">
      <c r="A27" s="132" t="s">
        <v>739</v>
      </c>
      <c r="B27" s="133" t="s">
        <v>937</v>
      </c>
      <c r="C27" s="134"/>
      <c r="D27" s="242" t="s">
        <v>1244</v>
      </c>
      <c r="E27" s="242">
        <v>0</v>
      </c>
      <c r="F27" s="243" t="s">
        <v>1245</v>
      </c>
      <c r="G27" s="243" t="s">
        <v>1246</v>
      </c>
      <c r="H27" s="243" t="s">
        <v>961</v>
      </c>
      <c r="I27" s="243">
        <v>0</v>
      </c>
      <c r="J27" s="243">
        <v>0</v>
      </c>
      <c r="K27" s="243">
        <v>0</v>
      </c>
      <c r="L27" s="243" t="s">
        <v>1247</v>
      </c>
      <c r="M27" s="243">
        <v>0</v>
      </c>
      <c r="N27" s="243" t="s">
        <v>1217</v>
      </c>
      <c r="O27" s="243">
        <v>0</v>
      </c>
      <c r="P27" s="243">
        <v>0</v>
      </c>
      <c r="Q27" s="243">
        <v>0</v>
      </c>
      <c r="R27" s="135"/>
      <c r="S27" s="135"/>
      <c r="T27" s="135"/>
      <c r="U27" s="135"/>
      <c r="V27" s="135"/>
      <c r="W27" s="135">
        <v>0</v>
      </c>
      <c r="X27" s="135">
        <v>0</v>
      </c>
      <c r="Y27" s="135">
        <v>0</v>
      </c>
      <c r="Z27" s="136">
        <v>258.55</v>
      </c>
      <c r="AA27" s="136">
        <v>550.48</v>
      </c>
      <c r="AB27" s="136">
        <v>0</v>
      </c>
      <c r="AC27" s="137">
        <v>0</v>
      </c>
      <c r="AD27" s="137">
        <v>0</v>
      </c>
      <c r="AE27" s="138">
        <v>10</v>
      </c>
      <c r="AF27" s="138">
        <v>8</v>
      </c>
      <c r="AG27" s="138">
        <v>2</v>
      </c>
      <c r="AH27" s="139">
        <v>1</v>
      </c>
      <c r="AI27" s="139" t="s">
        <v>1387</v>
      </c>
      <c r="AJ27" s="138" t="s">
        <v>3626</v>
      </c>
      <c r="AK27" s="195" t="s">
        <v>3627</v>
      </c>
      <c r="AL27" s="138" t="s">
        <v>1316</v>
      </c>
      <c r="AM27" s="27" t="s">
        <v>1391</v>
      </c>
      <c r="AN27" s="138">
        <v>0</v>
      </c>
      <c r="AO27" s="140">
        <v>0</v>
      </c>
      <c r="AP27" s="140">
        <v>0</v>
      </c>
      <c r="AQ27" s="140">
        <v>0</v>
      </c>
      <c r="AR27" s="138">
        <v>4</v>
      </c>
      <c r="AS27" s="138">
        <v>0</v>
      </c>
      <c r="AT27" s="198"/>
      <c r="AU27" s="198"/>
      <c r="AV27" s="198"/>
      <c r="AW27" s="211" t="s">
        <v>790</v>
      </c>
      <c r="AX27" s="211" t="s">
        <v>1324</v>
      </c>
      <c r="AY27" s="141"/>
      <c r="AZ27" s="141"/>
      <c r="BA27" s="142">
        <v>1</v>
      </c>
      <c r="BB27" s="142" t="s">
        <v>527</v>
      </c>
      <c r="BC27" s="142"/>
      <c r="BD27" s="142">
        <v>1</v>
      </c>
      <c r="BE27" s="143" t="s">
        <v>541</v>
      </c>
      <c r="BF27" s="144">
        <v>1</v>
      </c>
      <c r="BG27" s="145"/>
      <c r="BH27" s="212"/>
      <c r="BI27" s="213"/>
      <c r="BJ27" s="146">
        <v>7</v>
      </c>
      <c r="BK27" s="214">
        <v>0</v>
      </c>
      <c r="BL27" s="13">
        <v>5</v>
      </c>
      <c r="BM27" s="13">
        <v>2</v>
      </c>
      <c r="BN27" s="27" t="s">
        <v>1394</v>
      </c>
      <c r="BO27" s="13" t="s">
        <v>1393</v>
      </c>
      <c r="BP27" s="147">
        <v>5</v>
      </c>
      <c r="BQ27" s="148"/>
      <c r="BR27" s="149"/>
      <c r="BS27" s="138">
        <v>1000000000</v>
      </c>
      <c r="BT27" s="150">
        <v>0</v>
      </c>
      <c r="BU27" s="151">
        <v>1</v>
      </c>
      <c r="BV27" s="150">
        <v>1</v>
      </c>
      <c r="BW27" s="152">
        <v>0</v>
      </c>
      <c r="BX27" s="152">
        <v>0</v>
      </c>
      <c r="BY27" s="152">
        <v>0</v>
      </c>
      <c r="BZ27" s="150">
        <v>0</v>
      </c>
      <c r="CA27" s="150">
        <v>0</v>
      </c>
      <c r="CB27" s="150">
        <v>1</v>
      </c>
      <c r="CC27" s="151">
        <v>0.86</v>
      </c>
      <c r="CD27" s="150"/>
      <c r="CE27" s="150"/>
      <c r="CF27" s="153">
        <v>6</v>
      </c>
      <c r="CG27" s="154">
        <v>1</v>
      </c>
      <c r="CH27" s="148">
        <v>0</v>
      </c>
      <c r="CI27" s="155"/>
      <c r="CJ27" s="156" t="s">
        <v>1316</v>
      </c>
      <c r="CK27" s="157" t="s">
        <v>1316</v>
      </c>
      <c r="CL27" s="154">
        <v>583.86</v>
      </c>
      <c r="CM27" s="154">
        <v>0</v>
      </c>
      <c r="CN27" s="151">
        <v>0</v>
      </c>
      <c r="CO27" s="151">
        <v>5.4197021852639713</v>
      </c>
      <c r="CP27" s="158"/>
      <c r="CQ27" s="151">
        <v>0.25</v>
      </c>
      <c r="CR27" s="199">
        <v>43087</v>
      </c>
      <c r="CS27" s="200">
        <v>43185</v>
      </c>
      <c r="CT27" s="201">
        <v>43255</v>
      </c>
      <c r="CU27" s="201">
        <v>43195</v>
      </c>
      <c r="CV27" s="201">
        <v>43179</v>
      </c>
      <c r="CW27" s="201">
        <v>43209</v>
      </c>
      <c r="CX27" s="201">
        <v>43251</v>
      </c>
      <c r="CY27" s="151">
        <v>0.37130393804782674</v>
      </c>
      <c r="CZ27" s="150">
        <v>0</v>
      </c>
      <c r="DA27" s="151">
        <v>6.25E-2</v>
      </c>
      <c r="DB27" s="151">
        <v>0.171875</v>
      </c>
      <c r="DC27" s="151">
        <v>0.71875</v>
      </c>
      <c r="DD27" s="151">
        <v>0</v>
      </c>
      <c r="DE27" s="159">
        <v>0</v>
      </c>
      <c r="DF27" s="13" t="s">
        <v>1316</v>
      </c>
      <c r="DG27" s="85" t="s">
        <v>1394</v>
      </c>
      <c r="DH27" s="18" t="b">
        <v>0</v>
      </c>
      <c r="DI27" s="84"/>
      <c r="DJ27" s="84"/>
      <c r="DK27" s="215"/>
      <c r="DL27" s="194"/>
      <c r="DM27" s="216"/>
      <c r="DN27" s="151"/>
      <c r="DO27" s="84"/>
      <c r="DP27" s="84"/>
      <c r="DQ27" s="84"/>
      <c r="DR27" s="84"/>
      <c r="DS27" s="84"/>
      <c r="DT27" s="84"/>
      <c r="DU27" s="84"/>
      <c r="DV27" s="18"/>
      <c r="DW27" s="18"/>
      <c r="DX27" s="18"/>
      <c r="DY27" s="197"/>
      <c r="DZ27" s="197">
        <v>0</v>
      </c>
      <c r="EA27" s="197">
        <v>0</v>
      </c>
      <c r="EB27" s="197">
        <v>0</v>
      </c>
      <c r="EC27" s="197">
        <v>0</v>
      </c>
      <c r="ED27" s="197">
        <v>0</v>
      </c>
      <c r="EE27" s="197">
        <v>0</v>
      </c>
      <c r="EF27" s="197">
        <v>1</v>
      </c>
      <c r="EG27" s="221"/>
      <c r="EH27" s="252">
        <v>6</v>
      </c>
      <c r="EI27" s="250">
        <v>3</v>
      </c>
      <c r="EJ27" s="249">
        <v>1</v>
      </c>
      <c r="EK27" s="249">
        <v>1</v>
      </c>
      <c r="EL27" s="249">
        <v>1</v>
      </c>
      <c r="EM27" s="249">
        <v>2</v>
      </c>
      <c r="EN27" s="249">
        <v>1</v>
      </c>
      <c r="EO27" s="253">
        <v>0</v>
      </c>
      <c r="EP27" s="253">
        <v>0</v>
      </c>
      <c r="EQ27" s="253">
        <v>0</v>
      </c>
      <c r="ER27" s="249">
        <v>1</v>
      </c>
      <c r="ES27" s="249">
        <v>1</v>
      </c>
      <c r="ET27" s="253">
        <v>0</v>
      </c>
      <c r="EU27" s="250">
        <v>4</v>
      </c>
      <c r="EV27" s="250">
        <v>4</v>
      </c>
      <c r="EW27" s="249">
        <v>1</v>
      </c>
      <c r="EX27" s="249">
        <v>1</v>
      </c>
      <c r="EY27" s="249">
        <v>1</v>
      </c>
      <c r="EZ27" s="249">
        <v>1</v>
      </c>
      <c r="FA27" s="249">
        <v>1</v>
      </c>
      <c r="FB27" s="249">
        <v>1</v>
      </c>
      <c r="FC27" s="249">
        <v>1</v>
      </c>
      <c r="FD27" s="249">
        <v>1</v>
      </c>
      <c r="FE27" s="249">
        <v>1</v>
      </c>
      <c r="FF27" s="248">
        <v>7</v>
      </c>
      <c r="FG27" s="248">
        <v>7</v>
      </c>
      <c r="FH27" s="248">
        <v>6</v>
      </c>
      <c r="FI27" s="248">
        <v>6</v>
      </c>
      <c r="FJ27" s="248">
        <v>6</v>
      </c>
      <c r="FK27" s="250">
        <v>5</v>
      </c>
      <c r="FL27" s="250">
        <v>5</v>
      </c>
      <c r="FM27" s="250">
        <v>5</v>
      </c>
      <c r="FN27" s="250">
        <v>5</v>
      </c>
      <c r="FO27" s="250">
        <v>5</v>
      </c>
      <c r="FP27" s="250">
        <v>5</v>
      </c>
      <c r="FQ27" s="250">
        <v>5</v>
      </c>
      <c r="FR27" s="250">
        <v>5</v>
      </c>
      <c r="FS27" s="250">
        <v>5</v>
      </c>
      <c r="FT27" s="250">
        <v>5</v>
      </c>
      <c r="FU27" s="250">
        <v>5</v>
      </c>
      <c r="FV27" s="250">
        <v>3</v>
      </c>
      <c r="FW27" s="250">
        <v>3</v>
      </c>
      <c r="FX27" s="250">
        <v>3</v>
      </c>
      <c r="FY27" s="250">
        <v>3</v>
      </c>
      <c r="FZ27" s="250">
        <v>3</v>
      </c>
      <c r="GA27" s="250">
        <v>3</v>
      </c>
      <c r="GB27" s="250">
        <v>3</v>
      </c>
      <c r="GC27" s="250">
        <v>3</v>
      </c>
      <c r="GD27" s="250">
        <v>3</v>
      </c>
      <c r="GE27" s="251"/>
      <c r="GF27" s="250">
        <v>3</v>
      </c>
      <c r="GG27" s="250">
        <v>3</v>
      </c>
      <c r="GH27" s="250">
        <v>3</v>
      </c>
      <c r="GI27" s="250">
        <v>3</v>
      </c>
      <c r="GJ27" s="250">
        <v>3</v>
      </c>
      <c r="GK27" s="250">
        <v>3</v>
      </c>
      <c r="GL27" s="250">
        <v>3</v>
      </c>
      <c r="GM27" s="251"/>
      <c r="GN27" s="250">
        <v>3</v>
      </c>
      <c r="GO27" s="250">
        <v>3</v>
      </c>
      <c r="GP27" s="250">
        <v>3</v>
      </c>
      <c r="GQ27" s="250">
        <v>3</v>
      </c>
      <c r="GR27" s="250">
        <v>4</v>
      </c>
      <c r="GS27" s="250">
        <v>4</v>
      </c>
      <c r="GT27" s="250">
        <v>4</v>
      </c>
      <c r="GU27" s="250">
        <v>4</v>
      </c>
      <c r="GV27" s="250">
        <v>4</v>
      </c>
      <c r="GW27" s="250">
        <v>4</v>
      </c>
      <c r="GX27" s="250">
        <v>4</v>
      </c>
      <c r="GY27" s="250">
        <v>4</v>
      </c>
      <c r="GZ27" s="250">
        <v>4</v>
      </c>
      <c r="HA27" s="250">
        <v>4</v>
      </c>
      <c r="HB27" s="250">
        <v>4</v>
      </c>
      <c r="HC27" s="250">
        <v>4</v>
      </c>
      <c r="HD27" s="250">
        <v>4</v>
      </c>
      <c r="HE27" s="250">
        <v>4</v>
      </c>
      <c r="HF27" s="250">
        <v>4</v>
      </c>
      <c r="HG27" s="250">
        <v>4</v>
      </c>
      <c r="HH27" s="250">
        <v>4</v>
      </c>
      <c r="HI27" s="250">
        <v>4</v>
      </c>
      <c r="HJ27" s="250">
        <v>4</v>
      </c>
      <c r="HK27" s="250">
        <v>4</v>
      </c>
      <c r="HL27" s="250">
        <v>4</v>
      </c>
      <c r="HM27" s="250">
        <v>4</v>
      </c>
      <c r="HN27" s="250">
        <v>4</v>
      </c>
      <c r="HO27" s="250">
        <v>4</v>
      </c>
      <c r="HP27" s="250">
        <v>4</v>
      </c>
      <c r="HQ27" s="250">
        <v>4</v>
      </c>
      <c r="HR27" s="250">
        <v>4</v>
      </c>
      <c r="HS27" s="250">
        <v>4</v>
      </c>
      <c r="HT27" s="250">
        <v>4</v>
      </c>
      <c r="HU27" s="250">
        <v>4</v>
      </c>
      <c r="HV27" s="250">
        <v>3</v>
      </c>
      <c r="HW27" s="249">
        <v>2</v>
      </c>
      <c r="HX27" s="249">
        <v>2</v>
      </c>
      <c r="HY27" s="249">
        <v>2</v>
      </c>
      <c r="HZ27" s="249">
        <v>2</v>
      </c>
      <c r="IA27" s="249">
        <v>2</v>
      </c>
      <c r="IB27" s="249">
        <v>2</v>
      </c>
      <c r="IC27" s="249">
        <v>2</v>
      </c>
      <c r="ID27" s="249">
        <v>2</v>
      </c>
      <c r="IE27" s="249">
        <v>2</v>
      </c>
      <c r="IF27" s="249">
        <v>2</v>
      </c>
      <c r="IG27" s="249">
        <v>1</v>
      </c>
      <c r="IH27" s="253">
        <v>0</v>
      </c>
      <c r="II27" s="253">
        <v>0</v>
      </c>
      <c r="IJ27" s="251"/>
      <c r="IK27" s="253">
        <v>0</v>
      </c>
      <c r="IL27" s="253">
        <v>0</v>
      </c>
      <c r="IM27" s="251"/>
      <c r="IN27" s="251"/>
      <c r="IO27" s="251"/>
      <c r="IP27" s="251"/>
      <c r="IQ27" s="251"/>
      <c r="IR27" s="251"/>
      <c r="IS27" s="251"/>
      <c r="IT27" s="251"/>
      <c r="IU27" s="251"/>
      <c r="IV27" s="251"/>
      <c r="IW27" s="251"/>
      <c r="IX27" s="251"/>
      <c r="IY27" s="251"/>
      <c r="IZ27" s="251"/>
      <c r="JA27" s="251"/>
      <c r="JB27" s="251"/>
      <c r="JC27" s="251"/>
      <c r="JD27" s="251"/>
      <c r="JE27" s="251"/>
      <c r="JF27" s="251"/>
      <c r="JG27" s="251"/>
      <c r="JH27" s="251"/>
      <c r="JI27" s="251"/>
      <c r="JJ27" s="251"/>
      <c r="JK27" s="251"/>
      <c r="JL27" s="251"/>
      <c r="JM27" s="251"/>
      <c r="JN27" s="251"/>
      <c r="JO27" s="251"/>
      <c r="JP27" s="251"/>
      <c r="JQ27" s="251"/>
      <c r="JR27" s="251"/>
      <c r="JS27" s="251"/>
      <c r="JT27" s="251"/>
      <c r="JU27" s="251"/>
      <c r="JV27" s="251"/>
      <c r="JW27" s="251"/>
      <c r="JX27" s="251"/>
      <c r="JY27" s="251"/>
      <c r="JZ27" s="251"/>
      <c r="KA27" s="251"/>
      <c r="KB27" s="251"/>
      <c r="KC27" s="251"/>
      <c r="KD27" s="251"/>
      <c r="KE27" s="251"/>
      <c r="KF27" s="251"/>
      <c r="KG27" s="251"/>
      <c r="KH27" s="251"/>
      <c r="KI27" s="251"/>
      <c r="KJ27" s="251"/>
      <c r="KK27" s="251"/>
      <c r="KL27" s="251"/>
      <c r="KM27" s="251"/>
      <c r="KN27" s="251"/>
      <c r="KO27" s="251"/>
      <c r="KP27" s="251"/>
      <c r="KQ27" s="251"/>
      <c r="KR27" s="251"/>
      <c r="KS27" s="251"/>
      <c r="KT27" s="251"/>
      <c r="KU27" s="251"/>
      <c r="KV27" s="251"/>
      <c r="KW27" s="251"/>
      <c r="KX27" s="251"/>
      <c r="KY27" s="251"/>
      <c r="KZ27" s="251"/>
      <c r="LA27" s="251"/>
      <c r="LB27" s="251"/>
      <c r="LC27" s="251"/>
      <c r="LD27" s="251"/>
      <c r="LE27" s="251"/>
      <c r="LF27" s="251"/>
      <c r="LG27" s="251"/>
      <c r="LH27" s="251"/>
      <c r="LI27" s="251"/>
      <c r="LJ27" s="251"/>
      <c r="LK27" s="251"/>
      <c r="LL27" s="251"/>
      <c r="LM27" s="251"/>
      <c r="LN27" s="251"/>
      <c r="LO27" s="251"/>
      <c r="LP27" s="251"/>
      <c r="LQ27" s="251"/>
      <c r="LR27" s="251"/>
      <c r="LS27" s="251"/>
      <c r="LT27" s="251"/>
      <c r="LU27" s="251"/>
      <c r="LV27" s="251"/>
      <c r="LW27" s="251"/>
      <c r="LX27" s="251"/>
      <c r="LY27" s="251"/>
      <c r="LZ27" s="251"/>
      <c r="MA27" s="251"/>
      <c r="MB27" s="251"/>
      <c r="MC27" s="251"/>
      <c r="MD27" s="251"/>
      <c r="ME27" s="251"/>
      <c r="MF27" s="304"/>
      <c r="MG27" s="304"/>
      <c r="MH27" s="304"/>
      <c r="MI27" s="304"/>
      <c r="MJ27" s="304"/>
      <c r="MK27" s="304"/>
      <c r="ML27" s="304"/>
      <c r="MM27" s="304"/>
      <c r="MN27" s="304"/>
      <c r="MO27" s="304"/>
      <c r="MP27" s="304"/>
      <c r="MQ27" s="304"/>
      <c r="MR27" s="304"/>
      <c r="MS27" s="304"/>
      <c r="MT27" s="304"/>
      <c r="MU27" s="304"/>
      <c r="MV27" s="304"/>
      <c r="MW27" s="304"/>
      <c r="MX27" s="304"/>
      <c r="MY27" s="304"/>
      <c r="MZ27" s="304"/>
      <c r="NA27" s="304"/>
      <c r="NB27" s="304"/>
      <c r="NC27" s="304"/>
      <c r="ND27" s="304"/>
      <c r="NE27" s="304"/>
      <c r="NF27" s="304"/>
      <c r="NG27" s="304"/>
      <c r="NH27" s="304"/>
      <c r="NI27" s="304"/>
    </row>
    <row r="28" spans="1:373" x14ac:dyDescent="0.2">
      <c r="A28" s="132" t="s">
        <v>739</v>
      </c>
      <c r="B28" s="133" t="s">
        <v>938</v>
      </c>
      <c r="C28" s="134"/>
      <c r="D28" s="242" t="s">
        <v>1233</v>
      </c>
      <c r="E28" s="242">
        <v>0</v>
      </c>
      <c r="F28" s="243" t="s">
        <v>1234</v>
      </c>
      <c r="G28" s="243" t="s">
        <v>960</v>
      </c>
      <c r="H28" s="243" t="s">
        <v>961</v>
      </c>
      <c r="I28" s="243">
        <v>0</v>
      </c>
      <c r="J28" s="243">
        <v>0</v>
      </c>
      <c r="K28" s="243">
        <v>0</v>
      </c>
      <c r="L28" s="243" t="s">
        <v>1219</v>
      </c>
      <c r="M28" s="243">
        <v>0</v>
      </c>
      <c r="N28" s="243" t="s">
        <v>1218</v>
      </c>
      <c r="O28" s="243">
        <v>0</v>
      </c>
      <c r="P28" s="243">
        <v>0</v>
      </c>
      <c r="Q28" s="243">
        <v>0</v>
      </c>
      <c r="R28" s="135"/>
      <c r="S28" s="135"/>
      <c r="T28" s="135"/>
      <c r="U28" s="135"/>
      <c r="V28" s="135"/>
      <c r="W28" s="135">
        <v>0</v>
      </c>
      <c r="X28" s="135">
        <v>0</v>
      </c>
      <c r="Y28" s="135">
        <v>0</v>
      </c>
      <c r="Z28" s="136">
        <v>249.93</v>
      </c>
      <c r="AA28" s="136">
        <v>592.44000000000005</v>
      </c>
      <c r="AB28" s="136">
        <v>0</v>
      </c>
      <c r="AC28" s="137">
        <v>0</v>
      </c>
      <c r="AD28" s="137">
        <v>0</v>
      </c>
      <c r="AE28" s="138">
        <v>10</v>
      </c>
      <c r="AF28" s="138">
        <v>8</v>
      </c>
      <c r="AG28" s="138">
        <v>2</v>
      </c>
      <c r="AH28" s="139">
        <v>1</v>
      </c>
      <c r="AI28" s="139" t="s">
        <v>1387</v>
      </c>
      <c r="AJ28" s="138" t="s">
        <v>3630</v>
      </c>
      <c r="AK28" s="195" t="s">
        <v>3625</v>
      </c>
      <c r="AL28" s="138" t="s">
        <v>1316</v>
      </c>
      <c r="AM28" s="27" t="s">
        <v>1316</v>
      </c>
      <c r="AN28" s="138">
        <v>1.41</v>
      </c>
      <c r="AO28" s="140">
        <v>3.191489361702128</v>
      </c>
      <c r="AP28" s="140">
        <v>2.3049645390070923</v>
      </c>
      <c r="AQ28" s="140">
        <v>0.1773049645390071</v>
      </c>
      <c r="AR28" s="138">
        <v>0</v>
      </c>
      <c r="AS28" s="138">
        <v>0</v>
      </c>
      <c r="AT28" s="198"/>
      <c r="AU28" s="198"/>
      <c r="AV28" s="198"/>
      <c r="AW28" s="211" t="s">
        <v>790</v>
      </c>
      <c r="AX28" s="211" t="s">
        <v>1324</v>
      </c>
      <c r="AY28" s="141"/>
      <c r="AZ28" s="141"/>
      <c r="BA28" s="142">
        <v>1</v>
      </c>
      <c r="BB28" s="142" t="s">
        <v>527</v>
      </c>
      <c r="BC28" s="142"/>
      <c r="BD28" s="142">
        <v>2</v>
      </c>
      <c r="BE28" s="143" t="s">
        <v>541</v>
      </c>
      <c r="BF28" s="144">
        <v>1</v>
      </c>
      <c r="BG28" s="145"/>
      <c r="BH28" s="212"/>
      <c r="BI28" s="213"/>
      <c r="BJ28" s="146">
        <v>18</v>
      </c>
      <c r="BK28" s="214">
        <v>22</v>
      </c>
      <c r="BL28" s="13">
        <v>12</v>
      </c>
      <c r="BM28" s="13">
        <v>6</v>
      </c>
      <c r="BN28" s="27" t="s">
        <v>1396</v>
      </c>
      <c r="BO28" s="13" t="s">
        <v>1396</v>
      </c>
      <c r="BP28" s="147">
        <v>15</v>
      </c>
      <c r="BQ28" s="148"/>
      <c r="BR28" s="149"/>
      <c r="BS28" s="138">
        <v>1000000000</v>
      </c>
      <c r="BT28" s="150">
        <v>13</v>
      </c>
      <c r="BU28" s="151">
        <v>0.28000000000000003</v>
      </c>
      <c r="BV28" s="150">
        <v>0</v>
      </c>
      <c r="BW28" s="152">
        <v>0</v>
      </c>
      <c r="BX28" s="152">
        <v>0</v>
      </c>
      <c r="BY28" s="152">
        <v>0</v>
      </c>
      <c r="BZ28" s="150">
        <v>0</v>
      </c>
      <c r="CA28" s="150">
        <v>0</v>
      </c>
      <c r="CB28" s="150">
        <v>13</v>
      </c>
      <c r="CC28" s="151">
        <v>0.28000000000000003</v>
      </c>
      <c r="CD28" s="150"/>
      <c r="CE28" s="150"/>
      <c r="CF28" s="153">
        <v>6</v>
      </c>
      <c r="CG28" s="154">
        <v>4</v>
      </c>
      <c r="CH28" s="148">
        <v>4</v>
      </c>
      <c r="CI28" s="155"/>
      <c r="CJ28" s="156" t="s">
        <v>1316</v>
      </c>
      <c r="CK28" s="157" t="s">
        <v>1316</v>
      </c>
      <c r="CL28" s="154">
        <v>0</v>
      </c>
      <c r="CM28" s="154">
        <v>0</v>
      </c>
      <c r="CN28" s="151">
        <v>0</v>
      </c>
      <c r="CO28" s="151">
        <v>6.5780338494778556</v>
      </c>
      <c r="CP28" s="158"/>
      <c r="CQ28" s="151">
        <v>1</v>
      </c>
      <c r="CR28" s="199">
        <v>42636</v>
      </c>
      <c r="CS28" s="200">
        <v>43185</v>
      </c>
      <c r="CT28" s="201">
        <v>43255</v>
      </c>
      <c r="CU28" s="201">
        <v>43168</v>
      </c>
      <c r="CV28" s="201">
        <v>43179</v>
      </c>
      <c r="CW28" s="201">
        <v>43182</v>
      </c>
      <c r="CX28" s="201">
        <v>43224</v>
      </c>
      <c r="CY28" s="151">
        <v>0.5532933806504966</v>
      </c>
      <c r="CZ28" s="150">
        <v>0</v>
      </c>
      <c r="DA28" s="151">
        <v>0</v>
      </c>
      <c r="DB28" s="151">
        <v>0.34375</v>
      </c>
      <c r="DC28" s="151">
        <v>3.125E-2</v>
      </c>
      <c r="DD28" s="151">
        <v>0.375</v>
      </c>
      <c r="DE28" s="159">
        <v>0.203125</v>
      </c>
      <c r="DF28" s="13" t="s">
        <v>1316</v>
      </c>
      <c r="DG28" s="85" t="s">
        <v>1394</v>
      </c>
      <c r="DH28" s="18" t="b">
        <v>0</v>
      </c>
      <c r="DI28" s="84"/>
      <c r="DJ28" s="84"/>
      <c r="DK28" s="215"/>
      <c r="DL28" s="194"/>
      <c r="DM28" s="216"/>
      <c r="DN28" s="151"/>
      <c r="DO28" s="84"/>
      <c r="DP28" s="84"/>
      <c r="DQ28" s="84"/>
      <c r="DR28" s="84"/>
      <c r="DS28" s="84"/>
      <c r="DT28" s="84"/>
      <c r="DU28" s="84"/>
      <c r="DV28" s="18"/>
      <c r="DW28" s="18"/>
      <c r="DX28" s="18"/>
      <c r="DY28" s="197"/>
      <c r="DZ28" s="197">
        <v>0</v>
      </c>
      <c r="EA28" s="197">
        <v>0</v>
      </c>
      <c r="EB28" s="197">
        <v>0</v>
      </c>
      <c r="EC28" s="197">
        <v>0</v>
      </c>
      <c r="ED28" s="197">
        <v>0</v>
      </c>
      <c r="EE28" s="197">
        <v>0</v>
      </c>
      <c r="EF28" s="197">
        <v>0</v>
      </c>
      <c r="EG28" s="219"/>
      <c r="EH28" s="224">
        <v>8</v>
      </c>
      <c r="EI28" s="223">
        <v>5</v>
      </c>
      <c r="EJ28" s="225">
        <v>13</v>
      </c>
      <c r="EK28" s="225">
        <v>13</v>
      </c>
      <c r="EL28" s="224">
        <v>12</v>
      </c>
      <c r="EM28" s="225">
        <v>13</v>
      </c>
      <c r="EN28" s="224">
        <v>10</v>
      </c>
      <c r="EO28" s="224">
        <v>10</v>
      </c>
      <c r="EP28" s="224">
        <v>10</v>
      </c>
      <c r="EQ28" s="223">
        <v>6</v>
      </c>
      <c r="ER28" s="224">
        <v>11</v>
      </c>
      <c r="ES28" s="224">
        <v>10</v>
      </c>
      <c r="ET28" s="224">
        <v>8</v>
      </c>
      <c r="EU28" s="224">
        <v>8</v>
      </c>
      <c r="EV28" s="224">
        <v>7</v>
      </c>
      <c r="EW28" s="223">
        <v>2</v>
      </c>
      <c r="EX28" s="223">
        <v>2</v>
      </c>
      <c r="EY28" s="223">
        <v>2</v>
      </c>
      <c r="EZ28" s="223">
        <v>1</v>
      </c>
      <c r="FA28" s="223">
        <v>1</v>
      </c>
      <c r="FB28" s="223">
        <v>1</v>
      </c>
      <c r="FC28" s="223">
        <v>1</v>
      </c>
      <c r="FD28" s="223">
        <v>1</v>
      </c>
      <c r="FE28" s="223">
        <v>1</v>
      </c>
      <c r="FF28" s="223">
        <v>4</v>
      </c>
      <c r="FG28" s="223">
        <v>4</v>
      </c>
      <c r="FH28" s="223">
        <v>4</v>
      </c>
      <c r="FI28" s="223">
        <v>4</v>
      </c>
      <c r="FJ28" s="223">
        <v>4</v>
      </c>
      <c r="FK28" s="223">
        <v>4</v>
      </c>
      <c r="FL28" s="223">
        <v>4</v>
      </c>
      <c r="FM28" s="223">
        <v>4</v>
      </c>
      <c r="FN28" s="223">
        <v>4</v>
      </c>
      <c r="FO28" s="223">
        <v>4</v>
      </c>
      <c r="FP28" s="223">
        <v>4</v>
      </c>
      <c r="FQ28" s="223">
        <v>4</v>
      </c>
      <c r="FR28" s="223">
        <v>4</v>
      </c>
      <c r="FS28" s="223">
        <v>4</v>
      </c>
      <c r="FT28" s="223">
        <v>4</v>
      </c>
      <c r="FU28" s="223">
        <v>4</v>
      </c>
      <c r="FV28" s="223">
        <v>4</v>
      </c>
      <c r="FW28" s="223">
        <v>4</v>
      </c>
      <c r="FX28" s="223">
        <v>4</v>
      </c>
      <c r="FY28" s="223">
        <v>4</v>
      </c>
      <c r="FZ28" s="223">
        <v>4</v>
      </c>
      <c r="GA28" s="223">
        <v>4</v>
      </c>
      <c r="GB28" s="223">
        <v>4</v>
      </c>
      <c r="GC28" s="223">
        <v>4</v>
      </c>
      <c r="GD28" s="223">
        <v>4</v>
      </c>
      <c r="GE28" s="247"/>
      <c r="GF28" s="223">
        <v>4</v>
      </c>
      <c r="GG28" s="223">
        <v>4</v>
      </c>
      <c r="GH28" s="223">
        <v>4</v>
      </c>
      <c r="GI28" s="223">
        <v>3</v>
      </c>
      <c r="GJ28" s="223">
        <v>3</v>
      </c>
      <c r="GK28" s="223">
        <v>3</v>
      </c>
      <c r="GL28" s="223">
        <v>2</v>
      </c>
      <c r="GM28" s="247"/>
      <c r="GN28" s="223">
        <v>2</v>
      </c>
      <c r="GO28" s="223">
        <v>2</v>
      </c>
      <c r="GP28" s="223">
        <v>2</v>
      </c>
      <c r="GQ28" s="223">
        <v>2</v>
      </c>
      <c r="GR28" s="224">
        <v>8</v>
      </c>
      <c r="GS28" s="224">
        <v>8</v>
      </c>
      <c r="GT28" s="223">
        <v>5</v>
      </c>
      <c r="GU28" s="223">
        <v>5</v>
      </c>
      <c r="GV28" s="223">
        <v>5</v>
      </c>
      <c r="GW28" s="223">
        <v>5</v>
      </c>
      <c r="GX28" s="223">
        <v>5</v>
      </c>
      <c r="GY28" s="223">
        <v>5</v>
      </c>
      <c r="GZ28" s="223">
        <v>5</v>
      </c>
      <c r="HA28" s="226">
        <v>19</v>
      </c>
      <c r="HB28" s="226">
        <v>19</v>
      </c>
      <c r="HC28" s="226">
        <v>19</v>
      </c>
      <c r="HD28" s="226">
        <v>19</v>
      </c>
      <c r="HE28" s="226">
        <v>19</v>
      </c>
      <c r="HF28" s="226">
        <v>19</v>
      </c>
      <c r="HG28" s="226">
        <v>19</v>
      </c>
      <c r="HH28" s="226">
        <v>19</v>
      </c>
      <c r="HI28" s="226">
        <v>19</v>
      </c>
      <c r="HJ28" s="226">
        <v>19</v>
      </c>
      <c r="HK28" s="226">
        <v>19</v>
      </c>
      <c r="HL28" s="226">
        <v>19</v>
      </c>
      <c r="HM28" s="226">
        <v>19</v>
      </c>
      <c r="HN28" s="225">
        <v>17</v>
      </c>
      <c r="HO28" s="225">
        <v>17</v>
      </c>
      <c r="HP28" s="225">
        <v>17</v>
      </c>
      <c r="HQ28" s="225">
        <v>17</v>
      </c>
      <c r="HR28" s="225">
        <v>17</v>
      </c>
      <c r="HS28" s="225">
        <v>17</v>
      </c>
      <c r="HT28" s="225">
        <v>17</v>
      </c>
      <c r="HU28" s="225">
        <v>16</v>
      </c>
      <c r="HV28" s="225">
        <v>16</v>
      </c>
      <c r="HW28" s="225">
        <v>16</v>
      </c>
      <c r="HX28" s="225">
        <v>16</v>
      </c>
      <c r="HY28" s="225">
        <v>16</v>
      </c>
      <c r="HZ28" s="225">
        <v>16</v>
      </c>
      <c r="IA28" s="225">
        <v>16</v>
      </c>
      <c r="IB28" s="225">
        <v>15</v>
      </c>
      <c r="IC28" s="225">
        <v>15</v>
      </c>
      <c r="ID28" s="225">
        <v>15</v>
      </c>
      <c r="IE28" s="225">
        <v>15</v>
      </c>
      <c r="IF28" s="225">
        <v>15</v>
      </c>
      <c r="IG28" s="225">
        <v>15</v>
      </c>
      <c r="IH28" s="225">
        <v>13</v>
      </c>
      <c r="II28" s="225">
        <v>13</v>
      </c>
      <c r="IJ28" s="247"/>
      <c r="IK28" s="225">
        <v>13</v>
      </c>
      <c r="IL28" s="225">
        <v>13</v>
      </c>
      <c r="IM28" s="247"/>
      <c r="IN28" s="247"/>
      <c r="IO28" s="247"/>
      <c r="IP28" s="247"/>
      <c r="IQ28" s="247"/>
      <c r="IR28" s="247"/>
      <c r="IS28" s="247"/>
      <c r="IT28" s="247"/>
      <c r="IU28" s="247"/>
      <c r="IV28" s="247"/>
      <c r="IW28" s="247"/>
      <c r="IX28" s="247"/>
      <c r="IY28" s="247"/>
      <c r="IZ28" s="247"/>
      <c r="JA28" s="247"/>
      <c r="JB28" s="247"/>
      <c r="JC28" s="247"/>
      <c r="JD28" s="247"/>
      <c r="JE28" s="247"/>
      <c r="JF28" s="247"/>
      <c r="JG28" s="247"/>
      <c r="JH28" s="247"/>
      <c r="JI28" s="247"/>
      <c r="JJ28" s="247"/>
      <c r="JK28" s="247"/>
      <c r="JL28" s="247"/>
      <c r="JM28" s="247"/>
      <c r="JN28" s="247"/>
      <c r="JO28" s="247"/>
      <c r="JP28" s="247"/>
      <c r="JQ28" s="247"/>
      <c r="JR28" s="247"/>
      <c r="JS28" s="247"/>
      <c r="JT28" s="247"/>
      <c r="JU28" s="247"/>
      <c r="JV28" s="247"/>
      <c r="JW28" s="247"/>
      <c r="JX28" s="247"/>
      <c r="JY28" s="247"/>
      <c r="JZ28" s="247"/>
      <c r="KA28" s="247"/>
      <c r="KB28" s="247"/>
      <c r="KC28" s="247"/>
      <c r="KD28" s="247"/>
      <c r="KE28" s="247"/>
      <c r="KF28" s="247"/>
      <c r="KG28" s="247"/>
      <c r="KH28" s="247"/>
      <c r="KI28" s="247"/>
      <c r="KJ28" s="247"/>
      <c r="KK28" s="247"/>
      <c r="KL28" s="247"/>
      <c r="KM28" s="247"/>
      <c r="KN28" s="247"/>
      <c r="KO28" s="247"/>
      <c r="KP28" s="247"/>
      <c r="KQ28" s="247"/>
      <c r="KR28" s="247"/>
      <c r="KS28" s="247"/>
      <c r="KT28" s="247"/>
      <c r="KU28" s="247"/>
      <c r="KV28" s="247"/>
      <c r="KW28" s="247"/>
      <c r="KX28" s="247"/>
      <c r="KY28" s="247"/>
      <c r="KZ28" s="247"/>
      <c r="LA28" s="247"/>
      <c r="LB28" s="247"/>
      <c r="LC28" s="247"/>
      <c r="LD28" s="247"/>
      <c r="LE28" s="247"/>
      <c r="LF28" s="247"/>
      <c r="LG28" s="247"/>
      <c r="LH28" s="247"/>
      <c r="LI28" s="247"/>
      <c r="LJ28" s="247"/>
      <c r="LK28" s="247"/>
      <c r="LL28" s="247"/>
      <c r="LM28" s="247"/>
      <c r="LN28" s="247"/>
      <c r="LO28" s="247"/>
      <c r="LP28" s="247"/>
      <c r="LQ28" s="247"/>
      <c r="LR28" s="247"/>
      <c r="LS28" s="247"/>
      <c r="LT28" s="247"/>
      <c r="LU28" s="247"/>
      <c r="LV28" s="247"/>
      <c r="LW28" s="247"/>
      <c r="LX28" s="247"/>
      <c r="LY28" s="247"/>
      <c r="LZ28" s="247"/>
      <c r="MA28" s="247"/>
      <c r="MB28" s="247"/>
      <c r="MC28" s="247"/>
      <c r="MD28" s="247"/>
      <c r="ME28" s="247"/>
      <c r="MF28" s="304"/>
      <c r="MG28" s="304"/>
      <c r="MH28" s="304"/>
      <c r="MI28" s="304"/>
      <c r="MJ28" s="304"/>
      <c r="MK28" s="304"/>
      <c r="ML28" s="304"/>
      <c r="MM28" s="304"/>
      <c r="MN28" s="304"/>
      <c r="MO28" s="304"/>
      <c r="MP28" s="304"/>
      <c r="MQ28" s="304"/>
      <c r="MR28" s="304"/>
      <c r="MS28" s="304"/>
      <c r="MT28" s="304"/>
      <c r="MU28" s="304"/>
      <c r="MV28" s="304"/>
      <c r="MW28" s="304"/>
      <c r="MX28" s="304"/>
      <c r="MY28" s="304"/>
      <c r="MZ28" s="304"/>
      <c r="NA28" s="304"/>
      <c r="NB28" s="304"/>
      <c r="NC28" s="304"/>
      <c r="ND28" s="304"/>
      <c r="NE28" s="304"/>
      <c r="NF28" s="304"/>
      <c r="NG28" s="304"/>
      <c r="NH28" s="304"/>
      <c r="NI28" s="304"/>
    </row>
    <row r="29" spans="1:373" x14ac:dyDescent="0.2">
      <c r="A29" s="132" t="s">
        <v>739</v>
      </c>
      <c r="B29" s="133" t="s">
        <v>939</v>
      </c>
      <c r="C29" s="134"/>
      <c r="D29" s="242" t="s">
        <v>1255</v>
      </c>
      <c r="E29" s="242">
        <v>0</v>
      </c>
      <c r="F29" s="243" t="s">
        <v>1256</v>
      </c>
      <c r="G29" s="243" t="s">
        <v>1257</v>
      </c>
      <c r="H29" s="243" t="s">
        <v>1220</v>
      </c>
      <c r="I29" s="243">
        <v>0</v>
      </c>
      <c r="J29" s="243">
        <v>0</v>
      </c>
      <c r="K29" s="243">
        <v>0</v>
      </c>
      <c r="L29" s="243" t="s">
        <v>1257</v>
      </c>
      <c r="M29" s="243">
        <v>0</v>
      </c>
      <c r="N29" s="243" t="s">
        <v>1218</v>
      </c>
      <c r="O29" s="243">
        <v>0</v>
      </c>
      <c r="P29" s="243">
        <v>0</v>
      </c>
      <c r="Q29" s="243">
        <v>0</v>
      </c>
      <c r="R29" s="135"/>
      <c r="S29" s="135"/>
      <c r="T29" s="135"/>
      <c r="U29" s="135"/>
      <c r="V29" s="135"/>
      <c r="W29" s="135">
        <v>0</v>
      </c>
      <c r="X29" s="135">
        <v>0</v>
      </c>
      <c r="Y29" s="135">
        <v>0</v>
      </c>
      <c r="Z29" s="136">
        <v>249.73</v>
      </c>
      <c r="AA29" s="136">
        <v>475.16</v>
      </c>
      <c r="AB29" s="136">
        <v>0</v>
      </c>
      <c r="AC29" s="137">
        <v>0</v>
      </c>
      <c r="AD29" s="137">
        <v>0</v>
      </c>
      <c r="AE29" s="138">
        <v>10</v>
      </c>
      <c r="AF29" s="138">
        <v>8</v>
      </c>
      <c r="AG29" s="138">
        <v>2</v>
      </c>
      <c r="AH29" s="139">
        <v>1</v>
      </c>
      <c r="AI29" s="139" t="s">
        <v>1387</v>
      </c>
      <c r="AJ29" s="138" t="s">
        <v>3634</v>
      </c>
      <c r="AK29" s="195" t="s">
        <v>3625</v>
      </c>
      <c r="AL29" s="138" t="s">
        <v>1316</v>
      </c>
      <c r="AM29" s="27" t="s">
        <v>1316</v>
      </c>
      <c r="AN29" s="138">
        <v>0.27</v>
      </c>
      <c r="AO29" s="140">
        <v>3.7037037037037033</v>
      </c>
      <c r="AP29" s="140">
        <v>1.8518518518518516</v>
      </c>
      <c r="AQ29" s="140">
        <v>0.92592592592592582</v>
      </c>
      <c r="AR29" s="138">
        <v>0</v>
      </c>
      <c r="AS29" s="138">
        <v>0</v>
      </c>
      <c r="AT29" s="198"/>
      <c r="AU29" s="198"/>
      <c r="AV29" s="198"/>
      <c r="AW29" s="211" t="s">
        <v>790</v>
      </c>
      <c r="AX29" s="211" t="s">
        <v>1324</v>
      </c>
      <c r="AY29" s="141"/>
      <c r="AZ29" s="141"/>
      <c r="BA29" s="142">
        <v>1</v>
      </c>
      <c r="BB29" s="142" t="s">
        <v>527</v>
      </c>
      <c r="BC29" s="142"/>
      <c r="BD29" s="142">
        <v>1</v>
      </c>
      <c r="BE29" s="143" t="s">
        <v>541</v>
      </c>
      <c r="BF29" s="144">
        <v>1</v>
      </c>
      <c r="BG29" s="145"/>
      <c r="BH29" s="212"/>
      <c r="BI29" s="213"/>
      <c r="BJ29" s="146">
        <v>4</v>
      </c>
      <c r="BK29" s="214">
        <v>5</v>
      </c>
      <c r="BL29" s="13">
        <v>3</v>
      </c>
      <c r="BM29" s="13">
        <v>1</v>
      </c>
      <c r="BN29" s="27" t="s">
        <v>1392</v>
      </c>
      <c r="BO29" s="13" t="s">
        <v>1392</v>
      </c>
      <c r="BP29" s="147">
        <v>3</v>
      </c>
      <c r="BQ29" s="148"/>
      <c r="BR29" s="149"/>
      <c r="BS29" s="138">
        <v>1000000000</v>
      </c>
      <c r="BT29" s="150">
        <v>2</v>
      </c>
      <c r="BU29" s="151">
        <v>0.5</v>
      </c>
      <c r="BV29" s="150">
        <v>0</v>
      </c>
      <c r="BW29" s="152">
        <v>0</v>
      </c>
      <c r="BX29" s="152">
        <v>0</v>
      </c>
      <c r="BY29" s="152">
        <v>0</v>
      </c>
      <c r="BZ29" s="150">
        <v>0</v>
      </c>
      <c r="CA29" s="150">
        <v>0</v>
      </c>
      <c r="CB29" s="150">
        <v>2</v>
      </c>
      <c r="CC29" s="151">
        <v>0.5</v>
      </c>
      <c r="CD29" s="150"/>
      <c r="CE29" s="150"/>
      <c r="CF29" s="153">
        <v>2</v>
      </c>
      <c r="CG29" s="154">
        <v>1</v>
      </c>
      <c r="CH29" s="148">
        <v>0</v>
      </c>
      <c r="CI29" s="155"/>
      <c r="CJ29" s="156" t="s">
        <v>1316</v>
      </c>
      <c r="CK29" s="157" t="s">
        <v>1316</v>
      </c>
      <c r="CL29" s="154">
        <v>0</v>
      </c>
      <c r="CM29" s="154">
        <v>0</v>
      </c>
      <c r="CN29" s="151">
        <v>0</v>
      </c>
      <c r="CO29" s="151">
        <v>4.3329355704160504</v>
      </c>
      <c r="CP29" s="158"/>
      <c r="CQ29" s="151">
        <v>1</v>
      </c>
      <c r="CR29" s="199">
        <v>42831</v>
      </c>
      <c r="CS29" s="200">
        <v>43185</v>
      </c>
      <c r="CT29" s="201">
        <v>43255</v>
      </c>
      <c r="CU29" s="201">
        <v>43168</v>
      </c>
      <c r="CV29" s="201">
        <v>43179</v>
      </c>
      <c r="CW29" s="201">
        <v>43182</v>
      </c>
      <c r="CX29" s="201">
        <v>43224</v>
      </c>
      <c r="CY29" s="151">
        <v>0.35276054201114942</v>
      </c>
      <c r="CZ29" s="150">
        <v>0</v>
      </c>
      <c r="DA29" s="151">
        <v>0</v>
      </c>
      <c r="DB29" s="151">
        <v>0.375</v>
      </c>
      <c r="DC29" s="151">
        <v>0.5625</v>
      </c>
      <c r="DD29" s="151">
        <v>1.5625E-2</v>
      </c>
      <c r="DE29" s="159">
        <v>0</v>
      </c>
      <c r="DF29" s="13" t="s">
        <v>1316</v>
      </c>
      <c r="DG29" s="85" t="s">
        <v>1394</v>
      </c>
      <c r="DH29" s="18" t="b">
        <v>0</v>
      </c>
      <c r="DI29" s="84"/>
      <c r="DJ29" s="84"/>
      <c r="DK29" s="215"/>
      <c r="DL29" s="194"/>
      <c r="DM29" s="216"/>
      <c r="DN29" s="151"/>
      <c r="DO29" s="84"/>
      <c r="DP29" s="84"/>
      <c r="DQ29" s="84"/>
      <c r="DR29" s="84"/>
      <c r="DS29" s="84"/>
      <c r="DT29" s="84"/>
      <c r="DU29" s="84"/>
      <c r="DV29" s="18"/>
      <c r="DW29" s="18"/>
      <c r="DX29" s="18"/>
      <c r="DY29" s="197"/>
      <c r="DZ29" s="197">
        <v>0</v>
      </c>
      <c r="EA29" s="197">
        <v>0</v>
      </c>
      <c r="EB29" s="197">
        <v>0</v>
      </c>
      <c r="EC29" s="197">
        <v>0</v>
      </c>
      <c r="ED29" s="197">
        <v>0</v>
      </c>
      <c r="EE29" s="197">
        <v>0</v>
      </c>
      <c r="EF29" s="197">
        <v>0</v>
      </c>
      <c r="EG29" s="221"/>
      <c r="EH29" s="250">
        <v>2</v>
      </c>
      <c r="EI29" s="250">
        <v>2</v>
      </c>
      <c r="EJ29" s="250">
        <v>3</v>
      </c>
      <c r="EK29" s="250">
        <v>3</v>
      </c>
      <c r="EL29" s="250">
        <v>3</v>
      </c>
      <c r="EM29" s="250">
        <v>3</v>
      </c>
      <c r="EN29" s="253">
        <v>0</v>
      </c>
      <c r="EO29" s="253">
        <v>0</v>
      </c>
      <c r="EP29" s="253">
        <v>0</v>
      </c>
      <c r="EQ29" s="250">
        <v>2</v>
      </c>
      <c r="ER29" s="250">
        <v>2</v>
      </c>
      <c r="ES29" s="250">
        <v>2</v>
      </c>
      <c r="ET29" s="249">
        <v>1</v>
      </c>
      <c r="EU29" s="250">
        <v>2</v>
      </c>
      <c r="EV29" s="250">
        <v>2</v>
      </c>
      <c r="EW29" s="249">
        <v>1</v>
      </c>
      <c r="EX29" s="249">
        <v>1</v>
      </c>
      <c r="EY29" s="249">
        <v>1</v>
      </c>
      <c r="EZ29" s="249">
        <v>1</v>
      </c>
      <c r="FA29" s="249">
        <v>1</v>
      </c>
      <c r="FB29" s="250">
        <v>2</v>
      </c>
      <c r="FC29" s="250">
        <v>2</v>
      </c>
      <c r="FD29" s="250">
        <v>2</v>
      </c>
      <c r="FE29" s="250">
        <v>2</v>
      </c>
      <c r="FF29" s="248">
        <v>4</v>
      </c>
      <c r="FG29" s="248">
        <v>4</v>
      </c>
      <c r="FH29" s="250">
        <v>2</v>
      </c>
      <c r="FI29" s="249">
        <v>1</v>
      </c>
      <c r="FJ29" s="249">
        <v>1</v>
      </c>
      <c r="FK29" s="249">
        <v>1</v>
      </c>
      <c r="FL29" s="249">
        <v>1</v>
      </c>
      <c r="FM29" s="249">
        <v>1</v>
      </c>
      <c r="FN29" s="249">
        <v>1</v>
      </c>
      <c r="FO29" s="249">
        <v>1</v>
      </c>
      <c r="FP29" s="249">
        <v>1</v>
      </c>
      <c r="FQ29" s="249">
        <v>1</v>
      </c>
      <c r="FR29" s="249">
        <v>1</v>
      </c>
      <c r="FS29" s="249">
        <v>1</v>
      </c>
      <c r="FT29" s="249">
        <v>1</v>
      </c>
      <c r="FU29" s="249">
        <v>1</v>
      </c>
      <c r="FV29" s="249">
        <v>1</v>
      </c>
      <c r="FW29" s="249">
        <v>1</v>
      </c>
      <c r="FX29" s="249">
        <v>1</v>
      </c>
      <c r="FY29" s="249">
        <v>1</v>
      </c>
      <c r="FZ29" s="249">
        <v>1</v>
      </c>
      <c r="GA29" s="249">
        <v>1</v>
      </c>
      <c r="GB29" s="249">
        <v>1</v>
      </c>
      <c r="GC29" s="249">
        <v>1</v>
      </c>
      <c r="GD29" s="249">
        <v>1</v>
      </c>
      <c r="GE29" s="251"/>
      <c r="GF29" s="249">
        <v>1</v>
      </c>
      <c r="GG29" s="249">
        <v>1</v>
      </c>
      <c r="GH29" s="249">
        <v>1</v>
      </c>
      <c r="GI29" s="249">
        <v>1</v>
      </c>
      <c r="GJ29" s="249">
        <v>1</v>
      </c>
      <c r="GK29" s="249">
        <v>1</v>
      </c>
      <c r="GL29" s="249">
        <v>1</v>
      </c>
      <c r="GM29" s="251"/>
      <c r="GN29" s="249">
        <v>1</v>
      </c>
      <c r="GO29" s="249">
        <v>1</v>
      </c>
      <c r="GP29" s="249">
        <v>1</v>
      </c>
      <c r="GQ29" s="249">
        <v>1</v>
      </c>
      <c r="GR29" s="249">
        <v>1</v>
      </c>
      <c r="GS29" s="249">
        <v>1</v>
      </c>
      <c r="GT29" s="249">
        <v>1</v>
      </c>
      <c r="GU29" s="249">
        <v>1</v>
      </c>
      <c r="GV29" s="249">
        <v>1</v>
      </c>
      <c r="GW29" s="249">
        <v>1</v>
      </c>
      <c r="GX29" s="249">
        <v>1</v>
      </c>
      <c r="GY29" s="249">
        <v>1</v>
      </c>
      <c r="GZ29" s="249">
        <v>1</v>
      </c>
      <c r="HA29" s="248">
        <v>4</v>
      </c>
      <c r="HB29" s="250">
        <v>2</v>
      </c>
      <c r="HC29" s="250">
        <v>2</v>
      </c>
      <c r="HD29" s="250">
        <v>2</v>
      </c>
      <c r="HE29" s="250">
        <v>2</v>
      </c>
      <c r="HF29" s="250">
        <v>2</v>
      </c>
      <c r="HG29" s="250">
        <v>2</v>
      </c>
      <c r="HH29" s="250">
        <v>2</v>
      </c>
      <c r="HI29" s="250">
        <v>2</v>
      </c>
      <c r="HJ29" s="250">
        <v>2</v>
      </c>
      <c r="HK29" s="250">
        <v>2</v>
      </c>
      <c r="HL29" s="250">
        <v>2</v>
      </c>
      <c r="HM29" s="250">
        <v>2</v>
      </c>
      <c r="HN29" s="250">
        <v>2</v>
      </c>
      <c r="HO29" s="250">
        <v>2</v>
      </c>
      <c r="HP29" s="250">
        <v>2</v>
      </c>
      <c r="HQ29" s="250">
        <v>2</v>
      </c>
      <c r="HR29" s="250">
        <v>2</v>
      </c>
      <c r="HS29" s="250">
        <v>2</v>
      </c>
      <c r="HT29" s="250">
        <v>2</v>
      </c>
      <c r="HU29" s="250">
        <v>2</v>
      </c>
      <c r="HV29" s="250">
        <v>2</v>
      </c>
      <c r="HW29" s="250">
        <v>2</v>
      </c>
      <c r="HX29" s="250">
        <v>2</v>
      </c>
      <c r="HY29" s="250">
        <v>2</v>
      </c>
      <c r="HZ29" s="250">
        <v>2</v>
      </c>
      <c r="IA29" s="250">
        <v>2</v>
      </c>
      <c r="IB29" s="250">
        <v>2</v>
      </c>
      <c r="IC29" s="250">
        <v>2</v>
      </c>
      <c r="ID29" s="250">
        <v>2</v>
      </c>
      <c r="IE29" s="250">
        <v>2</v>
      </c>
      <c r="IF29" s="250">
        <v>2</v>
      </c>
      <c r="IG29" s="250">
        <v>2</v>
      </c>
      <c r="IH29" s="250">
        <v>2</v>
      </c>
      <c r="II29" s="250">
        <v>2</v>
      </c>
      <c r="IJ29" s="251"/>
      <c r="IK29" s="250">
        <v>2</v>
      </c>
      <c r="IL29" s="250">
        <v>2</v>
      </c>
      <c r="IM29" s="251"/>
      <c r="IN29" s="251"/>
      <c r="IO29" s="251"/>
      <c r="IP29" s="251"/>
      <c r="IQ29" s="251"/>
      <c r="IR29" s="251"/>
      <c r="IS29" s="251"/>
      <c r="IT29" s="251"/>
      <c r="IU29" s="251"/>
      <c r="IV29" s="251"/>
      <c r="IW29" s="251"/>
      <c r="IX29" s="251"/>
      <c r="IY29" s="251"/>
      <c r="IZ29" s="251"/>
      <c r="JA29" s="251"/>
      <c r="JB29" s="251"/>
      <c r="JC29" s="251"/>
      <c r="JD29" s="251"/>
      <c r="JE29" s="251"/>
      <c r="JF29" s="251"/>
      <c r="JG29" s="251"/>
      <c r="JH29" s="251"/>
      <c r="JI29" s="251"/>
      <c r="JJ29" s="251"/>
      <c r="JK29" s="251"/>
      <c r="JL29" s="251"/>
      <c r="JM29" s="251"/>
      <c r="JN29" s="251"/>
      <c r="JO29" s="251"/>
      <c r="JP29" s="251"/>
      <c r="JQ29" s="251"/>
      <c r="JR29" s="251"/>
      <c r="JS29" s="251"/>
      <c r="JT29" s="251"/>
      <c r="JU29" s="251"/>
      <c r="JV29" s="251"/>
      <c r="JW29" s="251"/>
      <c r="JX29" s="251"/>
      <c r="JY29" s="251"/>
      <c r="JZ29" s="251"/>
      <c r="KA29" s="251"/>
      <c r="KB29" s="251"/>
      <c r="KC29" s="251"/>
      <c r="KD29" s="251"/>
      <c r="KE29" s="251"/>
      <c r="KF29" s="251"/>
      <c r="KG29" s="251"/>
      <c r="KH29" s="251"/>
      <c r="KI29" s="251"/>
      <c r="KJ29" s="251"/>
      <c r="KK29" s="251"/>
      <c r="KL29" s="251"/>
      <c r="KM29" s="251"/>
      <c r="KN29" s="251"/>
      <c r="KO29" s="251"/>
      <c r="KP29" s="251"/>
      <c r="KQ29" s="251"/>
      <c r="KR29" s="251"/>
      <c r="KS29" s="251"/>
      <c r="KT29" s="251"/>
      <c r="KU29" s="251"/>
      <c r="KV29" s="251"/>
      <c r="KW29" s="251"/>
      <c r="KX29" s="251"/>
      <c r="KY29" s="251"/>
      <c r="KZ29" s="251"/>
      <c r="LA29" s="251"/>
      <c r="LB29" s="251"/>
      <c r="LC29" s="251"/>
      <c r="LD29" s="251"/>
      <c r="LE29" s="251"/>
      <c r="LF29" s="251"/>
      <c r="LG29" s="251"/>
      <c r="LH29" s="251"/>
      <c r="LI29" s="251"/>
      <c r="LJ29" s="251"/>
      <c r="LK29" s="251"/>
      <c r="LL29" s="251"/>
      <c r="LM29" s="251"/>
      <c r="LN29" s="251"/>
      <c r="LO29" s="251"/>
      <c r="LP29" s="251"/>
      <c r="LQ29" s="251"/>
      <c r="LR29" s="251"/>
      <c r="LS29" s="251"/>
      <c r="LT29" s="251"/>
      <c r="LU29" s="251"/>
      <c r="LV29" s="251"/>
      <c r="LW29" s="251"/>
      <c r="LX29" s="251"/>
      <c r="LY29" s="251"/>
      <c r="LZ29" s="251"/>
      <c r="MA29" s="251"/>
      <c r="MB29" s="251"/>
      <c r="MC29" s="251"/>
      <c r="MD29" s="251"/>
      <c r="ME29" s="251"/>
      <c r="MF29" s="304"/>
      <c r="MG29" s="304"/>
      <c r="MH29" s="304"/>
      <c r="MI29" s="304"/>
      <c r="MJ29" s="304"/>
      <c r="MK29" s="304"/>
      <c r="ML29" s="304"/>
      <c r="MM29" s="304"/>
      <c r="MN29" s="304"/>
      <c r="MO29" s="304"/>
      <c r="MP29" s="304"/>
      <c r="MQ29" s="304"/>
      <c r="MR29" s="304"/>
      <c r="MS29" s="304"/>
      <c r="MT29" s="304"/>
      <c r="MU29" s="304"/>
      <c r="MV29" s="304"/>
      <c r="MW29" s="304"/>
      <c r="MX29" s="304"/>
      <c r="MY29" s="304"/>
      <c r="MZ29" s="304"/>
      <c r="NA29" s="304"/>
      <c r="NB29" s="304"/>
      <c r="NC29" s="304"/>
      <c r="ND29" s="304"/>
      <c r="NE29" s="304"/>
      <c r="NF29" s="304"/>
      <c r="NG29" s="304"/>
      <c r="NH29" s="304"/>
      <c r="NI29" s="304"/>
    </row>
    <row r="30" spans="1:373" x14ac:dyDescent="0.2">
      <c r="A30" s="132" t="s">
        <v>739</v>
      </c>
      <c r="B30" s="133" t="s">
        <v>940</v>
      </c>
      <c r="C30" s="134"/>
      <c r="D30" s="242" t="s">
        <v>1258</v>
      </c>
      <c r="E30" s="242">
        <v>0</v>
      </c>
      <c r="F30" s="243" t="s">
        <v>1259</v>
      </c>
      <c r="G30" s="243" t="s">
        <v>960</v>
      </c>
      <c r="H30" s="243" t="s">
        <v>961</v>
      </c>
      <c r="I30" s="243">
        <v>0</v>
      </c>
      <c r="J30" s="243">
        <v>0</v>
      </c>
      <c r="K30" s="243">
        <v>0</v>
      </c>
      <c r="L30" s="243" t="s">
        <v>1219</v>
      </c>
      <c r="M30" s="243">
        <v>0</v>
      </c>
      <c r="N30" s="243" t="s">
        <v>1218</v>
      </c>
      <c r="O30" s="243">
        <v>0</v>
      </c>
      <c r="P30" s="243">
        <v>0</v>
      </c>
      <c r="Q30" s="243">
        <v>0</v>
      </c>
      <c r="R30" s="135"/>
      <c r="S30" s="135"/>
      <c r="T30" s="135"/>
      <c r="U30" s="135"/>
      <c r="V30" s="135"/>
      <c r="W30" s="135">
        <v>0</v>
      </c>
      <c r="X30" s="135">
        <v>0</v>
      </c>
      <c r="Y30" s="135">
        <v>0</v>
      </c>
      <c r="Z30" s="136">
        <v>230.64</v>
      </c>
      <c r="AA30" s="136">
        <v>652.16</v>
      </c>
      <c r="AB30" s="136">
        <v>0</v>
      </c>
      <c r="AC30" s="137">
        <v>0</v>
      </c>
      <c r="AD30" s="137">
        <v>0</v>
      </c>
      <c r="AE30" s="138">
        <v>10</v>
      </c>
      <c r="AF30" s="138">
        <v>8</v>
      </c>
      <c r="AG30" s="138">
        <v>2</v>
      </c>
      <c r="AH30" s="139">
        <v>1</v>
      </c>
      <c r="AI30" s="139" t="s">
        <v>1387</v>
      </c>
      <c r="AJ30" s="138" t="s">
        <v>3632</v>
      </c>
      <c r="AK30" s="195" t="s">
        <v>3627</v>
      </c>
      <c r="AL30" s="138">
        <v>144</v>
      </c>
      <c r="AM30" s="27" t="s">
        <v>1316</v>
      </c>
      <c r="AN30" s="138">
        <v>12.68</v>
      </c>
      <c r="AO30" s="140">
        <v>3.5488958990536279</v>
      </c>
      <c r="AP30" s="140">
        <v>1.5575709779179812</v>
      </c>
      <c r="AQ30" s="140">
        <v>3.9432176656151417E-2</v>
      </c>
      <c r="AR30" s="138">
        <v>0</v>
      </c>
      <c r="AS30" s="138">
        <v>0</v>
      </c>
      <c r="AT30" s="198"/>
      <c r="AU30" s="198"/>
      <c r="AV30" s="198"/>
      <c r="AW30" s="211" t="s">
        <v>790</v>
      </c>
      <c r="AX30" s="211" t="s">
        <v>1324</v>
      </c>
      <c r="AY30" s="141"/>
      <c r="AZ30" s="141"/>
      <c r="BA30" s="142">
        <v>2</v>
      </c>
      <c r="BB30" s="142" t="s">
        <v>527</v>
      </c>
      <c r="BC30" s="142"/>
      <c r="BD30" s="142">
        <v>2</v>
      </c>
      <c r="BE30" s="143" t="s">
        <v>541</v>
      </c>
      <c r="BF30" s="144">
        <v>1</v>
      </c>
      <c r="BG30" s="145"/>
      <c r="BH30" s="212"/>
      <c r="BI30" s="213"/>
      <c r="BJ30" s="146">
        <v>180</v>
      </c>
      <c r="BK30" s="214">
        <v>191</v>
      </c>
      <c r="BL30" s="13">
        <v>120</v>
      </c>
      <c r="BM30" s="13">
        <v>59</v>
      </c>
      <c r="BN30" s="27" t="s">
        <v>1392</v>
      </c>
      <c r="BO30" s="13" t="s">
        <v>1392</v>
      </c>
      <c r="BP30" s="147">
        <v>150</v>
      </c>
      <c r="BQ30" s="148"/>
      <c r="BR30" s="149"/>
      <c r="BS30" s="138">
        <v>1000000000</v>
      </c>
      <c r="BT30" s="150">
        <v>67</v>
      </c>
      <c r="BU30" s="151">
        <v>0.63</v>
      </c>
      <c r="BV30" s="150">
        <v>12</v>
      </c>
      <c r="BW30" s="152">
        <v>0</v>
      </c>
      <c r="BX30" s="152">
        <v>0</v>
      </c>
      <c r="BY30" s="152">
        <v>0</v>
      </c>
      <c r="BZ30" s="150">
        <v>0</v>
      </c>
      <c r="CA30" s="150">
        <v>0</v>
      </c>
      <c r="CB30" s="150">
        <v>79</v>
      </c>
      <c r="CC30" s="151">
        <v>0.56000000000000005</v>
      </c>
      <c r="CD30" s="150"/>
      <c r="CE30" s="150"/>
      <c r="CF30" s="153">
        <v>102</v>
      </c>
      <c r="CG30" s="154">
        <v>36</v>
      </c>
      <c r="CH30" s="148">
        <v>5</v>
      </c>
      <c r="CI30" s="155"/>
      <c r="CJ30" s="156" t="s">
        <v>1316</v>
      </c>
      <c r="CK30" s="157" t="s">
        <v>1316</v>
      </c>
      <c r="CL30" s="154">
        <v>0</v>
      </c>
      <c r="CM30" s="154">
        <v>0</v>
      </c>
      <c r="CN30" s="151">
        <v>0</v>
      </c>
      <c r="CO30" s="151">
        <v>8.7725286160249745</v>
      </c>
      <c r="CP30" s="158"/>
      <c r="CQ30" s="151">
        <v>0.32</v>
      </c>
      <c r="CR30" s="199">
        <v>42970</v>
      </c>
      <c r="CS30" s="200">
        <v>43185</v>
      </c>
      <c r="CT30" s="201">
        <v>43255</v>
      </c>
      <c r="CU30" s="201">
        <v>43195</v>
      </c>
      <c r="CV30" s="201">
        <v>43179</v>
      </c>
      <c r="CW30" s="201">
        <v>43209</v>
      </c>
      <c r="CX30" s="201">
        <v>43251</v>
      </c>
      <c r="CY30" s="151">
        <v>0.23387917275801742</v>
      </c>
      <c r="CZ30" s="150">
        <v>0</v>
      </c>
      <c r="DA30" s="151">
        <v>0</v>
      </c>
      <c r="DB30" s="151">
        <v>0</v>
      </c>
      <c r="DC30" s="151">
        <v>0.671875</v>
      </c>
      <c r="DD30" s="151">
        <v>0.28125</v>
      </c>
      <c r="DE30" s="159">
        <v>0</v>
      </c>
      <c r="DF30" s="13" t="s">
        <v>1316</v>
      </c>
      <c r="DG30" s="85" t="s">
        <v>1394</v>
      </c>
      <c r="DH30" s="18" t="b">
        <v>0</v>
      </c>
      <c r="DI30" s="84"/>
      <c r="DJ30" s="84"/>
      <c r="DK30" s="215"/>
      <c r="DL30" s="194"/>
      <c r="DM30" s="216"/>
      <c r="DN30" s="151"/>
      <c r="DO30" s="84"/>
      <c r="DP30" s="84"/>
      <c r="DQ30" s="84"/>
      <c r="DR30" s="84"/>
      <c r="DS30" s="84"/>
      <c r="DT30" s="84"/>
      <c r="DU30" s="84"/>
      <c r="DV30" s="18"/>
      <c r="DW30" s="18"/>
      <c r="DX30" s="18"/>
      <c r="DY30" s="197"/>
      <c r="DZ30" s="197">
        <v>0</v>
      </c>
      <c r="EA30" s="197">
        <v>0</v>
      </c>
      <c r="EB30" s="197">
        <v>0</v>
      </c>
      <c r="EC30" s="197">
        <v>0</v>
      </c>
      <c r="ED30" s="197">
        <v>0</v>
      </c>
      <c r="EE30" s="197">
        <v>0</v>
      </c>
      <c r="EF30" s="197">
        <v>12</v>
      </c>
      <c r="EG30" s="219"/>
      <c r="EH30" s="224">
        <v>73</v>
      </c>
      <c r="EI30" s="224">
        <v>61</v>
      </c>
      <c r="EJ30" s="224">
        <v>44</v>
      </c>
      <c r="EK30" s="223">
        <v>21</v>
      </c>
      <c r="EL30" s="223">
        <v>17</v>
      </c>
      <c r="EM30" s="224">
        <v>56</v>
      </c>
      <c r="EN30" s="225">
        <v>119</v>
      </c>
      <c r="EO30" s="224">
        <v>116</v>
      </c>
      <c r="EP30" s="224">
        <v>116</v>
      </c>
      <c r="EQ30" s="223">
        <v>36</v>
      </c>
      <c r="ER30" s="224">
        <v>99</v>
      </c>
      <c r="ES30" s="224">
        <v>88</v>
      </c>
      <c r="ET30" s="225">
        <v>141</v>
      </c>
      <c r="EU30" s="225">
        <v>169</v>
      </c>
      <c r="EV30" s="225">
        <v>167</v>
      </c>
      <c r="EW30" s="225">
        <v>134</v>
      </c>
      <c r="EX30" s="225">
        <v>134</v>
      </c>
      <c r="EY30" s="225">
        <v>134</v>
      </c>
      <c r="EZ30" s="225">
        <v>134</v>
      </c>
      <c r="FA30" s="225">
        <v>134</v>
      </c>
      <c r="FB30" s="225">
        <v>132</v>
      </c>
      <c r="FC30" s="225">
        <v>132</v>
      </c>
      <c r="FD30" s="225">
        <v>132</v>
      </c>
      <c r="FE30" s="225">
        <v>132</v>
      </c>
      <c r="FF30" s="225">
        <v>148</v>
      </c>
      <c r="FG30" s="225">
        <v>148</v>
      </c>
      <c r="FH30" s="225">
        <v>148</v>
      </c>
      <c r="FI30" s="225">
        <v>145</v>
      </c>
      <c r="FJ30" s="225">
        <v>145</v>
      </c>
      <c r="FK30" s="225">
        <v>145</v>
      </c>
      <c r="FL30" s="225">
        <v>145</v>
      </c>
      <c r="FM30" s="225">
        <v>145</v>
      </c>
      <c r="FN30" s="225">
        <v>145</v>
      </c>
      <c r="FO30" s="225">
        <v>144</v>
      </c>
      <c r="FP30" s="225">
        <v>144</v>
      </c>
      <c r="FQ30" s="225">
        <v>128</v>
      </c>
      <c r="FR30" s="225">
        <v>127</v>
      </c>
      <c r="FS30" s="225">
        <v>127</v>
      </c>
      <c r="FT30" s="225">
        <v>127</v>
      </c>
      <c r="FU30" s="225">
        <v>124</v>
      </c>
      <c r="FV30" s="225">
        <v>122</v>
      </c>
      <c r="FW30" s="225">
        <v>122</v>
      </c>
      <c r="FX30" s="225">
        <v>152</v>
      </c>
      <c r="FY30" s="225">
        <v>152</v>
      </c>
      <c r="FZ30" s="225">
        <v>152</v>
      </c>
      <c r="GA30" s="225">
        <v>152</v>
      </c>
      <c r="GB30" s="225">
        <v>151</v>
      </c>
      <c r="GC30" s="225">
        <v>146</v>
      </c>
      <c r="GD30" s="225">
        <v>142</v>
      </c>
      <c r="GE30" s="247"/>
      <c r="GF30" s="225">
        <v>142</v>
      </c>
      <c r="GG30" s="225">
        <v>142</v>
      </c>
      <c r="GH30" s="225">
        <v>142</v>
      </c>
      <c r="GI30" s="225">
        <v>142</v>
      </c>
      <c r="GJ30" s="225">
        <v>142</v>
      </c>
      <c r="GK30" s="225">
        <v>142</v>
      </c>
      <c r="GL30" s="225">
        <v>141</v>
      </c>
      <c r="GM30" s="247"/>
      <c r="GN30" s="225">
        <v>141</v>
      </c>
      <c r="GO30" s="225">
        <v>141</v>
      </c>
      <c r="GP30" s="225">
        <v>141</v>
      </c>
      <c r="GQ30" s="225">
        <v>141</v>
      </c>
      <c r="GR30" s="225">
        <v>141</v>
      </c>
      <c r="GS30" s="225">
        <v>140</v>
      </c>
      <c r="GT30" s="225">
        <v>140</v>
      </c>
      <c r="GU30" s="224">
        <v>118</v>
      </c>
      <c r="GV30" s="224">
        <v>117</v>
      </c>
      <c r="GW30" s="224">
        <v>117</v>
      </c>
      <c r="GX30" s="224">
        <v>117</v>
      </c>
      <c r="GY30" s="224">
        <v>117</v>
      </c>
      <c r="GZ30" s="224">
        <v>117</v>
      </c>
      <c r="HA30" s="224">
        <v>117</v>
      </c>
      <c r="HB30" s="224">
        <v>117</v>
      </c>
      <c r="HC30" s="224">
        <v>108</v>
      </c>
      <c r="HD30" s="224">
        <v>108</v>
      </c>
      <c r="HE30" s="224">
        <v>108</v>
      </c>
      <c r="HF30" s="224">
        <v>108</v>
      </c>
      <c r="HG30" s="224">
        <v>108</v>
      </c>
      <c r="HH30" s="224">
        <v>108</v>
      </c>
      <c r="HI30" s="224">
        <v>100</v>
      </c>
      <c r="HJ30" s="224">
        <v>100</v>
      </c>
      <c r="HK30" s="224">
        <v>100</v>
      </c>
      <c r="HL30" s="224">
        <v>100</v>
      </c>
      <c r="HM30" s="224">
        <v>99</v>
      </c>
      <c r="HN30" s="224">
        <v>95</v>
      </c>
      <c r="HO30" s="224">
        <v>95</v>
      </c>
      <c r="HP30" s="224">
        <v>95</v>
      </c>
      <c r="HQ30" s="224">
        <v>95</v>
      </c>
      <c r="HR30" s="224">
        <v>95</v>
      </c>
      <c r="HS30" s="224">
        <v>95</v>
      </c>
      <c r="HT30" s="224">
        <v>95</v>
      </c>
      <c r="HU30" s="224">
        <v>85</v>
      </c>
      <c r="HV30" s="224">
        <v>83</v>
      </c>
      <c r="HW30" s="224">
        <v>83</v>
      </c>
      <c r="HX30" s="224">
        <v>83</v>
      </c>
      <c r="HY30" s="224">
        <v>83</v>
      </c>
      <c r="HZ30" s="224">
        <v>83</v>
      </c>
      <c r="IA30" s="224">
        <v>83</v>
      </c>
      <c r="IB30" s="224">
        <v>81</v>
      </c>
      <c r="IC30" s="224">
        <v>79</v>
      </c>
      <c r="ID30" s="224">
        <v>79</v>
      </c>
      <c r="IE30" s="224">
        <v>79</v>
      </c>
      <c r="IF30" s="224">
        <v>79</v>
      </c>
      <c r="IG30" s="224">
        <v>79</v>
      </c>
      <c r="IH30" s="224">
        <v>78</v>
      </c>
      <c r="II30" s="224">
        <v>68</v>
      </c>
      <c r="IJ30" s="247"/>
      <c r="IK30" s="224">
        <v>67</v>
      </c>
      <c r="IL30" s="224">
        <v>67</v>
      </c>
      <c r="IM30" s="247"/>
      <c r="IN30" s="247"/>
      <c r="IO30" s="247"/>
      <c r="IP30" s="247"/>
      <c r="IQ30" s="247"/>
      <c r="IR30" s="247"/>
      <c r="IS30" s="247"/>
      <c r="IT30" s="247"/>
      <c r="IU30" s="247"/>
      <c r="IV30" s="247"/>
      <c r="IW30" s="247"/>
      <c r="IX30" s="247"/>
      <c r="IY30" s="247"/>
      <c r="IZ30" s="247"/>
      <c r="JA30" s="247"/>
      <c r="JB30" s="247"/>
      <c r="JC30" s="247"/>
      <c r="JD30" s="247"/>
      <c r="JE30" s="247"/>
      <c r="JF30" s="247"/>
      <c r="JG30" s="247"/>
      <c r="JH30" s="247"/>
      <c r="JI30" s="247"/>
      <c r="JJ30" s="247"/>
      <c r="JK30" s="247"/>
      <c r="JL30" s="247"/>
      <c r="JM30" s="247"/>
      <c r="JN30" s="247"/>
      <c r="JO30" s="247"/>
      <c r="JP30" s="247"/>
      <c r="JQ30" s="247"/>
      <c r="JR30" s="247"/>
      <c r="JS30" s="247"/>
      <c r="JT30" s="247"/>
      <c r="JU30" s="247"/>
      <c r="JV30" s="247"/>
      <c r="JW30" s="247"/>
      <c r="JX30" s="247"/>
      <c r="JY30" s="247"/>
      <c r="JZ30" s="247"/>
      <c r="KA30" s="247"/>
      <c r="KB30" s="247"/>
      <c r="KC30" s="247"/>
      <c r="KD30" s="247"/>
      <c r="KE30" s="247"/>
      <c r="KF30" s="247"/>
      <c r="KG30" s="247"/>
      <c r="KH30" s="247"/>
      <c r="KI30" s="247"/>
      <c r="KJ30" s="247"/>
      <c r="KK30" s="247"/>
      <c r="KL30" s="247"/>
      <c r="KM30" s="247"/>
      <c r="KN30" s="247"/>
      <c r="KO30" s="247"/>
      <c r="KP30" s="247"/>
      <c r="KQ30" s="247"/>
      <c r="KR30" s="247"/>
      <c r="KS30" s="247"/>
      <c r="KT30" s="247"/>
      <c r="KU30" s="247"/>
      <c r="KV30" s="247"/>
      <c r="KW30" s="247"/>
      <c r="KX30" s="247"/>
      <c r="KY30" s="247"/>
      <c r="KZ30" s="247"/>
      <c r="LA30" s="247"/>
      <c r="LB30" s="247"/>
      <c r="LC30" s="247"/>
      <c r="LD30" s="247"/>
      <c r="LE30" s="247"/>
      <c r="LF30" s="247"/>
      <c r="LG30" s="247"/>
      <c r="LH30" s="247"/>
      <c r="LI30" s="247"/>
      <c r="LJ30" s="247"/>
      <c r="LK30" s="247"/>
      <c r="LL30" s="247"/>
      <c r="LM30" s="247"/>
      <c r="LN30" s="247"/>
      <c r="LO30" s="247"/>
      <c r="LP30" s="247"/>
      <c r="LQ30" s="247"/>
      <c r="LR30" s="247"/>
      <c r="LS30" s="247"/>
      <c r="LT30" s="247"/>
      <c r="LU30" s="247"/>
      <c r="LV30" s="247"/>
      <c r="LW30" s="247"/>
      <c r="LX30" s="247"/>
      <c r="LY30" s="247"/>
      <c r="LZ30" s="247"/>
      <c r="MA30" s="247"/>
      <c r="MB30" s="247"/>
      <c r="MC30" s="247"/>
      <c r="MD30" s="247"/>
      <c r="ME30" s="247"/>
      <c r="MF30" s="304"/>
      <c r="MG30" s="304"/>
      <c r="MH30" s="304"/>
      <c r="MI30" s="304"/>
      <c r="MJ30" s="304"/>
      <c r="MK30" s="304"/>
      <c r="ML30" s="304"/>
      <c r="MM30" s="304"/>
      <c r="MN30" s="304"/>
      <c r="MO30" s="304"/>
      <c r="MP30" s="304"/>
      <c r="MQ30" s="304"/>
      <c r="MR30" s="304"/>
      <c r="MS30" s="304"/>
      <c r="MT30" s="304"/>
      <c r="MU30" s="304"/>
      <c r="MV30" s="304"/>
      <c r="MW30" s="304"/>
      <c r="MX30" s="304"/>
      <c r="MY30" s="304"/>
      <c r="MZ30" s="304"/>
      <c r="NA30" s="304"/>
      <c r="NB30" s="304"/>
      <c r="NC30" s="304"/>
      <c r="ND30" s="304"/>
      <c r="NE30" s="304"/>
      <c r="NF30" s="304"/>
      <c r="NG30" s="304"/>
      <c r="NH30" s="304"/>
      <c r="NI30" s="304"/>
    </row>
    <row r="31" spans="1:373" x14ac:dyDescent="0.2">
      <c r="A31" s="132" t="s">
        <v>739</v>
      </c>
      <c r="B31" s="133" t="s">
        <v>941</v>
      </c>
      <c r="C31" s="134"/>
      <c r="D31" s="242" t="s">
        <v>1240</v>
      </c>
      <c r="E31" s="242">
        <v>0</v>
      </c>
      <c r="F31" s="243" t="s">
        <v>1241</v>
      </c>
      <c r="G31" s="243" t="s">
        <v>1242</v>
      </c>
      <c r="H31" s="243" t="s">
        <v>961</v>
      </c>
      <c r="I31" s="243">
        <v>0</v>
      </c>
      <c r="J31" s="243">
        <v>0</v>
      </c>
      <c r="K31" s="243">
        <v>0</v>
      </c>
      <c r="L31" s="243" t="s">
        <v>1243</v>
      </c>
      <c r="M31" s="243">
        <v>0</v>
      </c>
      <c r="N31" s="243" t="s">
        <v>1218</v>
      </c>
      <c r="O31" s="243">
        <v>0</v>
      </c>
      <c r="P31" s="243">
        <v>0</v>
      </c>
      <c r="Q31" s="243">
        <v>0</v>
      </c>
      <c r="R31" s="135"/>
      <c r="S31" s="135"/>
      <c r="T31" s="135"/>
      <c r="U31" s="135"/>
      <c r="V31" s="135"/>
      <c r="W31" s="135">
        <v>0</v>
      </c>
      <c r="X31" s="135">
        <v>0</v>
      </c>
      <c r="Y31" s="135">
        <v>0</v>
      </c>
      <c r="Z31" s="136">
        <v>231.28</v>
      </c>
      <c r="AA31" s="136">
        <v>460.85</v>
      </c>
      <c r="AB31" s="136">
        <v>0</v>
      </c>
      <c r="AC31" s="137">
        <v>0</v>
      </c>
      <c r="AD31" s="137">
        <v>0</v>
      </c>
      <c r="AE31" s="138">
        <v>10</v>
      </c>
      <c r="AF31" s="138">
        <v>8</v>
      </c>
      <c r="AG31" s="138">
        <v>2</v>
      </c>
      <c r="AH31" s="139">
        <v>1</v>
      </c>
      <c r="AI31" s="139" t="s">
        <v>1387</v>
      </c>
      <c r="AJ31" s="138" t="s">
        <v>3638</v>
      </c>
      <c r="AK31" s="195" t="s">
        <v>3637</v>
      </c>
      <c r="AL31" s="138" t="s">
        <v>1316</v>
      </c>
      <c r="AM31" s="27" t="s">
        <v>1316</v>
      </c>
      <c r="AN31" s="138">
        <v>1.82</v>
      </c>
      <c r="AO31" s="140">
        <v>6.8681318681318677</v>
      </c>
      <c r="AP31" s="140">
        <v>4.8076923076923075</v>
      </c>
      <c r="AQ31" s="140">
        <v>0.13736263736263735</v>
      </c>
      <c r="AR31" s="138">
        <v>0</v>
      </c>
      <c r="AS31" s="138">
        <v>0</v>
      </c>
      <c r="AT31" s="198"/>
      <c r="AU31" s="198"/>
      <c r="AV31" s="198"/>
      <c r="AW31" s="211" t="s">
        <v>790</v>
      </c>
      <c r="AX31" s="211" t="s">
        <v>1324</v>
      </c>
      <c r="AY31" s="141"/>
      <c r="AZ31" s="141"/>
      <c r="BA31" s="142">
        <v>1</v>
      </c>
      <c r="BB31" s="142" t="s">
        <v>527</v>
      </c>
      <c r="BC31" s="142"/>
      <c r="BD31" s="142">
        <v>1</v>
      </c>
      <c r="BE31" s="143" t="s">
        <v>541</v>
      </c>
      <c r="BF31" s="144">
        <v>1</v>
      </c>
      <c r="BG31" s="145"/>
      <c r="BH31" s="212"/>
      <c r="BI31" s="213"/>
      <c r="BJ31" s="146">
        <v>50</v>
      </c>
      <c r="BK31" s="214">
        <v>28</v>
      </c>
      <c r="BL31" s="13">
        <v>33</v>
      </c>
      <c r="BM31" s="13">
        <v>17</v>
      </c>
      <c r="BN31" s="27" t="s">
        <v>1393</v>
      </c>
      <c r="BO31" s="13" t="s">
        <v>1396</v>
      </c>
      <c r="BP31" s="147">
        <v>35</v>
      </c>
      <c r="BQ31" s="148"/>
      <c r="BR31" s="149"/>
      <c r="BS31" s="138">
        <v>1000000000</v>
      </c>
      <c r="BT31" s="150">
        <v>14</v>
      </c>
      <c r="BU31" s="151">
        <v>0.72</v>
      </c>
      <c r="BV31" s="150">
        <v>21</v>
      </c>
      <c r="BW31" s="152">
        <v>0</v>
      </c>
      <c r="BX31" s="152">
        <v>0</v>
      </c>
      <c r="BY31" s="152">
        <v>0</v>
      </c>
      <c r="BZ31" s="150">
        <v>0</v>
      </c>
      <c r="CA31" s="150">
        <v>0</v>
      </c>
      <c r="CB31" s="150">
        <v>35</v>
      </c>
      <c r="CC31" s="151">
        <v>0.3</v>
      </c>
      <c r="CD31" s="150"/>
      <c r="CE31" s="150"/>
      <c r="CF31" s="153">
        <v>15</v>
      </c>
      <c r="CG31" s="154">
        <v>10</v>
      </c>
      <c r="CH31" s="148">
        <v>3</v>
      </c>
      <c r="CI31" s="155"/>
      <c r="CJ31" s="156" t="s">
        <v>1316</v>
      </c>
      <c r="CK31" s="157" t="s">
        <v>1316</v>
      </c>
      <c r="CL31" s="154">
        <v>688.71</v>
      </c>
      <c r="CM31" s="154">
        <v>0</v>
      </c>
      <c r="CN31" s="151">
        <v>0</v>
      </c>
      <c r="CO31" s="151">
        <v>4.7645105499827052</v>
      </c>
      <c r="CP31" s="158"/>
      <c r="CQ31" s="151">
        <v>0.91</v>
      </c>
      <c r="CR31" s="199">
        <v>42759</v>
      </c>
      <c r="CS31" s="200">
        <v>43185</v>
      </c>
      <c r="CT31" s="201">
        <v>43255</v>
      </c>
      <c r="CU31" s="201">
        <v>43195</v>
      </c>
      <c r="CV31" s="201">
        <v>43133</v>
      </c>
      <c r="CW31" s="201">
        <v>43209</v>
      </c>
      <c r="CX31" s="201">
        <v>43251</v>
      </c>
      <c r="CY31" s="151">
        <v>0.20064594898522484</v>
      </c>
      <c r="CZ31" s="150">
        <v>0</v>
      </c>
      <c r="DA31" s="151">
        <v>0</v>
      </c>
      <c r="DB31" s="151">
        <v>0.140625</v>
      </c>
      <c r="DC31" s="151">
        <v>0.8125</v>
      </c>
      <c r="DD31" s="151">
        <v>0</v>
      </c>
      <c r="DE31" s="159">
        <v>0</v>
      </c>
      <c r="DF31" s="13" t="s">
        <v>1316</v>
      </c>
      <c r="DG31" s="85" t="s">
        <v>1394</v>
      </c>
      <c r="DH31" s="18" t="b">
        <v>0</v>
      </c>
      <c r="DI31" s="84"/>
      <c r="DJ31" s="84"/>
      <c r="DK31" s="215"/>
      <c r="DL31" s="194"/>
      <c r="DM31" s="216"/>
      <c r="DN31" s="151"/>
      <c r="DO31" s="84"/>
      <c r="DP31" s="84"/>
      <c r="DQ31" s="84"/>
      <c r="DR31" s="84"/>
      <c r="DS31" s="84"/>
      <c r="DT31" s="84"/>
      <c r="DU31" s="84"/>
      <c r="DV31" s="18"/>
      <c r="DW31" s="18"/>
      <c r="DX31" s="18"/>
      <c r="DY31" s="197"/>
      <c r="DZ31" s="197">
        <v>0</v>
      </c>
      <c r="EA31" s="197">
        <v>0</v>
      </c>
      <c r="EB31" s="197">
        <v>0</v>
      </c>
      <c r="EC31" s="197">
        <v>0</v>
      </c>
      <c r="ED31" s="197">
        <v>0</v>
      </c>
      <c r="EE31" s="197">
        <v>0</v>
      </c>
      <c r="EF31" s="197">
        <v>21</v>
      </c>
      <c r="EG31" s="221"/>
      <c r="EH31" s="250">
        <v>32</v>
      </c>
      <c r="EI31" s="250">
        <v>21</v>
      </c>
      <c r="EJ31" s="250">
        <v>29</v>
      </c>
      <c r="EK31" s="250">
        <v>29</v>
      </c>
      <c r="EL31" s="250">
        <v>28</v>
      </c>
      <c r="EM31" s="248">
        <v>48</v>
      </c>
      <c r="EN31" s="248">
        <v>50</v>
      </c>
      <c r="EO31" s="248">
        <v>44</v>
      </c>
      <c r="EP31" s="248">
        <v>43</v>
      </c>
      <c r="EQ31" s="249">
        <v>1</v>
      </c>
      <c r="ER31" s="249">
        <v>17</v>
      </c>
      <c r="ES31" s="249">
        <v>9</v>
      </c>
      <c r="ET31" s="253">
        <v>0</v>
      </c>
      <c r="EU31" s="250">
        <v>30</v>
      </c>
      <c r="EV31" s="250">
        <v>29</v>
      </c>
      <c r="EW31" s="250">
        <v>33</v>
      </c>
      <c r="EX31" s="250">
        <v>33</v>
      </c>
      <c r="EY31" s="250">
        <v>33</v>
      </c>
      <c r="EZ31" s="250">
        <v>33</v>
      </c>
      <c r="FA31" s="250">
        <v>33</v>
      </c>
      <c r="FB31" s="250">
        <v>32</v>
      </c>
      <c r="FC31" s="250">
        <v>32</v>
      </c>
      <c r="FD31" s="250">
        <v>31</v>
      </c>
      <c r="FE31" s="250">
        <v>31</v>
      </c>
      <c r="FF31" s="250">
        <v>31</v>
      </c>
      <c r="FG31" s="250">
        <v>31</v>
      </c>
      <c r="FH31" s="250">
        <v>31</v>
      </c>
      <c r="FI31" s="250">
        <v>31</v>
      </c>
      <c r="FJ31" s="250">
        <v>31</v>
      </c>
      <c r="FK31" s="250">
        <v>31</v>
      </c>
      <c r="FL31" s="250">
        <v>31</v>
      </c>
      <c r="FM31" s="250">
        <v>31</v>
      </c>
      <c r="FN31" s="250">
        <v>31</v>
      </c>
      <c r="FO31" s="250">
        <v>31</v>
      </c>
      <c r="FP31" s="250">
        <v>31</v>
      </c>
      <c r="FQ31" s="250">
        <v>31</v>
      </c>
      <c r="FR31" s="250">
        <v>31</v>
      </c>
      <c r="FS31" s="250">
        <v>31</v>
      </c>
      <c r="FT31" s="250">
        <v>31</v>
      </c>
      <c r="FU31" s="250">
        <v>30</v>
      </c>
      <c r="FV31" s="250">
        <v>29</v>
      </c>
      <c r="FW31" s="250">
        <v>29</v>
      </c>
      <c r="FX31" s="250">
        <v>29</v>
      </c>
      <c r="FY31" s="250">
        <v>29</v>
      </c>
      <c r="FZ31" s="250">
        <v>29</v>
      </c>
      <c r="GA31" s="250">
        <v>29</v>
      </c>
      <c r="GB31" s="250">
        <v>29</v>
      </c>
      <c r="GC31" s="250">
        <v>28</v>
      </c>
      <c r="GD31" s="250">
        <v>28</v>
      </c>
      <c r="GE31" s="221"/>
      <c r="GF31" s="250">
        <v>28</v>
      </c>
      <c r="GG31" s="250">
        <v>28</v>
      </c>
      <c r="GH31" s="250">
        <v>28</v>
      </c>
      <c r="GI31" s="250">
        <v>27</v>
      </c>
      <c r="GJ31" s="250">
        <v>27</v>
      </c>
      <c r="GK31" s="250">
        <v>26</v>
      </c>
      <c r="GL31" s="250">
        <v>26</v>
      </c>
      <c r="GM31" s="221"/>
      <c r="GN31" s="250">
        <v>24</v>
      </c>
      <c r="GO31" s="250">
        <v>24</v>
      </c>
      <c r="GP31" s="250">
        <v>24</v>
      </c>
      <c r="GQ31" s="250">
        <v>24</v>
      </c>
      <c r="GR31" s="250">
        <v>24</v>
      </c>
      <c r="GS31" s="250">
        <v>24</v>
      </c>
      <c r="GT31" s="250">
        <v>24</v>
      </c>
      <c r="GU31" s="250">
        <v>24</v>
      </c>
      <c r="GV31" s="250">
        <v>24</v>
      </c>
      <c r="GW31" s="250">
        <v>24</v>
      </c>
      <c r="GX31" s="250">
        <v>24</v>
      </c>
      <c r="GY31" s="250">
        <v>24</v>
      </c>
      <c r="GZ31" s="250">
        <v>24</v>
      </c>
      <c r="HA31" s="250">
        <v>23</v>
      </c>
      <c r="HB31" s="250">
        <v>23</v>
      </c>
      <c r="HC31" s="250">
        <v>22</v>
      </c>
      <c r="HD31" s="250">
        <v>22</v>
      </c>
      <c r="HE31" s="250">
        <v>22</v>
      </c>
      <c r="HF31" s="250">
        <v>22</v>
      </c>
      <c r="HG31" s="250">
        <v>22</v>
      </c>
      <c r="HH31" s="250">
        <v>22</v>
      </c>
      <c r="HI31" s="250">
        <v>21</v>
      </c>
      <c r="HJ31" s="250">
        <v>20</v>
      </c>
      <c r="HK31" s="250">
        <v>20</v>
      </c>
      <c r="HL31" s="250">
        <v>20</v>
      </c>
      <c r="HM31" s="250">
        <v>18</v>
      </c>
      <c r="HN31" s="250">
        <v>18</v>
      </c>
      <c r="HO31" s="250">
        <v>18</v>
      </c>
      <c r="HP31" s="250">
        <v>18</v>
      </c>
      <c r="HQ31" s="250">
        <v>19</v>
      </c>
      <c r="HR31" s="250">
        <v>19</v>
      </c>
      <c r="HS31" s="250">
        <v>19</v>
      </c>
      <c r="HT31" s="250">
        <v>18</v>
      </c>
      <c r="HU31" s="250">
        <v>18</v>
      </c>
      <c r="HV31" s="250">
        <v>18</v>
      </c>
      <c r="HW31" s="250">
        <v>18</v>
      </c>
      <c r="HX31" s="250">
        <v>18</v>
      </c>
      <c r="HY31" s="250">
        <v>18</v>
      </c>
      <c r="HZ31" s="250">
        <v>18</v>
      </c>
      <c r="IA31" s="250">
        <v>18</v>
      </c>
      <c r="IB31" s="250">
        <v>18</v>
      </c>
      <c r="IC31" s="249">
        <v>16</v>
      </c>
      <c r="ID31" s="249">
        <v>16</v>
      </c>
      <c r="IE31" s="249">
        <v>16</v>
      </c>
      <c r="IF31" s="249">
        <v>16</v>
      </c>
      <c r="IG31" s="249">
        <v>14</v>
      </c>
      <c r="IH31" s="249">
        <v>14</v>
      </c>
      <c r="II31" s="249">
        <v>14</v>
      </c>
      <c r="IJ31" s="221"/>
      <c r="IK31" s="249">
        <v>14</v>
      </c>
      <c r="IL31" s="249">
        <v>14</v>
      </c>
      <c r="IM31" s="221"/>
      <c r="IN31" s="221"/>
      <c r="IO31" s="221"/>
      <c r="IP31" s="221"/>
      <c r="IQ31" s="221"/>
      <c r="IR31" s="221"/>
      <c r="IS31" s="221"/>
      <c r="IT31" s="221"/>
      <c r="IU31" s="221"/>
      <c r="IV31" s="221"/>
      <c r="IW31" s="221"/>
      <c r="IX31" s="221"/>
      <c r="IY31" s="221"/>
      <c r="IZ31" s="221"/>
      <c r="JA31" s="221"/>
      <c r="JB31" s="221"/>
      <c r="JC31" s="221"/>
      <c r="JD31" s="221"/>
      <c r="JE31" s="221"/>
      <c r="JF31" s="221"/>
      <c r="JG31" s="221"/>
      <c r="JH31" s="221"/>
      <c r="JI31" s="221"/>
      <c r="JJ31" s="221"/>
      <c r="JK31" s="221"/>
      <c r="JL31" s="221"/>
      <c r="JM31" s="221"/>
      <c r="JN31" s="221"/>
      <c r="JO31" s="221"/>
      <c r="JP31" s="221"/>
      <c r="JQ31" s="221"/>
      <c r="JR31" s="221"/>
      <c r="JS31" s="221"/>
      <c r="JT31" s="221"/>
      <c r="JU31" s="221"/>
      <c r="JV31" s="221"/>
      <c r="JW31" s="221"/>
      <c r="JX31" s="221"/>
      <c r="JY31" s="221"/>
      <c r="JZ31" s="221"/>
      <c r="KA31" s="221"/>
      <c r="KB31" s="221"/>
      <c r="KC31" s="221"/>
      <c r="KD31" s="221"/>
      <c r="KE31" s="221"/>
      <c r="KF31" s="221"/>
      <c r="KG31" s="221"/>
      <c r="KH31" s="221"/>
      <c r="KI31" s="221"/>
      <c r="KJ31" s="221"/>
      <c r="KK31" s="221"/>
      <c r="KL31" s="221"/>
      <c r="KM31" s="221"/>
      <c r="KN31" s="221"/>
      <c r="KO31" s="221"/>
      <c r="KP31" s="221"/>
      <c r="KQ31" s="221"/>
      <c r="KR31" s="221"/>
      <c r="KS31" s="221"/>
      <c r="KT31" s="221"/>
      <c r="KU31" s="221"/>
      <c r="KV31" s="221"/>
      <c r="KW31" s="221"/>
      <c r="KX31" s="221"/>
      <c r="KY31" s="221"/>
      <c r="KZ31" s="221"/>
      <c r="LA31" s="221"/>
      <c r="LB31" s="221"/>
      <c r="LC31" s="221"/>
      <c r="LD31" s="221"/>
      <c r="LE31" s="221"/>
      <c r="LF31" s="221"/>
      <c r="LG31" s="221"/>
      <c r="LH31" s="221"/>
      <c r="LI31" s="221"/>
      <c r="LJ31" s="221"/>
      <c r="LK31" s="221"/>
      <c r="LL31" s="221"/>
      <c r="LM31" s="221"/>
      <c r="LN31" s="221"/>
      <c r="LO31" s="221"/>
      <c r="LP31" s="221"/>
      <c r="LQ31" s="221"/>
      <c r="LR31" s="221"/>
      <c r="LS31" s="221"/>
      <c r="LT31" s="221"/>
      <c r="LU31" s="221"/>
      <c r="LV31" s="221"/>
      <c r="LW31" s="221"/>
      <c r="LX31" s="221"/>
      <c r="LY31" s="221"/>
      <c r="LZ31" s="221"/>
      <c r="MA31" s="221"/>
      <c r="MB31" s="221"/>
      <c r="MC31" s="221"/>
      <c r="MD31" s="221"/>
      <c r="ME31" s="221"/>
      <c r="MF31" s="305"/>
      <c r="MG31" s="305"/>
      <c r="MH31" s="305"/>
      <c r="MI31" s="305"/>
      <c r="MJ31" s="305"/>
      <c r="MK31" s="305"/>
      <c r="ML31" s="305"/>
      <c r="MM31" s="305"/>
      <c r="MN31" s="305"/>
      <c r="MO31" s="305"/>
      <c r="MP31" s="305"/>
      <c r="MQ31" s="305"/>
      <c r="MR31" s="305"/>
      <c r="MS31" s="305"/>
      <c r="MT31" s="305"/>
      <c r="MU31" s="305"/>
      <c r="MV31" s="305"/>
      <c r="MW31" s="305"/>
      <c r="MX31" s="305"/>
      <c r="MY31" s="305"/>
      <c r="MZ31" s="305"/>
      <c r="NA31" s="305"/>
      <c r="NB31" s="305"/>
      <c r="NC31" s="305"/>
      <c r="ND31" s="305"/>
      <c r="NE31" s="305"/>
      <c r="NF31" s="305"/>
      <c r="NG31" s="305"/>
      <c r="NH31" s="305"/>
      <c r="NI31" s="305"/>
    </row>
    <row r="32" spans="1:373" x14ac:dyDescent="0.2">
      <c r="A32" s="132" t="s">
        <v>739</v>
      </c>
      <c r="B32" s="133" t="s">
        <v>942</v>
      </c>
      <c r="C32" s="134"/>
      <c r="D32" s="242" t="s">
        <v>1231</v>
      </c>
      <c r="E32" s="242">
        <v>0</v>
      </c>
      <c r="F32" s="243" t="s">
        <v>1232</v>
      </c>
      <c r="G32" s="243" t="s">
        <v>960</v>
      </c>
      <c r="H32" s="243" t="s">
        <v>961</v>
      </c>
      <c r="I32" s="243">
        <v>0</v>
      </c>
      <c r="J32" s="243">
        <v>0</v>
      </c>
      <c r="K32" s="243">
        <v>0</v>
      </c>
      <c r="L32" s="243" t="s">
        <v>1219</v>
      </c>
      <c r="M32" s="243">
        <v>0</v>
      </c>
      <c r="N32" s="243" t="s">
        <v>1218</v>
      </c>
      <c r="O32" s="243">
        <v>0</v>
      </c>
      <c r="P32" s="243">
        <v>0</v>
      </c>
      <c r="Q32" s="243">
        <v>0</v>
      </c>
      <c r="R32" s="135"/>
      <c r="S32" s="135"/>
      <c r="T32" s="135"/>
      <c r="U32" s="135"/>
      <c r="V32" s="135"/>
      <c r="W32" s="135">
        <v>0</v>
      </c>
      <c r="X32" s="135">
        <v>0</v>
      </c>
      <c r="Y32" s="135">
        <v>0</v>
      </c>
      <c r="Z32" s="136">
        <v>223.79</v>
      </c>
      <c r="AA32" s="136">
        <v>465.56</v>
      </c>
      <c r="AB32" s="136">
        <v>0</v>
      </c>
      <c r="AC32" s="137">
        <v>0</v>
      </c>
      <c r="AD32" s="137">
        <v>0</v>
      </c>
      <c r="AE32" s="138">
        <v>10</v>
      </c>
      <c r="AF32" s="138">
        <v>8</v>
      </c>
      <c r="AG32" s="138">
        <v>2</v>
      </c>
      <c r="AH32" s="139">
        <v>1</v>
      </c>
      <c r="AI32" s="139" t="s">
        <v>1387</v>
      </c>
      <c r="AJ32" s="138" t="s">
        <v>3638</v>
      </c>
      <c r="AK32" s="195" t="s">
        <v>3627</v>
      </c>
      <c r="AL32" s="138" t="s">
        <v>1316</v>
      </c>
      <c r="AM32" s="27" t="s">
        <v>1316</v>
      </c>
      <c r="AN32" s="138">
        <v>1.32</v>
      </c>
      <c r="AO32" s="140">
        <v>3.7878787878787876</v>
      </c>
      <c r="AP32" s="140">
        <v>3.0303030303030303</v>
      </c>
      <c r="AQ32" s="140">
        <v>0.18939393939393939</v>
      </c>
      <c r="AR32" s="138">
        <v>0</v>
      </c>
      <c r="AS32" s="138">
        <v>0</v>
      </c>
      <c r="AT32" s="198"/>
      <c r="AU32" s="198"/>
      <c r="AV32" s="198"/>
      <c r="AW32" s="211" t="s">
        <v>790</v>
      </c>
      <c r="AX32" s="211" t="s">
        <v>1324</v>
      </c>
      <c r="AY32" s="141"/>
      <c r="AZ32" s="141"/>
      <c r="BA32" s="142">
        <v>1</v>
      </c>
      <c r="BB32" s="142" t="s">
        <v>527</v>
      </c>
      <c r="BC32" s="142"/>
      <c r="BD32" s="142">
        <v>2</v>
      </c>
      <c r="BE32" s="143" t="s">
        <v>541</v>
      </c>
      <c r="BF32" s="144">
        <v>1</v>
      </c>
      <c r="BG32" s="145"/>
      <c r="BH32" s="212"/>
      <c r="BI32" s="213"/>
      <c r="BJ32" s="146">
        <v>20</v>
      </c>
      <c r="BK32" s="214">
        <v>20</v>
      </c>
      <c r="BL32" s="13">
        <v>13</v>
      </c>
      <c r="BM32" s="13">
        <v>7</v>
      </c>
      <c r="BN32" s="27" t="s">
        <v>1392</v>
      </c>
      <c r="BO32" s="13" t="s">
        <v>1396</v>
      </c>
      <c r="BP32" s="147">
        <v>15</v>
      </c>
      <c r="BQ32" s="148"/>
      <c r="BR32" s="149"/>
      <c r="BS32" s="138">
        <v>1000000000</v>
      </c>
      <c r="BT32" s="150">
        <v>8</v>
      </c>
      <c r="BU32" s="151">
        <v>0.6</v>
      </c>
      <c r="BV32" s="150">
        <v>8</v>
      </c>
      <c r="BW32" s="152">
        <v>0</v>
      </c>
      <c r="BX32" s="152">
        <v>0</v>
      </c>
      <c r="BY32" s="152">
        <v>0</v>
      </c>
      <c r="BZ32" s="150">
        <v>0</v>
      </c>
      <c r="CA32" s="150">
        <v>0</v>
      </c>
      <c r="CB32" s="150">
        <v>16</v>
      </c>
      <c r="CC32" s="151">
        <v>0.2</v>
      </c>
      <c r="CD32" s="150"/>
      <c r="CE32" s="150"/>
      <c r="CF32" s="153">
        <v>4</v>
      </c>
      <c r="CG32" s="154">
        <v>4</v>
      </c>
      <c r="CH32" s="148">
        <v>6</v>
      </c>
      <c r="CI32" s="155"/>
      <c r="CJ32" s="156" t="s">
        <v>1316</v>
      </c>
      <c r="CK32" s="157" t="s">
        <v>1316</v>
      </c>
      <c r="CL32" s="154">
        <v>0</v>
      </c>
      <c r="CM32" s="154">
        <v>0</v>
      </c>
      <c r="CN32" s="151">
        <v>0</v>
      </c>
      <c r="CO32" s="151">
        <v>5.1856472585906435</v>
      </c>
      <c r="CP32" s="158"/>
      <c r="CQ32" s="151">
        <v>0.67</v>
      </c>
      <c r="CR32" s="199">
        <v>42759</v>
      </c>
      <c r="CS32" s="200">
        <v>43185</v>
      </c>
      <c r="CT32" s="201">
        <v>43255</v>
      </c>
      <c r="CU32" s="201">
        <v>43195</v>
      </c>
      <c r="CV32" s="201">
        <v>43179</v>
      </c>
      <c r="CW32" s="201">
        <v>43209</v>
      </c>
      <c r="CX32" s="201">
        <v>43251</v>
      </c>
      <c r="CY32" s="151">
        <v>0.27506449734719651</v>
      </c>
      <c r="CZ32" s="150">
        <v>0</v>
      </c>
      <c r="DA32" s="151">
        <v>0</v>
      </c>
      <c r="DB32" s="151">
        <v>0.125</v>
      </c>
      <c r="DC32" s="151">
        <v>0.5</v>
      </c>
      <c r="DD32" s="151">
        <v>0.328125</v>
      </c>
      <c r="DE32" s="159">
        <v>0</v>
      </c>
      <c r="DF32" s="13" t="s">
        <v>1316</v>
      </c>
      <c r="DG32" s="85" t="s">
        <v>1394</v>
      </c>
      <c r="DH32" s="18" t="b">
        <v>0</v>
      </c>
      <c r="DI32" s="84"/>
      <c r="DJ32" s="84"/>
      <c r="DK32" s="215"/>
      <c r="DL32" s="194"/>
      <c r="DM32" s="216"/>
      <c r="DN32" s="151"/>
      <c r="DO32" s="84"/>
      <c r="DP32" s="84"/>
      <c r="DQ32" s="84"/>
      <c r="DR32" s="84"/>
      <c r="DS32" s="84"/>
      <c r="DT32" s="84"/>
      <c r="DU32" s="84"/>
      <c r="DV32" s="18"/>
      <c r="DW32" s="18"/>
      <c r="DX32" s="18"/>
      <c r="DY32" s="197"/>
      <c r="DZ32" s="197">
        <v>0</v>
      </c>
      <c r="EA32" s="197">
        <v>0</v>
      </c>
      <c r="EB32" s="197">
        <v>0</v>
      </c>
      <c r="EC32" s="197">
        <v>0</v>
      </c>
      <c r="ED32" s="197">
        <v>0</v>
      </c>
      <c r="EE32" s="197">
        <v>0</v>
      </c>
      <c r="EF32" s="197">
        <v>8</v>
      </c>
      <c r="EG32" s="219"/>
      <c r="EH32" s="225">
        <v>16</v>
      </c>
      <c r="EI32" s="224">
        <v>8</v>
      </c>
      <c r="EJ32" s="224">
        <v>8</v>
      </c>
      <c r="EK32" s="223">
        <v>7</v>
      </c>
      <c r="EL32" s="224">
        <v>8</v>
      </c>
      <c r="EM32" s="224">
        <v>11</v>
      </c>
      <c r="EN32" s="224">
        <v>10</v>
      </c>
      <c r="EO32" s="224">
        <v>8</v>
      </c>
      <c r="EP32" s="224">
        <v>8</v>
      </c>
      <c r="EQ32" s="223">
        <v>5</v>
      </c>
      <c r="ER32" s="224">
        <v>11</v>
      </c>
      <c r="ES32" s="224">
        <v>10</v>
      </c>
      <c r="ET32" s="224">
        <v>8</v>
      </c>
      <c r="EU32" s="224">
        <v>10</v>
      </c>
      <c r="EV32" s="224">
        <v>11</v>
      </c>
      <c r="EW32" s="224">
        <v>8</v>
      </c>
      <c r="EX32" s="224">
        <v>8</v>
      </c>
      <c r="EY32" s="224">
        <v>8</v>
      </c>
      <c r="EZ32" s="223">
        <v>7</v>
      </c>
      <c r="FA32" s="223">
        <v>7</v>
      </c>
      <c r="FB32" s="223">
        <v>7</v>
      </c>
      <c r="FC32" s="223">
        <v>7</v>
      </c>
      <c r="FD32" s="223">
        <v>7</v>
      </c>
      <c r="FE32" s="223">
        <v>7</v>
      </c>
      <c r="FF32" s="224">
        <v>13</v>
      </c>
      <c r="FG32" s="224">
        <v>13</v>
      </c>
      <c r="FH32" s="224">
        <v>13</v>
      </c>
      <c r="FI32" s="224">
        <v>13</v>
      </c>
      <c r="FJ32" s="224">
        <v>13</v>
      </c>
      <c r="FK32" s="224">
        <v>13</v>
      </c>
      <c r="FL32" s="224">
        <v>13</v>
      </c>
      <c r="FM32" s="224">
        <v>13</v>
      </c>
      <c r="FN32" s="224">
        <v>13</v>
      </c>
      <c r="FO32" s="224">
        <v>12</v>
      </c>
      <c r="FP32" s="224">
        <v>12</v>
      </c>
      <c r="FQ32" s="224">
        <v>10</v>
      </c>
      <c r="FR32" s="224">
        <v>10</v>
      </c>
      <c r="FS32" s="224">
        <v>10</v>
      </c>
      <c r="FT32" s="224">
        <v>10</v>
      </c>
      <c r="FU32" s="224">
        <v>10</v>
      </c>
      <c r="FV32" s="224">
        <v>10</v>
      </c>
      <c r="FW32" s="224">
        <v>10</v>
      </c>
      <c r="FX32" s="224">
        <v>10</v>
      </c>
      <c r="FY32" s="224">
        <v>10</v>
      </c>
      <c r="FZ32" s="224">
        <v>10</v>
      </c>
      <c r="GA32" s="224">
        <v>10</v>
      </c>
      <c r="GB32" s="224">
        <v>9</v>
      </c>
      <c r="GC32" s="224">
        <v>9</v>
      </c>
      <c r="GD32" s="224">
        <v>9</v>
      </c>
      <c r="GE32" s="219"/>
      <c r="GF32" s="224">
        <v>9</v>
      </c>
      <c r="GG32" s="224">
        <v>9</v>
      </c>
      <c r="GH32" s="224">
        <v>9</v>
      </c>
      <c r="GI32" s="223">
        <v>7</v>
      </c>
      <c r="GJ32" s="223">
        <v>7</v>
      </c>
      <c r="GK32" s="223">
        <v>7</v>
      </c>
      <c r="GL32" s="223">
        <v>6</v>
      </c>
      <c r="GM32" s="219"/>
      <c r="GN32" s="223">
        <v>6</v>
      </c>
      <c r="GO32" s="223">
        <v>6</v>
      </c>
      <c r="GP32" s="223">
        <v>6</v>
      </c>
      <c r="GQ32" s="223">
        <v>6</v>
      </c>
      <c r="GR32" s="225">
        <v>18</v>
      </c>
      <c r="GS32" s="225">
        <v>18</v>
      </c>
      <c r="GT32" s="225">
        <v>18</v>
      </c>
      <c r="GU32" s="225">
        <v>15</v>
      </c>
      <c r="GV32" s="225">
        <v>14</v>
      </c>
      <c r="GW32" s="225">
        <v>14</v>
      </c>
      <c r="GX32" s="225">
        <v>14</v>
      </c>
      <c r="GY32" s="225">
        <v>14</v>
      </c>
      <c r="GZ32" s="225">
        <v>14</v>
      </c>
      <c r="HA32" s="225">
        <v>14</v>
      </c>
      <c r="HB32" s="225">
        <v>14</v>
      </c>
      <c r="HC32" s="225">
        <v>14</v>
      </c>
      <c r="HD32" s="225">
        <v>14</v>
      </c>
      <c r="HE32" s="225">
        <v>14</v>
      </c>
      <c r="HF32" s="225">
        <v>14</v>
      </c>
      <c r="HG32" s="225">
        <v>14</v>
      </c>
      <c r="HH32" s="225">
        <v>14</v>
      </c>
      <c r="HI32" s="225">
        <v>14</v>
      </c>
      <c r="HJ32" s="225">
        <v>14</v>
      </c>
      <c r="HK32" s="225">
        <v>14</v>
      </c>
      <c r="HL32" s="225">
        <v>14</v>
      </c>
      <c r="HM32" s="224">
        <v>13</v>
      </c>
      <c r="HN32" s="224">
        <v>13</v>
      </c>
      <c r="HO32" s="224">
        <v>13</v>
      </c>
      <c r="HP32" s="224">
        <v>12</v>
      </c>
      <c r="HQ32" s="224">
        <v>12</v>
      </c>
      <c r="HR32" s="224">
        <v>12</v>
      </c>
      <c r="HS32" s="224">
        <v>12</v>
      </c>
      <c r="HT32" s="224">
        <v>11</v>
      </c>
      <c r="HU32" s="224">
        <v>11</v>
      </c>
      <c r="HV32" s="224">
        <v>11</v>
      </c>
      <c r="HW32" s="224">
        <v>11</v>
      </c>
      <c r="HX32" s="224">
        <v>11</v>
      </c>
      <c r="HY32" s="224">
        <v>11</v>
      </c>
      <c r="HZ32" s="224">
        <v>11</v>
      </c>
      <c r="IA32" s="224">
        <v>11</v>
      </c>
      <c r="IB32" s="224">
        <v>10</v>
      </c>
      <c r="IC32" s="224">
        <v>10</v>
      </c>
      <c r="ID32" s="224">
        <v>10</v>
      </c>
      <c r="IE32" s="224">
        <v>10</v>
      </c>
      <c r="IF32" s="224">
        <v>10</v>
      </c>
      <c r="IG32" s="224">
        <v>8</v>
      </c>
      <c r="IH32" s="224">
        <v>8</v>
      </c>
      <c r="II32" s="224">
        <v>8</v>
      </c>
      <c r="IJ32" s="219"/>
      <c r="IK32" s="224">
        <v>8</v>
      </c>
      <c r="IL32" s="224">
        <v>8</v>
      </c>
      <c r="IM32" s="219"/>
      <c r="IN32" s="219"/>
      <c r="IO32" s="219"/>
      <c r="IP32" s="219"/>
      <c r="IQ32" s="219"/>
      <c r="IR32" s="219"/>
      <c r="IS32" s="219"/>
      <c r="IT32" s="219"/>
      <c r="IU32" s="219"/>
      <c r="IV32" s="219"/>
      <c r="IW32" s="219"/>
      <c r="IX32" s="219"/>
      <c r="IY32" s="219"/>
      <c r="IZ32" s="219"/>
      <c r="JA32" s="219"/>
      <c r="JB32" s="219"/>
      <c r="JC32" s="219"/>
      <c r="JD32" s="219"/>
      <c r="JE32" s="219"/>
      <c r="JF32" s="219"/>
      <c r="JG32" s="219"/>
      <c r="JH32" s="219"/>
      <c r="JI32" s="219"/>
      <c r="JJ32" s="219"/>
      <c r="JK32" s="219"/>
      <c r="JL32" s="219"/>
      <c r="JM32" s="219"/>
      <c r="JN32" s="219"/>
      <c r="JO32" s="219"/>
      <c r="JP32" s="219"/>
      <c r="JQ32" s="219"/>
      <c r="JR32" s="219"/>
      <c r="JS32" s="219"/>
      <c r="JT32" s="219"/>
      <c r="JU32" s="219"/>
      <c r="JV32" s="219"/>
      <c r="JW32" s="219"/>
      <c r="JX32" s="219"/>
      <c r="JY32" s="219"/>
      <c r="JZ32" s="219"/>
      <c r="KA32" s="219"/>
      <c r="KB32" s="219"/>
      <c r="KC32" s="219"/>
      <c r="KD32" s="219"/>
      <c r="KE32" s="219"/>
      <c r="KF32" s="219"/>
      <c r="KG32" s="219"/>
      <c r="KH32" s="219"/>
      <c r="KI32" s="219"/>
      <c r="KJ32" s="219"/>
      <c r="KK32" s="219"/>
      <c r="KL32" s="219"/>
      <c r="KM32" s="219"/>
      <c r="KN32" s="219"/>
      <c r="KO32" s="219"/>
      <c r="KP32" s="219"/>
      <c r="KQ32" s="219"/>
      <c r="KR32" s="219"/>
      <c r="KS32" s="219"/>
      <c r="KT32" s="219"/>
      <c r="KU32" s="219"/>
      <c r="KV32" s="219"/>
      <c r="KW32" s="219"/>
      <c r="KX32" s="219"/>
      <c r="KY32" s="219"/>
      <c r="KZ32" s="219"/>
      <c r="LA32" s="219"/>
      <c r="LB32" s="219"/>
      <c r="LC32" s="219"/>
      <c r="LD32" s="219"/>
      <c r="LE32" s="219"/>
      <c r="LF32" s="219"/>
      <c r="LG32" s="219"/>
      <c r="LH32" s="219"/>
      <c r="LI32" s="219"/>
      <c r="LJ32" s="219"/>
      <c r="LK32" s="219"/>
      <c r="LL32" s="219"/>
      <c r="LM32" s="219"/>
      <c r="LN32" s="219"/>
      <c r="LO32" s="219"/>
      <c r="LP32" s="219"/>
      <c r="LQ32" s="219"/>
      <c r="LR32" s="219"/>
      <c r="LS32" s="219"/>
      <c r="LT32" s="219"/>
      <c r="LU32" s="219"/>
      <c r="LV32" s="219"/>
      <c r="LW32" s="219"/>
      <c r="LX32" s="219"/>
      <c r="LY32" s="219"/>
      <c r="LZ32" s="219"/>
      <c r="MA32" s="219"/>
      <c r="MB32" s="219"/>
      <c r="MC32" s="219"/>
      <c r="MD32" s="219"/>
      <c r="ME32" s="219"/>
      <c r="MF32" s="305"/>
      <c r="MG32" s="305"/>
      <c r="MH32" s="305"/>
      <c r="MI32" s="305"/>
      <c r="MJ32" s="305"/>
      <c r="MK32" s="305"/>
      <c r="ML32" s="305"/>
      <c r="MM32" s="305"/>
      <c r="MN32" s="305"/>
      <c r="MO32" s="305"/>
      <c r="MP32" s="305"/>
      <c r="MQ32" s="305"/>
      <c r="MR32" s="305"/>
      <c r="MS32" s="305"/>
      <c r="MT32" s="305"/>
      <c r="MU32" s="305"/>
      <c r="MV32" s="305"/>
      <c r="MW32" s="305"/>
      <c r="MX32" s="305"/>
      <c r="MY32" s="305"/>
      <c r="MZ32" s="305"/>
      <c r="NA32" s="305"/>
      <c r="NB32" s="305"/>
      <c r="NC32" s="305"/>
      <c r="ND32" s="305"/>
      <c r="NE32" s="305"/>
      <c r="NF32" s="305"/>
      <c r="NG32" s="305"/>
      <c r="NH32" s="305"/>
      <c r="NI32" s="305"/>
    </row>
    <row r="33" spans="1:373" x14ac:dyDescent="0.2">
      <c r="A33" s="132" t="s">
        <v>739</v>
      </c>
      <c r="B33" s="133" t="s">
        <v>943</v>
      </c>
      <c r="C33" s="134"/>
      <c r="D33" s="242" t="s">
        <v>1227</v>
      </c>
      <c r="E33" s="242">
        <v>0</v>
      </c>
      <c r="F33" s="243" t="s">
        <v>1228</v>
      </c>
      <c r="G33" s="243" t="s">
        <v>960</v>
      </c>
      <c r="H33" s="243" t="s">
        <v>961</v>
      </c>
      <c r="I33" s="243">
        <v>0</v>
      </c>
      <c r="J33" s="243">
        <v>0</v>
      </c>
      <c r="K33" s="243">
        <v>0</v>
      </c>
      <c r="L33" s="243" t="s">
        <v>1219</v>
      </c>
      <c r="M33" s="243">
        <v>0</v>
      </c>
      <c r="N33" s="243" t="s">
        <v>1217</v>
      </c>
      <c r="O33" s="243">
        <v>0</v>
      </c>
      <c r="P33" s="243">
        <v>0</v>
      </c>
      <c r="Q33" s="243">
        <v>0</v>
      </c>
      <c r="R33" s="135"/>
      <c r="S33" s="135"/>
      <c r="T33" s="135"/>
      <c r="U33" s="135"/>
      <c r="V33" s="135"/>
      <c r="W33" s="135">
        <v>0</v>
      </c>
      <c r="X33" s="135">
        <v>0</v>
      </c>
      <c r="Y33" s="135">
        <v>0</v>
      </c>
      <c r="Z33" s="136">
        <v>210.01</v>
      </c>
      <c r="AA33" s="136">
        <v>429</v>
      </c>
      <c r="AB33" s="136">
        <v>0</v>
      </c>
      <c r="AC33" s="137">
        <v>0</v>
      </c>
      <c r="AD33" s="137">
        <v>0</v>
      </c>
      <c r="AE33" s="138">
        <v>10</v>
      </c>
      <c r="AF33" s="138">
        <v>8</v>
      </c>
      <c r="AG33" s="138">
        <v>2</v>
      </c>
      <c r="AH33" s="139">
        <v>1</v>
      </c>
      <c r="AI33" s="139" t="s">
        <v>1387</v>
      </c>
      <c r="AJ33" s="138" t="s">
        <v>3642</v>
      </c>
      <c r="AK33" s="195" t="s">
        <v>3627</v>
      </c>
      <c r="AL33" s="138" t="s">
        <v>1316</v>
      </c>
      <c r="AM33" s="27" t="s">
        <v>1391</v>
      </c>
      <c r="AN33" s="138">
        <v>0</v>
      </c>
      <c r="AO33" s="140">
        <v>0</v>
      </c>
      <c r="AP33" s="140">
        <v>0</v>
      </c>
      <c r="AQ33" s="140">
        <v>0</v>
      </c>
      <c r="AR33" s="138">
        <v>2</v>
      </c>
      <c r="AS33" s="138">
        <v>0</v>
      </c>
      <c r="AT33" s="198"/>
      <c r="AU33" s="198"/>
      <c r="AV33" s="198"/>
      <c r="AW33" s="211" t="s">
        <v>790</v>
      </c>
      <c r="AX33" s="211" t="s">
        <v>1324</v>
      </c>
      <c r="AY33" s="141"/>
      <c r="AZ33" s="141"/>
      <c r="BA33" s="142">
        <v>1</v>
      </c>
      <c r="BB33" s="142" t="s">
        <v>527</v>
      </c>
      <c r="BC33" s="142"/>
      <c r="BD33" s="142">
        <v>2</v>
      </c>
      <c r="BE33" s="143" t="s">
        <v>541</v>
      </c>
      <c r="BF33" s="144">
        <v>1</v>
      </c>
      <c r="BG33" s="145"/>
      <c r="BH33" s="212"/>
      <c r="BI33" s="213"/>
      <c r="BJ33" s="146">
        <v>50</v>
      </c>
      <c r="BK33" s="214">
        <v>0</v>
      </c>
      <c r="BL33" s="13">
        <v>33</v>
      </c>
      <c r="BM33" s="13">
        <v>17</v>
      </c>
      <c r="BN33" s="27" t="s">
        <v>1394</v>
      </c>
      <c r="BO33" s="13" t="s">
        <v>1393</v>
      </c>
      <c r="BP33" s="147">
        <v>55</v>
      </c>
      <c r="BQ33" s="148"/>
      <c r="BR33" s="149"/>
      <c r="BS33" s="138">
        <v>1000000000</v>
      </c>
      <c r="BT33" s="150">
        <v>0</v>
      </c>
      <c r="BU33" s="151">
        <v>1</v>
      </c>
      <c r="BV33" s="150">
        <v>11</v>
      </c>
      <c r="BW33" s="152">
        <v>0</v>
      </c>
      <c r="BX33" s="152">
        <v>0</v>
      </c>
      <c r="BY33" s="152">
        <v>0</v>
      </c>
      <c r="BZ33" s="150">
        <v>0</v>
      </c>
      <c r="CA33" s="150">
        <v>0</v>
      </c>
      <c r="CB33" s="150">
        <v>11</v>
      </c>
      <c r="CC33" s="151">
        <v>0.78</v>
      </c>
      <c r="CD33" s="150"/>
      <c r="CE33" s="150"/>
      <c r="CF33" s="153">
        <v>40</v>
      </c>
      <c r="CG33" s="154">
        <v>10</v>
      </c>
      <c r="CH33" s="148">
        <v>0</v>
      </c>
      <c r="CI33" s="155"/>
      <c r="CJ33" s="156" t="s">
        <v>1316</v>
      </c>
      <c r="CK33" s="157" t="s">
        <v>1316</v>
      </c>
      <c r="CL33" s="154">
        <v>3722.83</v>
      </c>
      <c r="CM33" s="154">
        <v>0</v>
      </c>
      <c r="CN33" s="151">
        <v>0</v>
      </c>
      <c r="CO33" s="151">
        <v>5.0052473691728974</v>
      </c>
      <c r="CP33" s="158"/>
      <c r="CQ33" s="151">
        <v>0.39</v>
      </c>
      <c r="CR33" s="199">
        <v>43137</v>
      </c>
      <c r="CS33" s="200">
        <v>43185</v>
      </c>
      <c r="CT33" s="201">
        <v>43255</v>
      </c>
      <c r="CU33" s="201">
        <v>43195</v>
      </c>
      <c r="CV33" s="201">
        <v>43179</v>
      </c>
      <c r="CW33" s="201">
        <v>43209</v>
      </c>
      <c r="CX33" s="201">
        <v>43251</v>
      </c>
      <c r="CY33" s="151">
        <v>0.65430922311184669</v>
      </c>
      <c r="CZ33" s="150">
        <v>0</v>
      </c>
      <c r="DA33" s="151">
        <v>3.125E-2</v>
      </c>
      <c r="DB33" s="151">
        <v>0.75</v>
      </c>
      <c r="DC33" s="151">
        <v>0.171875</v>
      </c>
      <c r="DD33" s="151">
        <v>0</v>
      </c>
      <c r="DE33" s="159">
        <v>0</v>
      </c>
      <c r="DF33" s="13" t="s">
        <v>1316</v>
      </c>
      <c r="DG33" s="85" t="s">
        <v>1394</v>
      </c>
      <c r="DH33" s="18" t="b">
        <v>0</v>
      </c>
      <c r="DI33" s="84"/>
      <c r="DJ33" s="84"/>
      <c r="DK33" s="215"/>
      <c r="DL33" s="194"/>
      <c r="DM33" s="216"/>
      <c r="DN33" s="151"/>
      <c r="DO33" s="84"/>
      <c r="DP33" s="84"/>
      <c r="DQ33" s="84"/>
      <c r="DR33" s="84"/>
      <c r="DS33" s="84"/>
      <c r="DT33" s="84"/>
      <c r="DU33" s="84"/>
      <c r="DV33" s="18"/>
      <c r="DW33" s="18"/>
      <c r="DX33" s="18"/>
      <c r="DY33" s="197"/>
      <c r="DZ33" s="197">
        <v>0</v>
      </c>
      <c r="EA33" s="197">
        <v>0</v>
      </c>
      <c r="EB33" s="197">
        <v>0</v>
      </c>
      <c r="EC33" s="197">
        <v>0</v>
      </c>
      <c r="ED33" s="197">
        <v>0</v>
      </c>
      <c r="EE33" s="197">
        <v>0</v>
      </c>
      <c r="EF33" s="197">
        <v>11</v>
      </c>
      <c r="EG33" s="221"/>
      <c r="EH33" s="248">
        <v>39</v>
      </c>
      <c r="EI33" s="250">
        <v>23</v>
      </c>
      <c r="EJ33" s="250">
        <v>28</v>
      </c>
      <c r="EK33" s="250">
        <v>28</v>
      </c>
      <c r="EL33" s="250">
        <v>27</v>
      </c>
      <c r="EM33" s="248">
        <v>45</v>
      </c>
      <c r="EN33" s="252">
        <v>58</v>
      </c>
      <c r="EO33" s="252">
        <v>57</v>
      </c>
      <c r="EP33" s="252">
        <v>56</v>
      </c>
      <c r="EQ33" s="250">
        <v>28</v>
      </c>
      <c r="ER33" s="250">
        <v>29</v>
      </c>
      <c r="ES33" s="250">
        <v>23</v>
      </c>
      <c r="ET33" s="249">
        <v>16</v>
      </c>
      <c r="EU33" s="250">
        <v>28</v>
      </c>
      <c r="EV33" s="250">
        <v>24</v>
      </c>
      <c r="EW33" s="250">
        <v>20</v>
      </c>
      <c r="EX33" s="250">
        <v>20</v>
      </c>
      <c r="EY33" s="250">
        <v>20</v>
      </c>
      <c r="EZ33" s="250">
        <v>20</v>
      </c>
      <c r="FA33" s="250">
        <v>20</v>
      </c>
      <c r="FB33" s="250">
        <v>18</v>
      </c>
      <c r="FC33" s="250">
        <v>18</v>
      </c>
      <c r="FD33" s="250">
        <v>18</v>
      </c>
      <c r="FE33" s="250">
        <v>18</v>
      </c>
      <c r="FF33" s="248">
        <v>39</v>
      </c>
      <c r="FG33" s="248">
        <v>39</v>
      </c>
      <c r="FH33" s="248">
        <v>39</v>
      </c>
      <c r="FI33" s="248">
        <v>39</v>
      </c>
      <c r="FJ33" s="248">
        <v>39</v>
      </c>
      <c r="FK33" s="248">
        <v>39</v>
      </c>
      <c r="FL33" s="248">
        <v>39</v>
      </c>
      <c r="FM33" s="248">
        <v>39</v>
      </c>
      <c r="FN33" s="248">
        <v>39</v>
      </c>
      <c r="FO33" s="248">
        <v>39</v>
      </c>
      <c r="FP33" s="248">
        <v>39</v>
      </c>
      <c r="FQ33" s="248">
        <v>39</v>
      </c>
      <c r="FR33" s="250">
        <v>32</v>
      </c>
      <c r="FS33" s="250">
        <v>32</v>
      </c>
      <c r="FT33" s="250">
        <v>32</v>
      </c>
      <c r="FU33" s="250">
        <v>32</v>
      </c>
      <c r="FV33" s="250">
        <v>30</v>
      </c>
      <c r="FW33" s="250">
        <v>30</v>
      </c>
      <c r="FX33" s="250">
        <v>26</v>
      </c>
      <c r="FY33" s="250">
        <v>26</v>
      </c>
      <c r="FZ33" s="250">
        <v>26</v>
      </c>
      <c r="GA33" s="250">
        <v>26</v>
      </c>
      <c r="GB33" s="250">
        <v>26</v>
      </c>
      <c r="GC33" s="250">
        <v>26</v>
      </c>
      <c r="GD33" s="250">
        <v>25</v>
      </c>
      <c r="GE33" s="251"/>
      <c r="GF33" s="250">
        <v>25</v>
      </c>
      <c r="GG33" s="250">
        <v>25</v>
      </c>
      <c r="GH33" s="250">
        <v>22</v>
      </c>
      <c r="GI33" s="250">
        <v>22</v>
      </c>
      <c r="GJ33" s="250">
        <v>22</v>
      </c>
      <c r="GK33" s="250">
        <v>22</v>
      </c>
      <c r="GL33" s="250">
        <v>21</v>
      </c>
      <c r="GM33" s="251"/>
      <c r="GN33" s="249">
        <v>16</v>
      </c>
      <c r="GO33" s="249">
        <v>16</v>
      </c>
      <c r="GP33" s="249">
        <v>16</v>
      </c>
      <c r="GQ33" s="249">
        <v>16</v>
      </c>
      <c r="GR33" s="249">
        <v>16</v>
      </c>
      <c r="GS33" s="249">
        <v>16</v>
      </c>
      <c r="GT33" s="249">
        <v>16</v>
      </c>
      <c r="GU33" s="249">
        <v>16</v>
      </c>
      <c r="GV33" s="249">
        <v>16</v>
      </c>
      <c r="GW33" s="249">
        <v>16</v>
      </c>
      <c r="GX33" s="249">
        <v>16</v>
      </c>
      <c r="GY33" s="249">
        <v>16</v>
      </c>
      <c r="GZ33" s="249">
        <v>16</v>
      </c>
      <c r="HA33" s="249">
        <v>13</v>
      </c>
      <c r="HB33" s="249">
        <v>13</v>
      </c>
      <c r="HC33" s="249">
        <v>12</v>
      </c>
      <c r="HD33" s="249">
        <v>12</v>
      </c>
      <c r="HE33" s="249">
        <v>12</v>
      </c>
      <c r="HF33" s="249">
        <v>12</v>
      </c>
      <c r="HG33" s="249">
        <v>12</v>
      </c>
      <c r="HH33" s="249">
        <v>12</v>
      </c>
      <c r="HI33" s="249">
        <v>10</v>
      </c>
      <c r="HJ33" s="249">
        <v>10</v>
      </c>
      <c r="HK33" s="249">
        <v>10</v>
      </c>
      <c r="HL33" s="249">
        <v>10</v>
      </c>
      <c r="HM33" s="249">
        <v>8</v>
      </c>
      <c r="HN33" s="249">
        <v>7</v>
      </c>
      <c r="HO33" s="249">
        <v>7</v>
      </c>
      <c r="HP33" s="249">
        <v>7</v>
      </c>
      <c r="HQ33" s="249">
        <v>7</v>
      </c>
      <c r="HR33" s="249">
        <v>7</v>
      </c>
      <c r="HS33" s="249">
        <v>7</v>
      </c>
      <c r="HT33" s="249">
        <v>7</v>
      </c>
      <c r="HU33" s="249">
        <v>7</v>
      </c>
      <c r="HV33" s="249">
        <v>3</v>
      </c>
      <c r="HW33" s="249">
        <v>3</v>
      </c>
      <c r="HX33" s="249">
        <v>3</v>
      </c>
      <c r="HY33" s="249">
        <v>3</v>
      </c>
      <c r="HZ33" s="249">
        <v>3</v>
      </c>
      <c r="IA33" s="249">
        <v>3</v>
      </c>
      <c r="IB33" s="249">
        <v>3</v>
      </c>
      <c r="IC33" s="249">
        <v>3</v>
      </c>
      <c r="ID33" s="249">
        <v>3</v>
      </c>
      <c r="IE33" s="249">
        <v>3</v>
      </c>
      <c r="IF33" s="249">
        <v>3</v>
      </c>
      <c r="IG33" s="249">
        <v>2</v>
      </c>
      <c r="IH33" s="249">
        <v>2</v>
      </c>
      <c r="II33" s="249">
        <v>2</v>
      </c>
      <c r="IJ33" s="251"/>
      <c r="IK33" s="253">
        <v>0</v>
      </c>
      <c r="IL33" s="253">
        <v>0</v>
      </c>
      <c r="IM33" s="251"/>
      <c r="IN33" s="251"/>
      <c r="IO33" s="251"/>
      <c r="IP33" s="251"/>
      <c r="IQ33" s="251"/>
      <c r="IR33" s="251"/>
      <c r="IS33" s="251"/>
      <c r="IT33" s="251"/>
      <c r="IU33" s="251"/>
      <c r="IV33" s="251"/>
      <c r="IW33" s="251"/>
      <c r="IX33" s="251"/>
      <c r="IY33" s="251"/>
      <c r="IZ33" s="251"/>
      <c r="JA33" s="251"/>
      <c r="JB33" s="251"/>
      <c r="JC33" s="251"/>
      <c r="JD33" s="251"/>
      <c r="JE33" s="251"/>
      <c r="JF33" s="251"/>
      <c r="JG33" s="251"/>
      <c r="JH33" s="251"/>
      <c r="JI33" s="251"/>
      <c r="JJ33" s="251"/>
      <c r="JK33" s="251"/>
      <c r="JL33" s="251"/>
      <c r="JM33" s="251"/>
      <c r="JN33" s="251"/>
      <c r="JO33" s="251"/>
      <c r="JP33" s="251"/>
      <c r="JQ33" s="251"/>
      <c r="JR33" s="251"/>
      <c r="JS33" s="251"/>
      <c r="JT33" s="251"/>
      <c r="JU33" s="251"/>
      <c r="JV33" s="251"/>
      <c r="JW33" s="251"/>
      <c r="JX33" s="251"/>
      <c r="JY33" s="251"/>
      <c r="JZ33" s="251"/>
      <c r="KA33" s="251"/>
      <c r="KB33" s="251"/>
      <c r="KC33" s="251"/>
      <c r="KD33" s="251"/>
      <c r="KE33" s="251"/>
      <c r="KF33" s="251"/>
      <c r="KG33" s="251"/>
      <c r="KH33" s="251"/>
      <c r="KI33" s="251"/>
      <c r="KJ33" s="251"/>
      <c r="KK33" s="251"/>
      <c r="KL33" s="251"/>
      <c r="KM33" s="251"/>
      <c r="KN33" s="251"/>
      <c r="KO33" s="251"/>
      <c r="KP33" s="251"/>
      <c r="KQ33" s="251"/>
      <c r="KR33" s="251"/>
      <c r="KS33" s="251"/>
      <c r="KT33" s="251"/>
      <c r="KU33" s="251"/>
      <c r="KV33" s="251"/>
      <c r="KW33" s="251"/>
      <c r="KX33" s="251"/>
      <c r="KY33" s="251"/>
      <c r="KZ33" s="251"/>
      <c r="LA33" s="251"/>
      <c r="LB33" s="251"/>
      <c r="LC33" s="251"/>
      <c r="LD33" s="251"/>
      <c r="LE33" s="251"/>
      <c r="LF33" s="251"/>
      <c r="LG33" s="251"/>
      <c r="LH33" s="251"/>
      <c r="LI33" s="251"/>
      <c r="LJ33" s="251"/>
      <c r="LK33" s="251"/>
      <c r="LL33" s="251"/>
      <c r="LM33" s="251"/>
      <c r="LN33" s="251"/>
      <c r="LO33" s="251"/>
      <c r="LP33" s="251"/>
      <c r="LQ33" s="251"/>
      <c r="LR33" s="251"/>
      <c r="LS33" s="251"/>
      <c r="LT33" s="251"/>
      <c r="LU33" s="251"/>
      <c r="LV33" s="251"/>
      <c r="LW33" s="251"/>
      <c r="LX33" s="251"/>
      <c r="LY33" s="251"/>
      <c r="LZ33" s="251"/>
      <c r="MA33" s="251"/>
      <c r="MB33" s="251"/>
      <c r="MC33" s="251"/>
      <c r="MD33" s="251"/>
      <c r="ME33" s="251"/>
      <c r="MF33" s="304"/>
      <c r="MG33" s="304"/>
      <c r="MH33" s="304"/>
      <c r="MI33" s="304"/>
      <c r="MJ33" s="304"/>
      <c r="MK33" s="304"/>
      <c r="ML33" s="304"/>
      <c r="MM33" s="304"/>
      <c r="MN33" s="304"/>
      <c r="MO33" s="304"/>
      <c r="MP33" s="304"/>
      <c r="MQ33" s="304"/>
      <c r="MR33" s="304"/>
      <c r="MS33" s="304"/>
      <c r="MT33" s="304"/>
      <c r="MU33" s="304"/>
      <c r="MV33" s="304"/>
      <c r="MW33" s="304"/>
      <c r="MX33" s="304"/>
      <c r="MY33" s="304"/>
      <c r="MZ33" s="304"/>
      <c r="NA33" s="304"/>
      <c r="NB33" s="304"/>
      <c r="NC33" s="304"/>
      <c r="ND33" s="304"/>
      <c r="NE33" s="304"/>
      <c r="NF33" s="304"/>
      <c r="NG33" s="304"/>
      <c r="NH33" s="304"/>
      <c r="NI33" s="304"/>
    </row>
    <row r="34" spans="1:373" x14ac:dyDescent="0.2">
      <c r="A34" s="132" t="s">
        <v>739</v>
      </c>
      <c r="B34" s="133" t="s">
        <v>1336</v>
      </c>
      <c r="C34" s="134"/>
      <c r="D34" s="242" t="s">
        <v>1355</v>
      </c>
      <c r="E34" s="242">
        <v>0</v>
      </c>
      <c r="F34" s="243" t="s">
        <v>1373</v>
      </c>
      <c r="G34" s="243" t="s">
        <v>960</v>
      </c>
      <c r="H34" s="243" t="s">
        <v>961</v>
      </c>
      <c r="I34" s="243">
        <v>0</v>
      </c>
      <c r="J34" s="243">
        <v>0</v>
      </c>
      <c r="K34" s="243">
        <v>0</v>
      </c>
      <c r="L34" s="243" t="s">
        <v>1219</v>
      </c>
      <c r="M34" s="243">
        <v>0</v>
      </c>
      <c r="N34" s="243" t="s">
        <v>1218</v>
      </c>
      <c r="O34" s="243">
        <v>0</v>
      </c>
      <c r="P34" s="243">
        <v>0</v>
      </c>
      <c r="Q34" s="243">
        <v>0</v>
      </c>
      <c r="R34" s="135"/>
      <c r="S34" s="135"/>
      <c r="T34" s="135"/>
      <c r="U34" s="135"/>
      <c r="V34" s="135"/>
      <c r="W34" s="135">
        <v>0</v>
      </c>
      <c r="X34" s="135">
        <v>0</v>
      </c>
      <c r="Y34" s="135">
        <v>0</v>
      </c>
      <c r="Z34" s="136">
        <v>204.75</v>
      </c>
      <c r="AA34" s="136">
        <v>395</v>
      </c>
      <c r="AB34" s="136">
        <v>0</v>
      </c>
      <c r="AC34" s="137">
        <v>0</v>
      </c>
      <c r="AD34" s="137">
        <v>0</v>
      </c>
      <c r="AE34" s="138">
        <v>10</v>
      </c>
      <c r="AF34" s="138">
        <v>8</v>
      </c>
      <c r="AG34" s="138">
        <v>2</v>
      </c>
      <c r="AH34" s="139">
        <v>1</v>
      </c>
      <c r="AI34" s="139" t="s">
        <v>1387</v>
      </c>
      <c r="AJ34" s="138" t="s">
        <v>3626</v>
      </c>
      <c r="AK34" s="195" t="s">
        <v>3637</v>
      </c>
      <c r="AL34" s="138" t="s">
        <v>1316</v>
      </c>
      <c r="AM34" s="27" t="s">
        <v>1391</v>
      </c>
      <c r="AN34" s="138">
        <v>0</v>
      </c>
      <c r="AO34" s="140">
        <v>0</v>
      </c>
      <c r="AP34" s="140">
        <v>0</v>
      </c>
      <c r="AQ34" s="140">
        <v>0</v>
      </c>
      <c r="AR34" s="138">
        <v>16</v>
      </c>
      <c r="AS34" s="138">
        <v>0</v>
      </c>
      <c r="AT34" s="198"/>
      <c r="AU34" s="198"/>
      <c r="AV34" s="198"/>
      <c r="AW34" s="211" t="s">
        <v>790</v>
      </c>
      <c r="AX34" s="211" t="s">
        <v>1324</v>
      </c>
      <c r="AY34" s="141"/>
      <c r="AZ34" s="141"/>
      <c r="BA34" s="142">
        <v>1</v>
      </c>
      <c r="BB34" s="142" t="s">
        <v>527</v>
      </c>
      <c r="BC34" s="142"/>
      <c r="BD34" s="142">
        <v>2</v>
      </c>
      <c r="BE34" s="143" t="s">
        <v>541</v>
      </c>
      <c r="BF34" s="144">
        <v>1</v>
      </c>
      <c r="BG34" s="145"/>
      <c r="BH34" s="212"/>
      <c r="BI34" s="213"/>
      <c r="BJ34" s="146">
        <v>10</v>
      </c>
      <c r="BK34" s="214">
        <v>0</v>
      </c>
      <c r="BL34" s="13">
        <v>7</v>
      </c>
      <c r="BM34" s="13">
        <v>3</v>
      </c>
      <c r="BN34" s="27" t="s">
        <v>1394</v>
      </c>
      <c r="BO34" s="13" t="s">
        <v>1392</v>
      </c>
      <c r="BP34" s="147">
        <v>3</v>
      </c>
      <c r="BQ34" s="148"/>
      <c r="BR34" s="149"/>
      <c r="BS34" s="138">
        <v>1000000000</v>
      </c>
      <c r="BT34" s="150">
        <v>0</v>
      </c>
      <c r="BU34" s="151">
        <v>1</v>
      </c>
      <c r="BV34" s="150">
        <v>6</v>
      </c>
      <c r="BW34" s="152">
        <v>0</v>
      </c>
      <c r="BX34" s="152">
        <v>0</v>
      </c>
      <c r="BY34" s="152">
        <v>0</v>
      </c>
      <c r="BZ34" s="150">
        <v>0</v>
      </c>
      <c r="CA34" s="150">
        <v>0</v>
      </c>
      <c r="CB34" s="150">
        <v>6</v>
      </c>
      <c r="CC34" s="151">
        <v>0.4</v>
      </c>
      <c r="CD34" s="150"/>
      <c r="CE34" s="150"/>
      <c r="CF34" s="153">
        <v>4</v>
      </c>
      <c r="CG34" s="154">
        <v>2</v>
      </c>
      <c r="CH34" s="148">
        <v>0</v>
      </c>
      <c r="CI34" s="155"/>
      <c r="CJ34" s="156" t="s">
        <v>1316</v>
      </c>
      <c r="CK34" s="157" t="s">
        <v>1316</v>
      </c>
      <c r="CL34" s="154">
        <v>570.75</v>
      </c>
      <c r="CM34" s="154">
        <v>0</v>
      </c>
      <c r="CN34" s="151">
        <v>0</v>
      </c>
      <c r="CO34" s="151">
        <v>4.4600732600732602</v>
      </c>
      <c r="CP34" s="158"/>
      <c r="CQ34" s="151">
        <v>1</v>
      </c>
      <c r="CR34" s="199">
        <v>43087</v>
      </c>
      <c r="CS34" s="200">
        <v>43185</v>
      </c>
      <c r="CT34" s="201">
        <v>43255</v>
      </c>
      <c r="CU34" s="201">
        <v>43195</v>
      </c>
      <c r="CV34" s="201">
        <v>43179</v>
      </c>
      <c r="CW34" s="201">
        <v>43209</v>
      </c>
      <c r="CX34" s="201">
        <v>43251</v>
      </c>
      <c r="CY34" s="151">
        <v>0.8981527585617225</v>
      </c>
      <c r="CZ34" s="150">
        <v>0</v>
      </c>
      <c r="DA34" s="151">
        <v>0.25</v>
      </c>
      <c r="DB34" s="151">
        <v>0.453125</v>
      </c>
      <c r="DC34" s="151">
        <v>0.25</v>
      </c>
      <c r="DD34" s="151">
        <v>0</v>
      </c>
      <c r="DE34" s="159">
        <v>0</v>
      </c>
      <c r="DF34" s="13" t="s">
        <v>1316</v>
      </c>
      <c r="DG34" s="85" t="s">
        <v>1394</v>
      </c>
      <c r="DH34" s="18" t="b">
        <v>0</v>
      </c>
      <c r="DI34" s="84"/>
      <c r="DJ34" s="84"/>
      <c r="DK34" s="215"/>
      <c r="DL34" s="194"/>
      <c r="DM34" s="216"/>
      <c r="DN34" s="151"/>
      <c r="DO34" s="84"/>
      <c r="DP34" s="84"/>
      <c r="DQ34" s="84"/>
      <c r="DR34" s="84"/>
      <c r="DS34" s="84"/>
      <c r="DT34" s="84"/>
      <c r="DU34" s="84"/>
      <c r="DV34" s="18"/>
      <c r="DW34" s="18"/>
      <c r="DX34" s="18"/>
      <c r="DY34" s="197"/>
      <c r="DZ34" s="197">
        <v>0</v>
      </c>
      <c r="EA34" s="197">
        <v>0</v>
      </c>
      <c r="EB34" s="197">
        <v>0</v>
      </c>
      <c r="EC34" s="197">
        <v>0</v>
      </c>
      <c r="ED34" s="197">
        <v>0</v>
      </c>
      <c r="EE34" s="197">
        <v>0</v>
      </c>
      <c r="EF34" s="197">
        <v>6</v>
      </c>
      <c r="EG34" s="219"/>
      <c r="EH34" s="224">
        <v>2</v>
      </c>
      <c r="EI34" s="225">
        <v>3</v>
      </c>
      <c r="EJ34" s="225">
        <v>3</v>
      </c>
      <c r="EK34" s="225">
        <v>3</v>
      </c>
      <c r="EL34" s="225">
        <v>3</v>
      </c>
      <c r="EM34" s="223">
        <v>1</v>
      </c>
      <c r="EN34" s="225">
        <v>3</v>
      </c>
      <c r="EO34" s="224">
        <v>2</v>
      </c>
      <c r="EP34" s="224">
        <v>2</v>
      </c>
      <c r="EQ34" s="222">
        <v>0</v>
      </c>
      <c r="ER34" s="222">
        <v>0</v>
      </c>
      <c r="ES34" s="222">
        <v>0</v>
      </c>
      <c r="ET34" s="222">
        <v>0</v>
      </c>
      <c r="EU34" s="224">
        <v>4</v>
      </c>
      <c r="EV34" s="224">
        <v>4</v>
      </c>
      <c r="EW34" s="223">
        <v>1</v>
      </c>
      <c r="EX34" s="223">
        <v>1</v>
      </c>
      <c r="EY34" s="223">
        <v>1</v>
      </c>
      <c r="EZ34" s="223">
        <v>1</v>
      </c>
      <c r="FA34" s="223">
        <v>1</v>
      </c>
      <c r="FB34" s="224">
        <v>6</v>
      </c>
      <c r="FC34" s="224">
        <v>5</v>
      </c>
      <c r="FD34" s="224">
        <v>5</v>
      </c>
      <c r="FE34" s="224">
        <v>5</v>
      </c>
      <c r="FF34" s="226">
        <v>11</v>
      </c>
      <c r="FG34" s="226">
        <v>11</v>
      </c>
      <c r="FH34" s="224">
        <v>5</v>
      </c>
      <c r="FI34" s="224">
        <v>5</v>
      </c>
      <c r="FJ34" s="224">
        <v>5</v>
      </c>
      <c r="FK34" s="224">
        <v>5</v>
      </c>
      <c r="FL34" s="224">
        <v>5</v>
      </c>
      <c r="FM34" s="224">
        <v>5</v>
      </c>
      <c r="FN34" s="224">
        <v>5</v>
      </c>
      <c r="FO34" s="224">
        <v>5</v>
      </c>
      <c r="FP34" s="224">
        <v>5</v>
      </c>
      <c r="FQ34" s="224">
        <v>5</v>
      </c>
      <c r="FR34" s="224">
        <v>5</v>
      </c>
      <c r="FS34" s="224">
        <v>5</v>
      </c>
      <c r="FT34" s="224">
        <v>5</v>
      </c>
      <c r="FU34" s="224">
        <v>5</v>
      </c>
      <c r="FV34" s="224">
        <v>5</v>
      </c>
      <c r="FW34" s="224">
        <v>5</v>
      </c>
      <c r="FX34" s="224">
        <v>5</v>
      </c>
      <c r="FY34" s="224">
        <v>4</v>
      </c>
      <c r="FZ34" s="224">
        <v>4</v>
      </c>
      <c r="GA34" s="224">
        <v>4</v>
      </c>
      <c r="GB34" s="224">
        <v>4</v>
      </c>
      <c r="GC34" s="224">
        <v>4</v>
      </c>
      <c r="GD34" s="224">
        <v>4</v>
      </c>
      <c r="GE34" s="247"/>
      <c r="GF34" s="224">
        <v>4</v>
      </c>
      <c r="GG34" s="224">
        <v>4</v>
      </c>
      <c r="GH34" s="224">
        <v>4</v>
      </c>
      <c r="GI34" s="224">
        <v>4</v>
      </c>
      <c r="GJ34" s="224">
        <v>4</v>
      </c>
      <c r="GK34" s="224">
        <v>4</v>
      </c>
      <c r="GL34" s="224">
        <v>4</v>
      </c>
      <c r="GM34" s="247"/>
      <c r="GN34" s="224">
        <v>4</v>
      </c>
      <c r="GO34" s="224">
        <v>4</v>
      </c>
      <c r="GP34" s="224">
        <v>4</v>
      </c>
      <c r="GQ34" s="224">
        <v>4</v>
      </c>
      <c r="GR34" s="224">
        <v>4</v>
      </c>
      <c r="GS34" s="223">
        <v>2</v>
      </c>
      <c r="GT34" s="223">
        <v>2</v>
      </c>
      <c r="GU34" s="223">
        <v>2</v>
      </c>
      <c r="GV34" s="223">
        <v>2</v>
      </c>
      <c r="GW34" s="223">
        <v>2</v>
      </c>
      <c r="GX34" s="223">
        <v>2</v>
      </c>
      <c r="GY34" s="223">
        <v>2</v>
      </c>
      <c r="GZ34" s="223">
        <v>2</v>
      </c>
      <c r="HA34" s="223">
        <v>2</v>
      </c>
      <c r="HB34" s="223">
        <v>2</v>
      </c>
      <c r="HC34" s="223">
        <v>2</v>
      </c>
      <c r="HD34" s="223">
        <v>1</v>
      </c>
      <c r="HE34" s="223">
        <v>1</v>
      </c>
      <c r="HF34" s="223">
        <v>1</v>
      </c>
      <c r="HG34" s="223">
        <v>1</v>
      </c>
      <c r="HH34" s="223">
        <v>1</v>
      </c>
      <c r="HI34" s="223">
        <v>1</v>
      </c>
      <c r="HJ34" s="223">
        <v>1</v>
      </c>
      <c r="HK34" s="223">
        <v>1</v>
      </c>
      <c r="HL34" s="223">
        <v>1</v>
      </c>
      <c r="HM34" s="223">
        <v>1</v>
      </c>
      <c r="HN34" s="223">
        <v>1</v>
      </c>
      <c r="HO34" s="223">
        <v>1</v>
      </c>
      <c r="HP34" s="223">
        <v>1</v>
      </c>
      <c r="HQ34" s="223">
        <v>1</v>
      </c>
      <c r="HR34" s="223">
        <v>1</v>
      </c>
      <c r="HS34" s="223">
        <v>1</v>
      </c>
      <c r="HT34" s="223">
        <v>1</v>
      </c>
      <c r="HU34" s="223">
        <v>1</v>
      </c>
      <c r="HV34" s="222">
        <v>0</v>
      </c>
      <c r="HW34" s="222">
        <v>0</v>
      </c>
      <c r="HX34" s="222">
        <v>0</v>
      </c>
      <c r="HY34" s="222">
        <v>0</v>
      </c>
      <c r="HZ34" s="222">
        <v>0</v>
      </c>
      <c r="IA34" s="222">
        <v>0</v>
      </c>
      <c r="IB34" s="222">
        <v>0</v>
      </c>
      <c r="IC34" s="222">
        <v>0</v>
      </c>
      <c r="ID34" s="222">
        <v>0</v>
      </c>
      <c r="IE34" s="222">
        <v>0</v>
      </c>
      <c r="IF34" s="222">
        <v>0</v>
      </c>
      <c r="IG34" s="222">
        <v>0</v>
      </c>
      <c r="IH34" s="222">
        <v>0</v>
      </c>
      <c r="II34" s="222">
        <v>0</v>
      </c>
      <c r="IJ34" s="247"/>
      <c r="IK34" s="222">
        <v>0</v>
      </c>
      <c r="IL34" s="222">
        <v>0</v>
      </c>
      <c r="IM34" s="247"/>
      <c r="IN34" s="247"/>
      <c r="IO34" s="247"/>
      <c r="IP34" s="247"/>
      <c r="IQ34" s="247"/>
      <c r="IR34" s="247"/>
      <c r="IS34" s="247"/>
      <c r="IT34" s="247"/>
      <c r="IU34" s="247"/>
      <c r="IV34" s="247"/>
      <c r="IW34" s="247"/>
      <c r="IX34" s="247"/>
      <c r="IY34" s="247"/>
      <c r="IZ34" s="247"/>
      <c r="JA34" s="247"/>
      <c r="JB34" s="247"/>
      <c r="JC34" s="247"/>
      <c r="JD34" s="247"/>
      <c r="JE34" s="247"/>
      <c r="JF34" s="247"/>
      <c r="JG34" s="247"/>
      <c r="JH34" s="247"/>
      <c r="JI34" s="247"/>
      <c r="JJ34" s="247"/>
      <c r="JK34" s="247"/>
      <c r="JL34" s="247"/>
      <c r="JM34" s="247"/>
      <c r="JN34" s="247"/>
      <c r="JO34" s="247"/>
      <c r="JP34" s="247"/>
      <c r="JQ34" s="247"/>
      <c r="JR34" s="247"/>
      <c r="JS34" s="247"/>
      <c r="JT34" s="247"/>
      <c r="JU34" s="247"/>
      <c r="JV34" s="247"/>
      <c r="JW34" s="247"/>
      <c r="JX34" s="247"/>
      <c r="JY34" s="247"/>
      <c r="JZ34" s="247"/>
      <c r="KA34" s="247"/>
      <c r="KB34" s="247"/>
      <c r="KC34" s="247"/>
      <c r="KD34" s="247"/>
      <c r="KE34" s="247"/>
      <c r="KF34" s="247"/>
      <c r="KG34" s="247"/>
      <c r="KH34" s="247"/>
      <c r="KI34" s="247"/>
      <c r="KJ34" s="247"/>
      <c r="KK34" s="247"/>
      <c r="KL34" s="247"/>
      <c r="KM34" s="247"/>
      <c r="KN34" s="247"/>
      <c r="KO34" s="247"/>
      <c r="KP34" s="247"/>
      <c r="KQ34" s="247"/>
      <c r="KR34" s="247"/>
      <c r="KS34" s="247"/>
      <c r="KT34" s="247"/>
      <c r="KU34" s="247"/>
      <c r="KV34" s="247"/>
      <c r="KW34" s="247"/>
      <c r="KX34" s="247"/>
      <c r="KY34" s="247"/>
      <c r="KZ34" s="247"/>
      <c r="LA34" s="247"/>
      <c r="LB34" s="247"/>
      <c r="LC34" s="247"/>
      <c r="LD34" s="247"/>
      <c r="LE34" s="247"/>
      <c r="LF34" s="247"/>
      <c r="LG34" s="247"/>
      <c r="LH34" s="247"/>
      <c r="LI34" s="247"/>
      <c r="LJ34" s="247"/>
      <c r="LK34" s="247"/>
      <c r="LL34" s="247"/>
      <c r="LM34" s="247"/>
      <c r="LN34" s="247"/>
      <c r="LO34" s="247"/>
      <c r="LP34" s="247"/>
      <c r="LQ34" s="247"/>
      <c r="LR34" s="247"/>
      <c r="LS34" s="247"/>
      <c r="LT34" s="247"/>
      <c r="LU34" s="247"/>
      <c r="LV34" s="247"/>
      <c r="LW34" s="247"/>
      <c r="LX34" s="247"/>
      <c r="LY34" s="247"/>
      <c r="LZ34" s="247"/>
      <c r="MA34" s="247"/>
      <c r="MB34" s="247"/>
      <c r="MC34" s="247"/>
      <c r="MD34" s="247"/>
      <c r="ME34" s="247"/>
      <c r="MF34" s="304"/>
      <c r="MG34" s="304"/>
      <c r="MH34" s="304"/>
      <c r="MI34" s="304"/>
      <c r="MJ34" s="304"/>
      <c r="MK34" s="304"/>
      <c r="ML34" s="304"/>
      <c r="MM34" s="304"/>
      <c r="MN34" s="304"/>
      <c r="MO34" s="304"/>
      <c r="MP34" s="304"/>
      <c r="MQ34" s="304"/>
      <c r="MR34" s="304"/>
      <c r="MS34" s="304"/>
      <c r="MT34" s="304"/>
      <c r="MU34" s="304"/>
      <c r="MV34" s="304"/>
      <c r="MW34" s="304"/>
      <c r="MX34" s="304"/>
      <c r="MY34" s="304"/>
      <c r="MZ34" s="304"/>
      <c r="NA34" s="304"/>
      <c r="NB34" s="304"/>
      <c r="NC34" s="304"/>
      <c r="ND34" s="304"/>
      <c r="NE34" s="304"/>
      <c r="NF34" s="304"/>
      <c r="NG34" s="304"/>
      <c r="NH34" s="304"/>
      <c r="NI34" s="304"/>
    </row>
    <row r="35" spans="1:373" x14ac:dyDescent="0.2">
      <c r="A35" s="132" t="s">
        <v>739</v>
      </c>
      <c r="B35" s="133" t="s">
        <v>944</v>
      </c>
      <c r="C35" s="134"/>
      <c r="D35" s="242" t="s">
        <v>1260</v>
      </c>
      <c r="E35" s="242">
        <v>0</v>
      </c>
      <c r="F35" s="243" t="s">
        <v>1261</v>
      </c>
      <c r="G35" s="243" t="s">
        <v>1262</v>
      </c>
      <c r="H35" s="243" t="s">
        <v>961</v>
      </c>
      <c r="I35" s="243">
        <v>0</v>
      </c>
      <c r="J35" s="243">
        <v>0</v>
      </c>
      <c r="K35" s="243">
        <v>0</v>
      </c>
      <c r="L35" s="243" t="s">
        <v>1263</v>
      </c>
      <c r="M35" s="243">
        <v>0</v>
      </c>
      <c r="N35" s="243" t="s">
        <v>1218</v>
      </c>
      <c r="O35" s="243">
        <v>0</v>
      </c>
      <c r="P35" s="243">
        <v>0</v>
      </c>
      <c r="Q35" s="243">
        <v>0</v>
      </c>
      <c r="R35" s="135"/>
      <c r="S35" s="135"/>
      <c r="T35" s="135"/>
      <c r="U35" s="135"/>
      <c r="V35" s="135"/>
      <c r="W35" s="135">
        <v>0</v>
      </c>
      <c r="X35" s="135">
        <v>0</v>
      </c>
      <c r="Y35" s="135">
        <v>0</v>
      </c>
      <c r="Z35" s="136">
        <v>197.29</v>
      </c>
      <c r="AA35" s="136">
        <v>407.25</v>
      </c>
      <c r="AB35" s="136">
        <v>0</v>
      </c>
      <c r="AC35" s="137">
        <v>0</v>
      </c>
      <c r="AD35" s="137">
        <v>0</v>
      </c>
      <c r="AE35" s="138">
        <v>10</v>
      </c>
      <c r="AF35" s="138">
        <v>8</v>
      </c>
      <c r="AG35" s="138">
        <v>2</v>
      </c>
      <c r="AH35" s="139">
        <v>1</v>
      </c>
      <c r="AI35" s="139" t="s">
        <v>1387</v>
      </c>
      <c r="AJ35" s="138" t="s">
        <v>3626</v>
      </c>
      <c r="AK35" s="195" t="s">
        <v>3625</v>
      </c>
      <c r="AL35" s="138" t="s">
        <v>1316</v>
      </c>
      <c r="AM35" s="27" t="s">
        <v>1391</v>
      </c>
      <c r="AN35" s="138">
        <v>2.86</v>
      </c>
      <c r="AO35" s="140">
        <v>2.0979020979020979</v>
      </c>
      <c r="AP35" s="140">
        <v>8.7412587412587422E-2</v>
      </c>
      <c r="AQ35" s="140">
        <v>8.7412587412587422E-2</v>
      </c>
      <c r="AR35" s="138">
        <v>1</v>
      </c>
      <c r="AS35" s="138">
        <v>0</v>
      </c>
      <c r="AT35" s="198"/>
      <c r="AU35" s="198"/>
      <c r="AV35" s="198"/>
      <c r="AW35" s="211" t="s">
        <v>790</v>
      </c>
      <c r="AX35" s="211" t="s">
        <v>1324</v>
      </c>
      <c r="AY35" s="141"/>
      <c r="AZ35" s="141"/>
      <c r="BA35" s="142">
        <v>1</v>
      </c>
      <c r="BB35" s="142" t="s">
        <v>527</v>
      </c>
      <c r="BC35" s="142"/>
      <c r="BD35" s="142">
        <v>1</v>
      </c>
      <c r="BE35" s="143" t="s">
        <v>541</v>
      </c>
      <c r="BF35" s="144">
        <v>1</v>
      </c>
      <c r="BG35" s="145"/>
      <c r="BH35" s="212"/>
      <c r="BI35" s="213"/>
      <c r="BJ35" s="146">
        <v>24</v>
      </c>
      <c r="BK35" s="214">
        <v>43</v>
      </c>
      <c r="BL35" s="13">
        <v>16</v>
      </c>
      <c r="BM35" s="13">
        <v>8</v>
      </c>
      <c r="BN35" s="27" t="s">
        <v>1393</v>
      </c>
      <c r="BO35" s="13" t="s">
        <v>1393</v>
      </c>
      <c r="BP35" s="147">
        <v>17</v>
      </c>
      <c r="BQ35" s="148"/>
      <c r="BR35" s="149"/>
      <c r="BS35" s="138">
        <v>1000000000</v>
      </c>
      <c r="BT35" s="150">
        <v>1</v>
      </c>
      <c r="BU35" s="151">
        <v>0.96</v>
      </c>
      <c r="BV35" s="150">
        <v>0</v>
      </c>
      <c r="BW35" s="152">
        <v>0</v>
      </c>
      <c r="BX35" s="152">
        <v>0</v>
      </c>
      <c r="BY35" s="152">
        <v>0</v>
      </c>
      <c r="BZ35" s="150">
        <v>0</v>
      </c>
      <c r="CA35" s="150">
        <v>0</v>
      </c>
      <c r="CB35" s="150">
        <v>1</v>
      </c>
      <c r="CC35" s="151">
        <v>0.96</v>
      </c>
      <c r="CD35" s="150"/>
      <c r="CE35" s="150"/>
      <c r="CF35" s="153">
        <v>23</v>
      </c>
      <c r="CG35" s="154">
        <v>5</v>
      </c>
      <c r="CH35" s="148">
        <v>0</v>
      </c>
      <c r="CI35" s="155"/>
      <c r="CJ35" s="156" t="s">
        <v>1316</v>
      </c>
      <c r="CK35" s="157" t="s">
        <v>1316</v>
      </c>
      <c r="CL35" s="154">
        <v>1469.72</v>
      </c>
      <c r="CM35" s="154">
        <v>0</v>
      </c>
      <c r="CN35" s="151">
        <v>0</v>
      </c>
      <c r="CO35" s="151">
        <v>5.1082568807339452</v>
      </c>
      <c r="CP35" s="158"/>
      <c r="CQ35" s="151">
        <v>1</v>
      </c>
      <c r="CR35" s="199">
        <v>43087</v>
      </c>
      <c r="CS35" s="200">
        <v>43185</v>
      </c>
      <c r="CT35" s="201">
        <v>43255</v>
      </c>
      <c r="CU35" s="201">
        <v>43168</v>
      </c>
      <c r="CV35" s="201">
        <v>43179</v>
      </c>
      <c r="CW35" s="201">
        <v>43182</v>
      </c>
      <c r="CX35" s="201">
        <v>43224</v>
      </c>
      <c r="CY35" s="151">
        <v>0.81805879865937692</v>
      </c>
      <c r="CZ35" s="150">
        <v>0</v>
      </c>
      <c r="DA35" s="151">
        <v>0.203125</v>
      </c>
      <c r="DB35" s="151">
        <v>0.71875</v>
      </c>
      <c r="DC35" s="151">
        <v>3.125E-2</v>
      </c>
      <c r="DD35" s="151">
        <v>0</v>
      </c>
      <c r="DE35" s="159">
        <v>0</v>
      </c>
      <c r="DF35" s="13" t="s">
        <v>1316</v>
      </c>
      <c r="DG35" s="85" t="s">
        <v>1394</v>
      </c>
      <c r="DH35" s="18" t="b">
        <v>0</v>
      </c>
      <c r="DI35" s="84"/>
      <c r="DJ35" s="84"/>
      <c r="DK35" s="215"/>
      <c r="DL35" s="194"/>
      <c r="DM35" s="216"/>
      <c r="DN35" s="151"/>
      <c r="DO35" s="84"/>
      <c r="DP35" s="84"/>
      <c r="DQ35" s="84"/>
      <c r="DR35" s="84"/>
      <c r="DS35" s="84"/>
      <c r="DT35" s="84"/>
      <c r="DU35" s="84"/>
      <c r="DV35" s="18"/>
      <c r="DW35" s="18"/>
      <c r="DX35" s="18"/>
      <c r="DY35" s="197"/>
      <c r="DZ35" s="197">
        <v>0</v>
      </c>
      <c r="EA35" s="197">
        <v>0</v>
      </c>
      <c r="EB35" s="197">
        <v>0</v>
      </c>
      <c r="EC35" s="197">
        <v>0</v>
      </c>
      <c r="ED35" s="197">
        <v>0</v>
      </c>
      <c r="EE35" s="197">
        <v>0</v>
      </c>
      <c r="EF35" s="197">
        <v>0</v>
      </c>
      <c r="EG35" s="221"/>
      <c r="EH35" s="250">
        <v>8</v>
      </c>
      <c r="EI35" s="249">
        <v>2</v>
      </c>
      <c r="EJ35" s="249">
        <v>5</v>
      </c>
      <c r="EK35" s="249">
        <v>4</v>
      </c>
      <c r="EL35" s="249">
        <v>4</v>
      </c>
      <c r="EM35" s="250">
        <v>8</v>
      </c>
      <c r="EN35" s="250">
        <v>9</v>
      </c>
      <c r="EO35" s="249">
        <v>3</v>
      </c>
      <c r="EP35" s="249">
        <v>2</v>
      </c>
      <c r="EQ35" s="253">
        <v>0</v>
      </c>
      <c r="ER35" s="253">
        <v>0</v>
      </c>
      <c r="ES35" s="253">
        <v>0</v>
      </c>
      <c r="ET35" s="253">
        <v>0</v>
      </c>
      <c r="EU35" s="250">
        <v>9</v>
      </c>
      <c r="EV35" s="249">
        <v>7</v>
      </c>
      <c r="EW35" s="253">
        <v>0</v>
      </c>
      <c r="EX35" s="253">
        <v>0</v>
      </c>
      <c r="EY35" s="253">
        <v>0</v>
      </c>
      <c r="EZ35" s="253">
        <v>0</v>
      </c>
      <c r="FA35" s="253">
        <v>0</v>
      </c>
      <c r="FB35" s="253">
        <v>0</v>
      </c>
      <c r="FC35" s="253">
        <v>0</v>
      </c>
      <c r="FD35" s="253">
        <v>0</v>
      </c>
      <c r="FE35" s="253">
        <v>0</v>
      </c>
      <c r="FF35" s="248">
        <v>18</v>
      </c>
      <c r="FG35" s="248">
        <v>18</v>
      </c>
      <c r="FH35" s="250">
        <v>10</v>
      </c>
      <c r="FI35" s="250">
        <v>10</v>
      </c>
      <c r="FJ35" s="250">
        <v>10</v>
      </c>
      <c r="FK35" s="250">
        <v>9</v>
      </c>
      <c r="FL35" s="250">
        <v>9</v>
      </c>
      <c r="FM35" s="250">
        <v>9</v>
      </c>
      <c r="FN35" s="250">
        <v>9</v>
      </c>
      <c r="FO35" s="249">
        <v>8</v>
      </c>
      <c r="FP35" s="249">
        <v>8</v>
      </c>
      <c r="FQ35" s="249">
        <v>8</v>
      </c>
      <c r="FR35" s="249">
        <v>8</v>
      </c>
      <c r="FS35" s="249">
        <v>8</v>
      </c>
      <c r="FT35" s="249">
        <v>8</v>
      </c>
      <c r="FU35" s="249">
        <v>8</v>
      </c>
      <c r="FV35" s="249">
        <v>3</v>
      </c>
      <c r="FW35" s="249">
        <v>3</v>
      </c>
      <c r="FX35" s="249">
        <v>3</v>
      </c>
      <c r="FY35" s="249">
        <v>3</v>
      </c>
      <c r="FZ35" s="249">
        <v>3</v>
      </c>
      <c r="GA35" s="249">
        <v>3</v>
      </c>
      <c r="GB35" s="249">
        <v>3</v>
      </c>
      <c r="GC35" s="249">
        <v>3</v>
      </c>
      <c r="GD35" s="249">
        <v>3</v>
      </c>
      <c r="GE35" s="251"/>
      <c r="GF35" s="249">
        <v>3</v>
      </c>
      <c r="GG35" s="249">
        <v>2</v>
      </c>
      <c r="GH35" s="249">
        <v>2</v>
      </c>
      <c r="GI35" s="249">
        <v>1</v>
      </c>
      <c r="GJ35" s="249">
        <v>1</v>
      </c>
      <c r="GK35" s="249">
        <v>1</v>
      </c>
      <c r="GL35" s="249">
        <v>1</v>
      </c>
      <c r="GM35" s="251"/>
      <c r="GN35" s="249">
        <v>1</v>
      </c>
      <c r="GO35" s="253">
        <v>0</v>
      </c>
      <c r="GP35" s="253">
        <v>0</v>
      </c>
      <c r="GQ35" s="253">
        <v>0</v>
      </c>
      <c r="GR35" s="253">
        <v>0</v>
      </c>
      <c r="GS35" s="253">
        <v>0</v>
      </c>
      <c r="GT35" s="253">
        <v>0</v>
      </c>
      <c r="GU35" s="253">
        <v>0</v>
      </c>
      <c r="GV35" s="253">
        <v>0</v>
      </c>
      <c r="GW35" s="253">
        <v>0</v>
      </c>
      <c r="GX35" s="253">
        <v>0</v>
      </c>
      <c r="GY35" s="253">
        <v>0</v>
      </c>
      <c r="GZ35" s="253">
        <v>0</v>
      </c>
      <c r="HA35" s="250">
        <v>13</v>
      </c>
      <c r="HB35" s="250">
        <v>10</v>
      </c>
      <c r="HC35" s="249">
        <v>6</v>
      </c>
      <c r="HD35" s="249">
        <v>6</v>
      </c>
      <c r="HE35" s="249">
        <v>6</v>
      </c>
      <c r="HF35" s="249">
        <v>6</v>
      </c>
      <c r="HG35" s="249">
        <v>6</v>
      </c>
      <c r="HH35" s="249">
        <v>6</v>
      </c>
      <c r="HI35" s="249">
        <v>6</v>
      </c>
      <c r="HJ35" s="249">
        <v>6</v>
      </c>
      <c r="HK35" s="249">
        <v>6</v>
      </c>
      <c r="HL35" s="249">
        <v>6</v>
      </c>
      <c r="HM35" s="249">
        <v>5</v>
      </c>
      <c r="HN35" s="249">
        <v>5</v>
      </c>
      <c r="HO35" s="249">
        <v>5</v>
      </c>
      <c r="HP35" s="249">
        <v>5</v>
      </c>
      <c r="HQ35" s="249">
        <v>4</v>
      </c>
      <c r="HR35" s="249">
        <v>4</v>
      </c>
      <c r="HS35" s="249">
        <v>4</v>
      </c>
      <c r="HT35" s="249">
        <v>4</v>
      </c>
      <c r="HU35" s="249">
        <v>4</v>
      </c>
      <c r="HV35" s="249">
        <v>4</v>
      </c>
      <c r="HW35" s="249">
        <v>4</v>
      </c>
      <c r="HX35" s="249">
        <v>4</v>
      </c>
      <c r="HY35" s="249">
        <v>4</v>
      </c>
      <c r="HZ35" s="249">
        <v>4</v>
      </c>
      <c r="IA35" s="249">
        <v>4</v>
      </c>
      <c r="IB35" s="249">
        <v>4</v>
      </c>
      <c r="IC35" s="249">
        <v>4</v>
      </c>
      <c r="ID35" s="249">
        <v>4</v>
      </c>
      <c r="IE35" s="249">
        <v>4</v>
      </c>
      <c r="IF35" s="249">
        <v>4</v>
      </c>
      <c r="IG35" s="249">
        <v>3</v>
      </c>
      <c r="IH35" s="249">
        <v>1</v>
      </c>
      <c r="II35" s="253">
        <v>0</v>
      </c>
      <c r="IJ35" s="251"/>
      <c r="IK35" s="249">
        <v>1</v>
      </c>
      <c r="IL35" s="249">
        <v>1</v>
      </c>
      <c r="IM35" s="251"/>
      <c r="IN35" s="251"/>
      <c r="IO35" s="251"/>
      <c r="IP35" s="251"/>
      <c r="IQ35" s="251"/>
      <c r="IR35" s="251"/>
      <c r="IS35" s="251"/>
      <c r="IT35" s="251"/>
      <c r="IU35" s="251"/>
      <c r="IV35" s="251"/>
      <c r="IW35" s="251"/>
      <c r="IX35" s="251"/>
      <c r="IY35" s="251"/>
      <c r="IZ35" s="251"/>
      <c r="JA35" s="251"/>
      <c r="JB35" s="251"/>
      <c r="JC35" s="251"/>
      <c r="JD35" s="251"/>
      <c r="JE35" s="251"/>
      <c r="JF35" s="251"/>
      <c r="JG35" s="251"/>
      <c r="JH35" s="251"/>
      <c r="JI35" s="251"/>
      <c r="JJ35" s="251"/>
      <c r="JK35" s="251"/>
      <c r="JL35" s="251"/>
      <c r="JM35" s="251"/>
      <c r="JN35" s="251"/>
      <c r="JO35" s="251"/>
      <c r="JP35" s="251"/>
      <c r="JQ35" s="251"/>
      <c r="JR35" s="251"/>
      <c r="JS35" s="251"/>
      <c r="JT35" s="251"/>
      <c r="JU35" s="251"/>
      <c r="JV35" s="251"/>
      <c r="JW35" s="251"/>
      <c r="JX35" s="251"/>
      <c r="JY35" s="251"/>
      <c r="JZ35" s="251"/>
      <c r="KA35" s="251"/>
      <c r="KB35" s="251"/>
      <c r="KC35" s="251"/>
      <c r="KD35" s="251"/>
      <c r="KE35" s="251"/>
      <c r="KF35" s="251"/>
      <c r="KG35" s="251"/>
      <c r="KH35" s="251"/>
      <c r="KI35" s="251"/>
      <c r="KJ35" s="251"/>
      <c r="KK35" s="251"/>
      <c r="KL35" s="251"/>
      <c r="KM35" s="251"/>
      <c r="KN35" s="251"/>
      <c r="KO35" s="251"/>
      <c r="KP35" s="251"/>
      <c r="KQ35" s="251"/>
      <c r="KR35" s="251"/>
      <c r="KS35" s="251"/>
      <c r="KT35" s="251"/>
      <c r="KU35" s="251"/>
      <c r="KV35" s="251"/>
      <c r="KW35" s="251"/>
      <c r="KX35" s="251"/>
      <c r="KY35" s="251"/>
      <c r="KZ35" s="251"/>
      <c r="LA35" s="251"/>
      <c r="LB35" s="251"/>
      <c r="LC35" s="251"/>
      <c r="LD35" s="251"/>
      <c r="LE35" s="251"/>
      <c r="LF35" s="251"/>
      <c r="LG35" s="251"/>
      <c r="LH35" s="251"/>
      <c r="LI35" s="251"/>
      <c r="LJ35" s="251"/>
      <c r="LK35" s="251"/>
      <c r="LL35" s="251"/>
      <c r="LM35" s="251"/>
      <c r="LN35" s="251"/>
      <c r="LO35" s="251"/>
      <c r="LP35" s="251"/>
      <c r="LQ35" s="251"/>
      <c r="LR35" s="251"/>
      <c r="LS35" s="251"/>
      <c r="LT35" s="251"/>
      <c r="LU35" s="251"/>
      <c r="LV35" s="251"/>
      <c r="LW35" s="251"/>
      <c r="LX35" s="251"/>
      <c r="LY35" s="251"/>
      <c r="LZ35" s="251"/>
      <c r="MA35" s="251"/>
      <c r="MB35" s="251"/>
      <c r="MC35" s="251"/>
      <c r="MD35" s="251"/>
      <c r="ME35" s="251"/>
      <c r="MF35" s="304"/>
      <c r="MG35" s="304"/>
      <c r="MH35" s="304"/>
      <c r="MI35" s="304"/>
      <c r="MJ35" s="304"/>
      <c r="MK35" s="304"/>
      <c r="ML35" s="304"/>
      <c r="MM35" s="304"/>
      <c r="MN35" s="304"/>
      <c r="MO35" s="304"/>
      <c r="MP35" s="304"/>
      <c r="MQ35" s="304"/>
      <c r="MR35" s="304"/>
      <c r="MS35" s="304"/>
      <c r="MT35" s="304"/>
      <c r="MU35" s="304"/>
      <c r="MV35" s="304"/>
      <c r="MW35" s="304"/>
      <c r="MX35" s="304"/>
      <c r="MY35" s="304"/>
      <c r="MZ35" s="304"/>
      <c r="NA35" s="304"/>
      <c r="NB35" s="304"/>
      <c r="NC35" s="304"/>
      <c r="ND35" s="304"/>
      <c r="NE35" s="304"/>
      <c r="NF35" s="304"/>
      <c r="NG35" s="304"/>
      <c r="NH35" s="304"/>
      <c r="NI35" s="304"/>
    </row>
    <row r="36" spans="1:373" x14ac:dyDescent="0.2">
      <c r="A36" s="132" t="s">
        <v>739</v>
      </c>
      <c r="B36" s="133" t="s">
        <v>945</v>
      </c>
      <c r="C36" s="134"/>
      <c r="D36" s="242" t="s">
        <v>1289</v>
      </c>
      <c r="E36" s="242">
        <v>0</v>
      </c>
      <c r="F36" s="243" t="s">
        <v>1290</v>
      </c>
      <c r="G36" s="243" t="s">
        <v>1239</v>
      </c>
      <c r="H36" s="243" t="s">
        <v>961</v>
      </c>
      <c r="I36" s="243">
        <v>0</v>
      </c>
      <c r="J36" s="243">
        <v>0</v>
      </c>
      <c r="K36" s="243">
        <v>0</v>
      </c>
      <c r="L36" s="243" t="s">
        <v>1239</v>
      </c>
      <c r="M36" s="243">
        <v>0</v>
      </c>
      <c r="N36" s="243" t="s">
        <v>1218</v>
      </c>
      <c r="O36" s="243">
        <v>0</v>
      </c>
      <c r="P36" s="243">
        <v>0</v>
      </c>
      <c r="Q36" s="243">
        <v>0</v>
      </c>
      <c r="R36" s="135"/>
      <c r="S36" s="135"/>
      <c r="T36" s="135"/>
      <c r="U36" s="135"/>
      <c r="V36" s="135"/>
      <c r="W36" s="135">
        <v>0</v>
      </c>
      <c r="X36" s="135">
        <v>0</v>
      </c>
      <c r="Y36" s="135">
        <v>0</v>
      </c>
      <c r="Z36" s="136">
        <v>195.3</v>
      </c>
      <c r="AA36" s="136">
        <v>419</v>
      </c>
      <c r="AB36" s="136">
        <v>0</v>
      </c>
      <c r="AC36" s="137">
        <v>0</v>
      </c>
      <c r="AD36" s="137">
        <v>0</v>
      </c>
      <c r="AE36" s="138">
        <v>10</v>
      </c>
      <c r="AF36" s="138">
        <v>8</v>
      </c>
      <c r="AG36" s="138">
        <v>2</v>
      </c>
      <c r="AH36" s="139">
        <v>1</v>
      </c>
      <c r="AI36" s="139" t="s">
        <v>1387</v>
      </c>
      <c r="AJ36" s="138" t="s">
        <v>3644</v>
      </c>
      <c r="AK36" s="195" t="s">
        <v>1389</v>
      </c>
      <c r="AL36" s="138" t="s">
        <v>1316</v>
      </c>
      <c r="AM36" s="27" t="s">
        <v>1391</v>
      </c>
      <c r="AN36" s="138">
        <v>0.09</v>
      </c>
      <c r="AO36" s="140">
        <v>2.7777777777777777</v>
      </c>
      <c r="AP36" s="140">
        <v>2.7777777777777777</v>
      </c>
      <c r="AQ36" s="140">
        <v>2.7777777777777777</v>
      </c>
      <c r="AR36" s="138">
        <v>0</v>
      </c>
      <c r="AS36" s="138">
        <v>0</v>
      </c>
      <c r="AT36" s="198"/>
      <c r="AU36" s="198"/>
      <c r="AV36" s="198"/>
      <c r="AW36" s="211" t="s">
        <v>790</v>
      </c>
      <c r="AX36" s="211" t="s">
        <v>1324</v>
      </c>
      <c r="AY36" s="141"/>
      <c r="AZ36" s="141"/>
      <c r="BA36" s="142">
        <v>1</v>
      </c>
      <c r="BB36" s="142" t="s">
        <v>527</v>
      </c>
      <c r="BC36" s="142"/>
      <c r="BD36" s="142">
        <v>1</v>
      </c>
      <c r="BE36" s="143" t="s">
        <v>541</v>
      </c>
      <c r="BF36" s="144">
        <v>1</v>
      </c>
      <c r="BG36" s="145"/>
      <c r="BH36" s="212"/>
      <c r="BI36" s="213"/>
      <c r="BJ36" s="146">
        <v>1</v>
      </c>
      <c r="BK36" s="214">
        <v>2</v>
      </c>
      <c r="BL36" s="13">
        <v>1</v>
      </c>
      <c r="BM36" s="13">
        <v>0.5</v>
      </c>
      <c r="BN36" s="27" t="s">
        <v>1392</v>
      </c>
      <c r="BO36" s="13" t="s">
        <v>1392</v>
      </c>
      <c r="BP36" s="147">
        <v>3</v>
      </c>
      <c r="BQ36" s="148"/>
      <c r="BR36" s="149"/>
      <c r="BS36" s="138">
        <v>1000000000</v>
      </c>
      <c r="BT36" s="150">
        <v>1</v>
      </c>
      <c r="BU36" s="151">
        <v>0</v>
      </c>
      <c r="BV36" s="150">
        <v>0</v>
      </c>
      <c r="BW36" s="152">
        <v>0</v>
      </c>
      <c r="BX36" s="152">
        <v>0</v>
      </c>
      <c r="BY36" s="152">
        <v>0</v>
      </c>
      <c r="BZ36" s="150">
        <v>0</v>
      </c>
      <c r="CA36" s="150">
        <v>0</v>
      </c>
      <c r="CB36" s="150">
        <v>1</v>
      </c>
      <c r="CC36" s="151">
        <v>0</v>
      </c>
      <c r="CD36" s="150"/>
      <c r="CE36" s="150"/>
      <c r="CF36" s="153">
        <v>0</v>
      </c>
      <c r="CG36" s="154">
        <v>0</v>
      </c>
      <c r="CH36" s="148">
        <v>0</v>
      </c>
      <c r="CI36" s="155"/>
      <c r="CJ36" s="156" t="s">
        <v>1316</v>
      </c>
      <c r="CK36" s="157" t="s">
        <v>1316</v>
      </c>
      <c r="CL36" s="154">
        <v>0</v>
      </c>
      <c r="CM36" s="154">
        <v>0</v>
      </c>
      <c r="CN36" s="151">
        <v>0</v>
      </c>
      <c r="CO36" s="151">
        <v>5.49800307219662</v>
      </c>
      <c r="CP36" s="158"/>
      <c r="CQ36" s="151">
        <v>0</v>
      </c>
      <c r="CR36" s="199">
        <v>42930</v>
      </c>
      <c r="CS36" s="200">
        <v>43185</v>
      </c>
      <c r="CT36" s="201">
        <v>43255</v>
      </c>
      <c r="CU36" s="201">
        <v>43133</v>
      </c>
      <c r="CV36" s="201">
        <v>43168</v>
      </c>
      <c r="CW36" s="201">
        <v>43147</v>
      </c>
      <c r="CX36" s="201">
        <v>43189</v>
      </c>
      <c r="CY36" s="151">
        <v>0.32842646106734175</v>
      </c>
      <c r="CZ36" s="150">
        <v>0</v>
      </c>
      <c r="DA36" s="151">
        <v>0</v>
      </c>
      <c r="DB36" s="151">
        <v>0</v>
      </c>
      <c r="DC36" s="151">
        <v>0.78125</v>
      </c>
      <c r="DD36" s="151">
        <v>0</v>
      </c>
      <c r="DE36" s="159">
        <v>0.171875</v>
      </c>
      <c r="DF36" s="13" t="s">
        <v>1316</v>
      </c>
      <c r="DG36" s="85" t="s">
        <v>1316</v>
      </c>
      <c r="DH36" s="18" t="b">
        <v>0</v>
      </c>
      <c r="DI36" s="84"/>
      <c r="DJ36" s="84"/>
      <c r="DK36" s="215"/>
      <c r="DL36" s="194"/>
      <c r="DM36" s="216"/>
      <c r="DN36" s="151"/>
      <c r="DO36" s="84"/>
      <c r="DP36" s="84"/>
      <c r="DQ36" s="84"/>
      <c r="DR36" s="84"/>
      <c r="DS36" s="84"/>
      <c r="DT36" s="84"/>
      <c r="DU36" s="84"/>
      <c r="DV36" s="18"/>
      <c r="DW36" s="18"/>
      <c r="DX36" s="18"/>
      <c r="DY36" s="197"/>
      <c r="DZ36" s="197">
        <v>0</v>
      </c>
      <c r="EA36" s="197">
        <v>0</v>
      </c>
      <c r="EB36" s="197">
        <v>0</v>
      </c>
      <c r="EC36" s="197">
        <v>0</v>
      </c>
      <c r="ED36" s="197">
        <v>0</v>
      </c>
      <c r="EE36" s="197">
        <v>0</v>
      </c>
      <c r="EF36" s="197">
        <v>0</v>
      </c>
      <c r="EG36" s="219"/>
      <c r="EH36" s="224">
        <v>3</v>
      </c>
      <c r="EI36" s="224">
        <v>3</v>
      </c>
      <c r="EJ36" s="225">
        <v>3</v>
      </c>
      <c r="EK36" s="225">
        <v>3</v>
      </c>
      <c r="EL36" s="225">
        <v>3</v>
      </c>
      <c r="EM36" s="223">
        <v>1</v>
      </c>
      <c r="EN36" s="224">
        <v>1</v>
      </c>
      <c r="EO36" s="224">
        <v>1</v>
      </c>
      <c r="EP36" s="224">
        <v>1</v>
      </c>
      <c r="EQ36" s="222">
        <v>0</v>
      </c>
      <c r="ER36" s="222">
        <v>0</v>
      </c>
      <c r="ES36" s="222">
        <v>0</v>
      </c>
      <c r="ET36" s="222">
        <v>0</v>
      </c>
      <c r="EU36" s="224">
        <v>1</v>
      </c>
      <c r="EV36" s="224">
        <v>1</v>
      </c>
      <c r="EW36" s="224">
        <v>1</v>
      </c>
      <c r="EX36" s="224">
        <v>1</v>
      </c>
      <c r="EY36" s="224">
        <v>1</v>
      </c>
      <c r="EZ36" s="224">
        <v>1</v>
      </c>
      <c r="FA36" s="224">
        <v>1</v>
      </c>
      <c r="FB36" s="224">
        <v>1</v>
      </c>
      <c r="FC36" s="224">
        <v>1</v>
      </c>
      <c r="FD36" s="224">
        <v>1</v>
      </c>
      <c r="FE36" s="224">
        <v>1</v>
      </c>
      <c r="FF36" s="226">
        <v>2</v>
      </c>
      <c r="FG36" s="226">
        <v>2</v>
      </c>
      <c r="FH36" s="226">
        <v>2</v>
      </c>
      <c r="FI36" s="226">
        <v>2</v>
      </c>
      <c r="FJ36" s="226">
        <v>2</v>
      </c>
      <c r="FK36" s="226">
        <v>2</v>
      </c>
      <c r="FL36" s="226">
        <v>2</v>
      </c>
      <c r="FM36" s="226">
        <v>2</v>
      </c>
      <c r="FN36" s="226">
        <v>2</v>
      </c>
      <c r="FO36" s="226">
        <v>2</v>
      </c>
      <c r="FP36" s="226">
        <v>2</v>
      </c>
      <c r="FQ36" s="226">
        <v>2</v>
      </c>
      <c r="FR36" s="226">
        <v>2</v>
      </c>
      <c r="FS36" s="226">
        <v>2</v>
      </c>
      <c r="FT36" s="226">
        <v>2</v>
      </c>
      <c r="FU36" s="226">
        <v>2</v>
      </c>
      <c r="FV36" s="226">
        <v>2</v>
      </c>
      <c r="FW36" s="226">
        <v>2</v>
      </c>
      <c r="FX36" s="226">
        <v>2</v>
      </c>
      <c r="FY36" s="226">
        <v>2</v>
      </c>
      <c r="FZ36" s="226">
        <v>2</v>
      </c>
      <c r="GA36" s="226">
        <v>2</v>
      </c>
      <c r="GB36" s="226">
        <v>2</v>
      </c>
      <c r="GC36" s="226">
        <v>2</v>
      </c>
      <c r="GD36" s="226">
        <v>2</v>
      </c>
      <c r="GE36" s="247"/>
      <c r="GF36" s="226">
        <v>2</v>
      </c>
      <c r="GG36" s="226">
        <v>2</v>
      </c>
      <c r="GH36" s="226">
        <v>2</v>
      </c>
      <c r="GI36" s="226">
        <v>2</v>
      </c>
      <c r="GJ36" s="226">
        <v>2</v>
      </c>
      <c r="GK36" s="226">
        <v>2</v>
      </c>
      <c r="GL36" s="226">
        <v>2</v>
      </c>
      <c r="GM36" s="247"/>
      <c r="GN36" s="224">
        <v>1</v>
      </c>
      <c r="GO36" s="224">
        <v>1</v>
      </c>
      <c r="GP36" s="224">
        <v>1</v>
      </c>
      <c r="GQ36" s="224">
        <v>1</v>
      </c>
      <c r="GR36" s="224">
        <v>1</v>
      </c>
      <c r="GS36" s="224">
        <v>1</v>
      </c>
      <c r="GT36" s="224">
        <v>1</v>
      </c>
      <c r="GU36" s="224">
        <v>1</v>
      </c>
      <c r="GV36" s="224">
        <v>1</v>
      </c>
      <c r="GW36" s="224">
        <v>1</v>
      </c>
      <c r="GX36" s="224">
        <v>1</v>
      </c>
      <c r="GY36" s="224">
        <v>1</v>
      </c>
      <c r="GZ36" s="224">
        <v>1</v>
      </c>
      <c r="HA36" s="224">
        <v>1</v>
      </c>
      <c r="HB36" s="224">
        <v>1</v>
      </c>
      <c r="HC36" s="224">
        <v>1</v>
      </c>
      <c r="HD36" s="224">
        <v>1</v>
      </c>
      <c r="HE36" s="224">
        <v>1</v>
      </c>
      <c r="HF36" s="224">
        <v>1</v>
      </c>
      <c r="HG36" s="224">
        <v>1</v>
      </c>
      <c r="HH36" s="224">
        <v>1</v>
      </c>
      <c r="HI36" s="224">
        <v>1</v>
      </c>
      <c r="HJ36" s="224">
        <v>1</v>
      </c>
      <c r="HK36" s="224">
        <v>1</v>
      </c>
      <c r="HL36" s="224">
        <v>1</v>
      </c>
      <c r="HM36" s="224">
        <v>1</v>
      </c>
      <c r="HN36" s="224">
        <v>1</v>
      </c>
      <c r="HO36" s="224">
        <v>1</v>
      </c>
      <c r="HP36" s="224">
        <v>1</v>
      </c>
      <c r="HQ36" s="224">
        <v>1</v>
      </c>
      <c r="HR36" s="224">
        <v>1</v>
      </c>
      <c r="HS36" s="224">
        <v>1</v>
      </c>
      <c r="HT36" s="224">
        <v>1</v>
      </c>
      <c r="HU36" s="224">
        <v>1</v>
      </c>
      <c r="HV36" s="224">
        <v>1</v>
      </c>
      <c r="HW36" s="224">
        <v>1</v>
      </c>
      <c r="HX36" s="224">
        <v>1</v>
      </c>
      <c r="HY36" s="224">
        <v>1</v>
      </c>
      <c r="HZ36" s="224">
        <v>1</v>
      </c>
      <c r="IA36" s="224">
        <v>1</v>
      </c>
      <c r="IB36" s="224">
        <v>1</v>
      </c>
      <c r="IC36" s="224">
        <v>1</v>
      </c>
      <c r="ID36" s="224">
        <v>1</v>
      </c>
      <c r="IE36" s="224">
        <v>1</v>
      </c>
      <c r="IF36" s="224">
        <v>1</v>
      </c>
      <c r="IG36" s="224">
        <v>1</v>
      </c>
      <c r="IH36" s="224">
        <v>1</v>
      </c>
      <c r="II36" s="224">
        <v>1</v>
      </c>
      <c r="IJ36" s="247"/>
      <c r="IK36" s="224">
        <v>1</v>
      </c>
      <c r="IL36" s="224">
        <v>1</v>
      </c>
      <c r="IM36" s="247"/>
      <c r="IN36" s="247"/>
      <c r="IO36" s="247"/>
      <c r="IP36" s="247"/>
      <c r="IQ36" s="247"/>
      <c r="IR36" s="247"/>
      <c r="IS36" s="247"/>
      <c r="IT36" s="247"/>
      <c r="IU36" s="247"/>
      <c r="IV36" s="247"/>
      <c r="IW36" s="247"/>
      <c r="IX36" s="247"/>
      <c r="IY36" s="247"/>
      <c r="IZ36" s="247"/>
      <c r="JA36" s="247"/>
      <c r="JB36" s="247"/>
      <c r="JC36" s="247"/>
      <c r="JD36" s="247"/>
      <c r="JE36" s="247"/>
      <c r="JF36" s="247"/>
      <c r="JG36" s="247"/>
      <c r="JH36" s="247"/>
      <c r="JI36" s="247"/>
      <c r="JJ36" s="247"/>
      <c r="JK36" s="247"/>
      <c r="JL36" s="247"/>
      <c r="JM36" s="247"/>
      <c r="JN36" s="247"/>
      <c r="JO36" s="247"/>
      <c r="JP36" s="247"/>
      <c r="JQ36" s="247"/>
      <c r="JR36" s="247"/>
      <c r="JS36" s="247"/>
      <c r="JT36" s="247"/>
      <c r="JU36" s="247"/>
      <c r="JV36" s="247"/>
      <c r="JW36" s="247"/>
      <c r="JX36" s="247"/>
      <c r="JY36" s="247"/>
      <c r="JZ36" s="247"/>
      <c r="KA36" s="247"/>
      <c r="KB36" s="247"/>
      <c r="KC36" s="247"/>
      <c r="KD36" s="247"/>
      <c r="KE36" s="247"/>
      <c r="KF36" s="247"/>
      <c r="KG36" s="247"/>
      <c r="KH36" s="247"/>
      <c r="KI36" s="247"/>
      <c r="KJ36" s="247"/>
      <c r="KK36" s="247"/>
      <c r="KL36" s="247"/>
      <c r="KM36" s="247"/>
      <c r="KN36" s="247"/>
      <c r="KO36" s="247"/>
      <c r="KP36" s="247"/>
      <c r="KQ36" s="247"/>
      <c r="KR36" s="247"/>
      <c r="KS36" s="247"/>
      <c r="KT36" s="247"/>
      <c r="KU36" s="247"/>
      <c r="KV36" s="247"/>
      <c r="KW36" s="247"/>
      <c r="KX36" s="247"/>
      <c r="KY36" s="247"/>
      <c r="KZ36" s="247"/>
      <c r="LA36" s="247"/>
      <c r="LB36" s="247"/>
      <c r="LC36" s="247"/>
      <c r="LD36" s="247"/>
      <c r="LE36" s="247"/>
      <c r="LF36" s="247"/>
      <c r="LG36" s="247"/>
      <c r="LH36" s="247"/>
      <c r="LI36" s="247"/>
      <c r="LJ36" s="247"/>
      <c r="LK36" s="247"/>
      <c r="LL36" s="247"/>
      <c r="LM36" s="247"/>
      <c r="LN36" s="247"/>
      <c r="LO36" s="247"/>
      <c r="LP36" s="247"/>
      <c r="LQ36" s="247"/>
      <c r="LR36" s="247"/>
      <c r="LS36" s="247"/>
      <c r="LT36" s="247"/>
      <c r="LU36" s="247"/>
      <c r="LV36" s="247"/>
      <c r="LW36" s="247"/>
      <c r="LX36" s="247"/>
      <c r="LY36" s="247"/>
      <c r="LZ36" s="247"/>
      <c r="MA36" s="247"/>
      <c r="MB36" s="247"/>
      <c r="MC36" s="247"/>
      <c r="MD36" s="247"/>
      <c r="ME36" s="247"/>
      <c r="MF36" s="304"/>
      <c r="MG36" s="304"/>
      <c r="MH36" s="304"/>
      <c r="MI36" s="304"/>
      <c r="MJ36" s="304"/>
      <c r="MK36" s="304"/>
      <c r="ML36" s="304"/>
      <c r="MM36" s="304"/>
      <c r="MN36" s="304"/>
      <c r="MO36" s="304"/>
      <c r="MP36" s="304"/>
      <c r="MQ36" s="304"/>
      <c r="MR36" s="304"/>
      <c r="MS36" s="304"/>
      <c r="MT36" s="304"/>
      <c r="MU36" s="304"/>
      <c r="MV36" s="304"/>
      <c r="MW36" s="304"/>
      <c r="MX36" s="304"/>
      <c r="MY36" s="304"/>
      <c r="MZ36" s="304"/>
      <c r="NA36" s="304"/>
      <c r="NB36" s="304"/>
      <c r="NC36" s="304"/>
      <c r="ND36" s="304"/>
      <c r="NE36" s="304"/>
      <c r="NF36" s="304"/>
      <c r="NG36" s="304"/>
      <c r="NH36" s="304"/>
      <c r="NI36" s="304"/>
    </row>
    <row r="37" spans="1:373" x14ac:dyDescent="0.2">
      <c r="A37" s="132" t="s">
        <v>739</v>
      </c>
      <c r="B37" s="133" t="s">
        <v>1337</v>
      </c>
      <c r="C37" s="134"/>
      <c r="D37" s="242" t="s">
        <v>1356</v>
      </c>
      <c r="E37" s="242">
        <v>0</v>
      </c>
      <c r="F37" s="243" t="s">
        <v>1374</v>
      </c>
      <c r="G37" s="243" t="s">
        <v>1239</v>
      </c>
      <c r="H37" s="243" t="s">
        <v>961</v>
      </c>
      <c r="I37" s="243">
        <v>0</v>
      </c>
      <c r="J37" s="243">
        <v>0</v>
      </c>
      <c r="K37" s="243">
        <v>0</v>
      </c>
      <c r="L37" s="243" t="s">
        <v>1239</v>
      </c>
      <c r="M37" s="243">
        <v>0</v>
      </c>
      <c r="N37" s="243" t="s">
        <v>1217</v>
      </c>
      <c r="O37" s="243">
        <v>0</v>
      </c>
      <c r="P37" s="243">
        <v>0</v>
      </c>
      <c r="Q37" s="243">
        <v>0</v>
      </c>
      <c r="R37" s="135"/>
      <c r="S37" s="135"/>
      <c r="T37" s="135"/>
      <c r="U37" s="135"/>
      <c r="V37" s="135"/>
      <c r="W37" s="135">
        <v>0</v>
      </c>
      <c r="X37" s="135">
        <v>0</v>
      </c>
      <c r="Y37" s="135">
        <v>0</v>
      </c>
      <c r="Z37" s="136">
        <v>201.43</v>
      </c>
      <c r="AA37" s="136">
        <v>382.89</v>
      </c>
      <c r="AB37" s="136">
        <v>0</v>
      </c>
      <c r="AC37" s="137">
        <v>0</v>
      </c>
      <c r="AD37" s="137">
        <v>0</v>
      </c>
      <c r="AE37" s="138">
        <v>10</v>
      </c>
      <c r="AF37" s="138">
        <v>8</v>
      </c>
      <c r="AG37" s="138">
        <v>2</v>
      </c>
      <c r="AH37" s="139">
        <v>1</v>
      </c>
      <c r="AI37" s="139" t="s">
        <v>1387</v>
      </c>
      <c r="AJ37" s="138" t="s">
        <v>3639</v>
      </c>
      <c r="AK37" s="195" t="s">
        <v>3637</v>
      </c>
      <c r="AL37" s="138" t="s">
        <v>1316</v>
      </c>
      <c r="AM37" s="27" t="s">
        <v>1316</v>
      </c>
      <c r="AN37" s="138">
        <v>0.18</v>
      </c>
      <c r="AO37" s="140">
        <v>4.166666666666667</v>
      </c>
      <c r="AP37" s="140">
        <v>2.7777777777777777</v>
      </c>
      <c r="AQ37" s="140">
        <v>1.3888888888888888</v>
      </c>
      <c r="AR37" s="138">
        <v>0</v>
      </c>
      <c r="AS37" s="138">
        <v>0</v>
      </c>
      <c r="AT37" s="198"/>
      <c r="AU37" s="198"/>
      <c r="AV37" s="198"/>
      <c r="AW37" s="211" t="s">
        <v>790</v>
      </c>
      <c r="AX37" s="211" t="s">
        <v>1324</v>
      </c>
      <c r="AY37" s="141"/>
      <c r="AZ37" s="141"/>
      <c r="BA37" s="142">
        <v>1</v>
      </c>
      <c r="BB37" s="142" t="s">
        <v>527</v>
      </c>
      <c r="BC37" s="142"/>
      <c r="BD37" s="142">
        <v>1</v>
      </c>
      <c r="BE37" s="143" t="s">
        <v>541</v>
      </c>
      <c r="BF37" s="144">
        <v>1</v>
      </c>
      <c r="BG37" s="145"/>
      <c r="BH37" s="212"/>
      <c r="BI37" s="213"/>
      <c r="BJ37" s="146">
        <v>3</v>
      </c>
      <c r="BK37" s="214">
        <v>3</v>
      </c>
      <c r="BL37" s="13">
        <v>2</v>
      </c>
      <c r="BM37" s="13">
        <v>1</v>
      </c>
      <c r="BN37" s="27" t="s">
        <v>1393</v>
      </c>
      <c r="BO37" s="13" t="s">
        <v>1392</v>
      </c>
      <c r="BP37" s="147">
        <v>4</v>
      </c>
      <c r="BQ37" s="148"/>
      <c r="BR37" s="149"/>
      <c r="BS37" s="138">
        <v>1000000000</v>
      </c>
      <c r="BT37" s="150">
        <v>1</v>
      </c>
      <c r="BU37" s="151">
        <v>0.67</v>
      </c>
      <c r="BV37" s="150">
        <v>1</v>
      </c>
      <c r="BW37" s="152">
        <v>0</v>
      </c>
      <c r="BX37" s="152">
        <v>0</v>
      </c>
      <c r="BY37" s="152">
        <v>0</v>
      </c>
      <c r="BZ37" s="150">
        <v>0</v>
      </c>
      <c r="CA37" s="150">
        <v>0</v>
      </c>
      <c r="CB37" s="150">
        <v>2</v>
      </c>
      <c r="CC37" s="151">
        <v>0.33</v>
      </c>
      <c r="CD37" s="150"/>
      <c r="CE37" s="150"/>
      <c r="CF37" s="153">
        <v>1</v>
      </c>
      <c r="CG37" s="154">
        <v>1</v>
      </c>
      <c r="CH37" s="148">
        <v>0</v>
      </c>
      <c r="CI37" s="155"/>
      <c r="CJ37" s="156" t="s">
        <v>1316</v>
      </c>
      <c r="CK37" s="157" t="s">
        <v>1316</v>
      </c>
      <c r="CL37" s="154">
        <v>0</v>
      </c>
      <c r="CM37" s="154">
        <v>0</v>
      </c>
      <c r="CN37" s="151">
        <v>0</v>
      </c>
      <c r="CO37" s="151">
        <v>4.3241225239537311</v>
      </c>
      <c r="CP37" s="158"/>
      <c r="CQ37" s="151">
        <v>1</v>
      </c>
      <c r="CR37" s="199">
        <v>42872</v>
      </c>
      <c r="CS37" s="200">
        <v>43185</v>
      </c>
      <c r="CT37" s="201">
        <v>43255</v>
      </c>
      <c r="CU37" s="201">
        <v>43195</v>
      </c>
      <c r="CV37" s="201">
        <v>43179</v>
      </c>
      <c r="CW37" s="201">
        <v>43209</v>
      </c>
      <c r="CX37" s="201">
        <v>43251</v>
      </c>
      <c r="CY37" s="151">
        <v>0.32842646106734175</v>
      </c>
      <c r="CZ37" s="150">
        <v>0</v>
      </c>
      <c r="DA37" s="151">
        <v>0</v>
      </c>
      <c r="DB37" s="151">
        <v>0.78125</v>
      </c>
      <c r="DC37" s="151">
        <v>0.171875</v>
      </c>
      <c r="DD37" s="151">
        <v>0</v>
      </c>
      <c r="DE37" s="159">
        <v>0</v>
      </c>
      <c r="DF37" s="13" t="s">
        <v>1316</v>
      </c>
      <c r="DG37" s="85" t="s">
        <v>1394</v>
      </c>
      <c r="DH37" s="18" t="b">
        <v>0</v>
      </c>
      <c r="DI37" s="84"/>
      <c r="DJ37" s="84"/>
      <c r="DK37" s="215"/>
      <c r="DL37" s="194"/>
      <c r="DM37" s="216"/>
      <c r="DN37" s="151"/>
      <c r="DO37" s="84"/>
      <c r="DP37" s="84"/>
      <c r="DQ37" s="84"/>
      <c r="DR37" s="84"/>
      <c r="DS37" s="84"/>
      <c r="DT37" s="84"/>
      <c r="DU37" s="84"/>
      <c r="DV37" s="18"/>
      <c r="DW37" s="18"/>
      <c r="DX37" s="18"/>
      <c r="DY37" s="197"/>
      <c r="DZ37" s="197">
        <v>0</v>
      </c>
      <c r="EA37" s="197">
        <v>0</v>
      </c>
      <c r="EB37" s="197">
        <v>0</v>
      </c>
      <c r="EC37" s="197">
        <v>0</v>
      </c>
      <c r="ED37" s="197">
        <v>0</v>
      </c>
      <c r="EE37" s="197">
        <v>0</v>
      </c>
      <c r="EF37" s="197">
        <v>1</v>
      </c>
      <c r="EG37" s="221"/>
      <c r="EH37" s="250">
        <v>2</v>
      </c>
      <c r="EI37" s="253">
        <v>0</v>
      </c>
      <c r="EJ37" s="253">
        <v>0</v>
      </c>
      <c r="EK37" s="253">
        <v>0</v>
      </c>
      <c r="EL37" s="253">
        <v>0</v>
      </c>
      <c r="EM37" s="248">
        <v>3</v>
      </c>
      <c r="EN37" s="249">
        <v>1</v>
      </c>
      <c r="EO37" s="253">
        <v>0</v>
      </c>
      <c r="EP37" s="253">
        <v>0</v>
      </c>
      <c r="EQ37" s="250">
        <v>2</v>
      </c>
      <c r="ER37" s="249">
        <v>1</v>
      </c>
      <c r="ES37" s="253">
        <v>0</v>
      </c>
      <c r="ET37" s="253">
        <v>0</v>
      </c>
      <c r="EU37" s="249">
        <v>1</v>
      </c>
      <c r="EV37" s="249">
        <v>1</v>
      </c>
      <c r="EW37" s="249">
        <v>1</v>
      </c>
      <c r="EX37" s="249">
        <v>1</v>
      </c>
      <c r="EY37" s="249">
        <v>1</v>
      </c>
      <c r="EZ37" s="249">
        <v>1</v>
      </c>
      <c r="FA37" s="249">
        <v>1</v>
      </c>
      <c r="FB37" s="248">
        <v>3</v>
      </c>
      <c r="FC37" s="250">
        <v>2</v>
      </c>
      <c r="FD37" s="250">
        <v>2</v>
      </c>
      <c r="FE37" s="250">
        <v>2</v>
      </c>
      <c r="FF37" s="252">
        <v>4</v>
      </c>
      <c r="FG37" s="252">
        <v>4</v>
      </c>
      <c r="FH37" s="250">
        <v>2</v>
      </c>
      <c r="FI37" s="250">
        <v>2</v>
      </c>
      <c r="FJ37" s="250">
        <v>2</v>
      </c>
      <c r="FK37" s="250">
        <v>2</v>
      </c>
      <c r="FL37" s="250">
        <v>2</v>
      </c>
      <c r="FM37" s="250">
        <v>2</v>
      </c>
      <c r="FN37" s="250">
        <v>2</v>
      </c>
      <c r="FO37" s="250">
        <v>2</v>
      </c>
      <c r="FP37" s="250">
        <v>2</v>
      </c>
      <c r="FQ37" s="250">
        <v>2</v>
      </c>
      <c r="FR37" s="250">
        <v>2</v>
      </c>
      <c r="FS37" s="250">
        <v>2</v>
      </c>
      <c r="FT37" s="250">
        <v>2</v>
      </c>
      <c r="FU37" s="250">
        <v>2</v>
      </c>
      <c r="FV37" s="250">
        <v>2</v>
      </c>
      <c r="FW37" s="250">
        <v>2</v>
      </c>
      <c r="FX37" s="250">
        <v>2</v>
      </c>
      <c r="FY37" s="250">
        <v>2</v>
      </c>
      <c r="FZ37" s="250">
        <v>2</v>
      </c>
      <c r="GA37" s="250">
        <v>2</v>
      </c>
      <c r="GB37" s="250">
        <v>2</v>
      </c>
      <c r="GC37" s="250">
        <v>2</v>
      </c>
      <c r="GD37" s="250">
        <v>2</v>
      </c>
      <c r="GE37" s="221"/>
      <c r="GF37" s="250">
        <v>2</v>
      </c>
      <c r="GG37" s="250">
        <v>2</v>
      </c>
      <c r="GH37" s="250">
        <v>2</v>
      </c>
      <c r="GI37" s="250">
        <v>2</v>
      </c>
      <c r="GJ37" s="250">
        <v>2</v>
      </c>
      <c r="GK37" s="250">
        <v>2</v>
      </c>
      <c r="GL37" s="250">
        <v>2</v>
      </c>
      <c r="GM37" s="221"/>
      <c r="GN37" s="249">
        <v>1</v>
      </c>
      <c r="GO37" s="249">
        <v>1</v>
      </c>
      <c r="GP37" s="249">
        <v>1</v>
      </c>
      <c r="GQ37" s="249">
        <v>1</v>
      </c>
      <c r="GR37" s="249">
        <v>1</v>
      </c>
      <c r="GS37" s="249">
        <v>1</v>
      </c>
      <c r="GT37" s="249">
        <v>1</v>
      </c>
      <c r="GU37" s="249">
        <v>1</v>
      </c>
      <c r="GV37" s="249">
        <v>1</v>
      </c>
      <c r="GW37" s="249">
        <v>1</v>
      </c>
      <c r="GX37" s="249">
        <v>1</v>
      </c>
      <c r="GY37" s="249">
        <v>1</v>
      </c>
      <c r="GZ37" s="249">
        <v>1</v>
      </c>
      <c r="HA37" s="249">
        <v>1</v>
      </c>
      <c r="HB37" s="249">
        <v>1</v>
      </c>
      <c r="HC37" s="249">
        <v>1</v>
      </c>
      <c r="HD37" s="249">
        <v>1</v>
      </c>
      <c r="HE37" s="249">
        <v>1</v>
      </c>
      <c r="HF37" s="249">
        <v>1</v>
      </c>
      <c r="HG37" s="249">
        <v>1</v>
      </c>
      <c r="HH37" s="249">
        <v>1</v>
      </c>
      <c r="HI37" s="249">
        <v>1</v>
      </c>
      <c r="HJ37" s="249">
        <v>1</v>
      </c>
      <c r="HK37" s="249">
        <v>1</v>
      </c>
      <c r="HL37" s="249">
        <v>1</v>
      </c>
      <c r="HM37" s="249">
        <v>1</v>
      </c>
      <c r="HN37" s="249">
        <v>1</v>
      </c>
      <c r="HO37" s="249">
        <v>1</v>
      </c>
      <c r="HP37" s="249">
        <v>1</v>
      </c>
      <c r="HQ37" s="249">
        <v>1</v>
      </c>
      <c r="HR37" s="249">
        <v>1</v>
      </c>
      <c r="HS37" s="249">
        <v>1</v>
      </c>
      <c r="HT37" s="249">
        <v>1</v>
      </c>
      <c r="HU37" s="249">
        <v>1</v>
      </c>
      <c r="HV37" s="249">
        <v>1</v>
      </c>
      <c r="HW37" s="249">
        <v>1</v>
      </c>
      <c r="HX37" s="249">
        <v>1</v>
      </c>
      <c r="HY37" s="249">
        <v>1</v>
      </c>
      <c r="HZ37" s="249">
        <v>1</v>
      </c>
      <c r="IA37" s="249">
        <v>1</v>
      </c>
      <c r="IB37" s="249">
        <v>1</v>
      </c>
      <c r="IC37" s="249">
        <v>1</v>
      </c>
      <c r="ID37" s="249">
        <v>1</v>
      </c>
      <c r="IE37" s="249">
        <v>1</v>
      </c>
      <c r="IF37" s="249">
        <v>1</v>
      </c>
      <c r="IG37" s="249">
        <v>1</v>
      </c>
      <c r="IH37" s="249">
        <v>1</v>
      </c>
      <c r="II37" s="249">
        <v>1</v>
      </c>
      <c r="IJ37" s="221"/>
      <c r="IK37" s="249">
        <v>1</v>
      </c>
      <c r="IL37" s="249">
        <v>1</v>
      </c>
      <c r="IM37" s="221"/>
      <c r="IN37" s="221"/>
      <c r="IO37" s="221"/>
      <c r="IP37" s="221"/>
      <c r="IQ37" s="221"/>
      <c r="IR37" s="221"/>
      <c r="IS37" s="221"/>
      <c r="IT37" s="221"/>
      <c r="IU37" s="221"/>
      <c r="IV37" s="221"/>
      <c r="IW37" s="221"/>
      <c r="IX37" s="221"/>
      <c r="IY37" s="221"/>
      <c r="IZ37" s="221"/>
      <c r="JA37" s="221"/>
      <c r="JB37" s="221"/>
      <c r="JC37" s="221"/>
      <c r="JD37" s="221"/>
      <c r="JE37" s="221"/>
      <c r="JF37" s="221"/>
      <c r="JG37" s="221"/>
      <c r="JH37" s="221"/>
      <c r="JI37" s="221"/>
      <c r="JJ37" s="221"/>
      <c r="JK37" s="221"/>
      <c r="JL37" s="221"/>
      <c r="JM37" s="221"/>
      <c r="JN37" s="221"/>
      <c r="JO37" s="221"/>
      <c r="JP37" s="221"/>
      <c r="JQ37" s="221"/>
      <c r="JR37" s="221"/>
      <c r="JS37" s="221"/>
      <c r="JT37" s="221"/>
      <c r="JU37" s="221"/>
      <c r="JV37" s="221"/>
      <c r="JW37" s="221"/>
      <c r="JX37" s="221"/>
      <c r="JY37" s="221"/>
      <c r="JZ37" s="221"/>
      <c r="KA37" s="221"/>
      <c r="KB37" s="221"/>
      <c r="KC37" s="221"/>
      <c r="KD37" s="221"/>
      <c r="KE37" s="221"/>
      <c r="KF37" s="221"/>
      <c r="KG37" s="221"/>
      <c r="KH37" s="221"/>
      <c r="KI37" s="221"/>
      <c r="KJ37" s="221"/>
      <c r="KK37" s="221"/>
      <c r="KL37" s="221"/>
      <c r="KM37" s="221"/>
      <c r="KN37" s="221"/>
      <c r="KO37" s="221"/>
      <c r="KP37" s="221"/>
      <c r="KQ37" s="221"/>
      <c r="KR37" s="221"/>
      <c r="KS37" s="221"/>
      <c r="KT37" s="221"/>
      <c r="KU37" s="221"/>
      <c r="KV37" s="221"/>
      <c r="KW37" s="221"/>
      <c r="KX37" s="221"/>
      <c r="KY37" s="221"/>
      <c r="KZ37" s="221"/>
      <c r="LA37" s="221"/>
      <c r="LB37" s="221"/>
      <c r="LC37" s="221"/>
      <c r="LD37" s="221"/>
      <c r="LE37" s="221"/>
      <c r="LF37" s="221"/>
      <c r="LG37" s="221"/>
      <c r="LH37" s="221"/>
      <c r="LI37" s="221"/>
      <c r="LJ37" s="221"/>
      <c r="LK37" s="221"/>
      <c r="LL37" s="221"/>
      <c r="LM37" s="221"/>
      <c r="LN37" s="221"/>
      <c r="LO37" s="221"/>
      <c r="LP37" s="221"/>
      <c r="LQ37" s="221"/>
      <c r="LR37" s="221"/>
      <c r="LS37" s="221"/>
      <c r="LT37" s="221"/>
      <c r="LU37" s="221"/>
      <c r="LV37" s="221"/>
      <c r="LW37" s="221"/>
      <c r="LX37" s="221"/>
      <c r="LY37" s="221"/>
      <c r="LZ37" s="221"/>
      <c r="MA37" s="221"/>
      <c r="MB37" s="221"/>
      <c r="MC37" s="221"/>
      <c r="MD37" s="221"/>
      <c r="ME37" s="221"/>
      <c r="MF37" s="305"/>
      <c r="MG37" s="305"/>
      <c r="MH37" s="305"/>
      <c r="MI37" s="305"/>
      <c r="MJ37" s="305"/>
      <c r="MK37" s="305"/>
      <c r="ML37" s="305"/>
      <c r="MM37" s="305"/>
      <c r="MN37" s="305"/>
      <c r="MO37" s="305"/>
      <c r="MP37" s="305"/>
      <c r="MQ37" s="305"/>
      <c r="MR37" s="305"/>
      <c r="MS37" s="305"/>
      <c r="MT37" s="305"/>
      <c r="MU37" s="305"/>
      <c r="MV37" s="305"/>
      <c r="MW37" s="305"/>
      <c r="MX37" s="305"/>
      <c r="MY37" s="305"/>
      <c r="MZ37" s="305"/>
      <c r="NA37" s="305"/>
      <c r="NB37" s="305"/>
      <c r="NC37" s="305"/>
      <c r="ND37" s="305"/>
      <c r="NE37" s="305"/>
      <c r="NF37" s="305"/>
      <c r="NG37" s="305"/>
      <c r="NH37" s="305"/>
      <c r="NI37" s="305"/>
    </row>
    <row r="38" spans="1:373" x14ac:dyDescent="0.2">
      <c r="A38" s="132" t="s">
        <v>739</v>
      </c>
      <c r="B38" s="133" t="s">
        <v>946</v>
      </c>
      <c r="C38" s="134"/>
      <c r="D38" s="242" t="s">
        <v>1300</v>
      </c>
      <c r="E38" s="242">
        <v>0</v>
      </c>
      <c r="F38" s="243" t="s">
        <v>1301</v>
      </c>
      <c r="G38" s="243" t="s">
        <v>960</v>
      </c>
      <c r="H38" s="243" t="s">
        <v>961</v>
      </c>
      <c r="I38" s="243">
        <v>0</v>
      </c>
      <c r="J38" s="243">
        <v>0</v>
      </c>
      <c r="K38" s="243">
        <v>0</v>
      </c>
      <c r="L38" s="243" t="s">
        <v>1219</v>
      </c>
      <c r="M38" s="243">
        <v>0</v>
      </c>
      <c r="N38" s="243" t="s">
        <v>1217</v>
      </c>
      <c r="O38" s="243">
        <v>0</v>
      </c>
      <c r="P38" s="243">
        <v>0</v>
      </c>
      <c r="Q38" s="243">
        <v>0</v>
      </c>
      <c r="R38" s="135"/>
      <c r="S38" s="135"/>
      <c r="T38" s="135"/>
      <c r="U38" s="135"/>
      <c r="V38" s="135"/>
      <c r="W38" s="135">
        <v>0</v>
      </c>
      <c r="X38" s="135">
        <v>0</v>
      </c>
      <c r="Y38" s="135">
        <v>0</v>
      </c>
      <c r="Z38" s="136">
        <v>203.59</v>
      </c>
      <c r="AA38" s="136">
        <v>338.78</v>
      </c>
      <c r="AB38" s="136">
        <v>0</v>
      </c>
      <c r="AC38" s="137">
        <v>0</v>
      </c>
      <c r="AD38" s="137">
        <v>0</v>
      </c>
      <c r="AE38" s="138">
        <v>10</v>
      </c>
      <c r="AF38" s="138">
        <v>8</v>
      </c>
      <c r="AG38" s="138">
        <v>2</v>
      </c>
      <c r="AH38" s="139">
        <v>1</v>
      </c>
      <c r="AI38" s="139" t="s">
        <v>1316</v>
      </c>
      <c r="AJ38" s="138" t="s">
        <v>3581</v>
      </c>
      <c r="AK38" s="195" t="s">
        <v>1316</v>
      </c>
      <c r="AL38" s="138" t="s">
        <v>1316</v>
      </c>
      <c r="AM38" s="27" t="s">
        <v>1316</v>
      </c>
      <c r="AN38" s="138">
        <v>0</v>
      </c>
      <c r="AO38" s="140">
        <v>0</v>
      </c>
      <c r="AP38" s="140">
        <v>0</v>
      </c>
      <c r="AQ38" s="140">
        <v>0</v>
      </c>
      <c r="AR38" s="138">
        <v>0</v>
      </c>
      <c r="AS38" s="138">
        <v>0</v>
      </c>
      <c r="AT38" s="198"/>
      <c r="AU38" s="198"/>
      <c r="AV38" s="198"/>
      <c r="AW38" s="211" t="s">
        <v>790</v>
      </c>
      <c r="AX38" s="211" t="s">
        <v>1324</v>
      </c>
      <c r="AY38" s="141"/>
      <c r="AZ38" s="141"/>
      <c r="BA38" s="142">
        <v>1</v>
      </c>
      <c r="BB38" s="142" t="s">
        <v>527</v>
      </c>
      <c r="BC38" s="142"/>
      <c r="BD38" s="142">
        <v>2</v>
      </c>
      <c r="BE38" s="143" t="s">
        <v>541</v>
      </c>
      <c r="BF38" s="144">
        <v>1</v>
      </c>
      <c r="BG38" s="145"/>
      <c r="BH38" s="212"/>
      <c r="BI38" s="213"/>
      <c r="BJ38" s="146">
        <v>0</v>
      </c>
      <c r="BK38" s="214">
        <v>0</v>
      </c>
      <c r="BL38" s="13">
        <v>0</v>
      </c>
      <c r="BM38" s="13">
        <v>0</v>
      </c>
      <c r="BN38" s="27" t="s">
        <v>1317</v>
      </c>
      <c r="BO38" s="13" t="s">
        <v>1317</v>
      </c>
      <c r="BP38" s="147">
        <v>6</v>
      </c>
      <c r="BQ38" s="148"/>
      <c r="BR38" s="149"/>
      <c r="BS38" s="138">
        <v>1000000000</v>
      </c>
      <c r="BT38" s="150">
        <v>0</v>
      </c>
      <c r="BU38" s="151">
        <v>0</v>
      </c>
      <c r="BV38" s="150">
        <v>0</v>
      </c>
      <c r="BW38" s="152">
        <v>0</v>
      </c>
      <c r="BX38" s="152">
        <v>0</v>
      </c>
      <c r="BY38" s="152">
        <v>0</v>
      </c>
      <c r="BZ38" s="150">
        <v>0</v>
      </c>
      <c r="CA38" s="150">
        <v>0</v>
      </c>
      <c r="CB38" s="150">
        <v>0</v>
      </c>
      <c r="CC38" s="151">
        <v>0</v>
      </c>
      <c r="CD38" s="150"/>
      <c r="CE38" s="150"/>
      <c r="CF38" s="153">
        <v>0</v>
      </c>
      <c r="CG38" s="154">
        <v>0</v>
      </c>
      <c r="CH38" s="148">
        <v>0</v>
      </c>
      <c r="CI38" s="155"/>
      <c r="CJ38" s="156" t="s">
        <v>1316</v>
      </c>
      <c r="CK38" s="157" t="s">
        <v>1316</v>
      </c>
      <c r="CL38" s="154">
        <v>0</v>
      </c>
      <c r="CM38" s="154">
        <v>0</v>
      </c>
      <c r="CN38" s="151">
        <v>0</v>
      </c>
      <c r="CO38" s="151">
        <v>0</v>
      </c>
      <c r="CP38" s="158"/>
      <c r="CQ38" s="151">
        <v>0.25</v>
      </c>
      <c r="CR38" s="199">
        <v>42993</v>
      </c>
      <c r="CS38" s="200">
        <v>43185</v>
      </c>
      <c r="CT38" s="201">
        <v>43255</v>
      </c>
      <c r="CU38" s="201">
        <v>42941</v>
      </c>
      <c r="CV38" s="201">
        <v>42957</v>
      </c>
      <c r="CW38" s="201">
        <v>42955</v>
      </c>
      <c r="CX38" s="201">
        <v>42997</v>
      </c>
      <c r="CY38" s="151">
        <v>1</v>
      </c>
      <c r="CZ38" s="150">
        <v>0</v>
      </c>
      <c r="DA38" s="151">
        <v>0.953125</v>
      </c>
      <c r="DB38" s="151">
        <v>0</v>
      </c>
      <c r="DC38" s="151">
        <v>0</v>
      </c>
      <c r="DD38" s="151">
        <v>0</v>
      </c>
      <c r="DE38" s="159">
        <v>0</v>
      </c>
      <c r="DF38" s="13" t="s">
        <v>1316</v>
      </c>
      <c r="DG38" s="85" t="s">
        <v>1316</v>
      </c>
      <c r="DH38" s="18" t="b">
        <v>0</v>
      </c>
      <c r="DI38" s="84"/>
      <c r="DJ38" s="84"/>
      <c r="DK38" s="215"/>
      <c r="DL38" s="194"/>
      <c r="DM38" s="216"/>
      <c r="DN38" s="151"/>
      <c r="DO38" s="84"/>
      <c r="DP38" s="84"/>
      <c r="DQ38" s="84"/>
      <c r="DR38" s="84"/>
      <c r="DS38" s="84"/>
      <c r="DT38" s="84"/>
      <c r="DU38" s="84"/>
      <c r="DV38" s="18"/>
      <c r="DW38" s="18"/>
      <c r="DX38" s="18"/>
      <c r="DY38" s="197"/>
      <c r="DZ38" s="197">
        <v>0</v>
      </c>
      <c r="EA38" s="197">
        <v>0</v>
      </c>
      <c r="EB38" s="197">
        <v>0</v>
      </c>
      <c r="EC38" s="197">
        <v>0</v>
      </c>
      <c r="ED38" s="197">
        <v>0</v>
      </c>
      <c r="EE38" s="197">
        <v>0</v>
      </c>
      <c r="EF38" s="197">
        <v>0</v>
      </c>
      <c r="EG38" s="219"/>
      <c r="EH38" s="222">
        <v>0</v>
      </c>
      <c r="EI38" s="222">
        <v>0</v>
      </c>
      <c r="EJ38" s="223">
        <v>1</v>
      </c>
      <c r="EK38" s="223">
        <v>1</v>
      </c>
      <c r="EL38" s="223">
        <v>1</v>
      </c>
      <c r="EM38" s="224">
        <v>4</v>
      </c>
      <c r="EN38" s="223">
        <v>1</v>
      </c>
      <c r="EO38" s="222">
        <v>0</v>
      </c>
      <c r="EP38" s="218">
        <v>0</v>
      </c>
      <c r="EQ38" s="218">
        <v>0</v>
      </c>
      <c r="ER38" s="218">
        <v>0</v>
      </c>
      <c r="ES38" s="218">
        <v>0</v>
      </c>
      <c r="ET38" s="218">
        <v>0</v>
      </c>
      <c r="EU38" s="218">
        <v>0</v>
      </c>
      <c r="EV38" s="218">
        <v>0</v>
      </c>
      <c r="EW38" s="218">
        <v>0</v>
      </c>
      <c r="EX38" s="218">
        <v>0</v>
      </c>
      <c r="EY38" s="218">
        <v>0</v>
      </c>
      <c r="EZ38" s="218">
        <v>0</v>
      </c>
      <c r="FA38" s="218">
        <v>0</v>
      </c>
      <c r="FB38" s="218">
        <v>0</v>
      </c>
      <c r="FC38" s="218">
        <v>0</v>
      </c>
      <c r="FD38" s="218">
        <v>0</v>
      </c>
      <c r="FE38" s="218">
        <v>0</v>
      </c>
      <c r="FF38" s="218">
        <v>0</v>
      </c>
      <c r="FG38" s="218">
        <v>0</v>
      </c>
      <c r="FH38" s="218">
        <v>0</v>
      </c>
      <c r="FI38" s="218">
        <v>0</v>
      </c>
      <c r="FJ38" s="218">
        <v>0</v>
      </c>
      <c r="FK38" s="218">
        <v>0</v>
      </c>
      <c r="FL38" s="218">
        <v>0</v>
      </c>
      <c r="FM38" s="218">
        <v>0</v>
      </c>
      <c r="FN38" s="218">
        <v>0</v>
      </c>
      <c r="FO38" s="218">
        <v>0</v>
      </c>
      <c r="FP38" s="218">
        <v>0</v>
      </c>
      <c r="FQ38" s="218">
        <v>0</v>
      </c>
      <c r="FR38" s="218">
        <v>0</v>
      </c>
      <c r="FS38" s="218">
        <v>0</v>
      </c>
      <c r="FT38" s="218">
        <v>0</v>
      </c>
      <c r="FU38" s="218">
        <v>0</v>
      </c>
      <c r="FV38" s="218">
        <v>0</v>
      </c>
      <c r="FW38" s="218">
        <v>0</v>
      </c>
      <c r="FX38" s="218">
        <v>0</v>
      </c>
      <c r="FY38" s="218">
        <v>0</v>
      </c>
      <c r="FZ38" s="218">
        <v>0</v>
      </c>
      <c r="GA38" s="218">
        <v>0</v>
      </c>
      <c r="GB38" s="218">
        <v>0</v>
      </c>
      <c r="GC38" s="218">
        <v>0</v>
      </c>
      <c r="GD38" s="218">
        <v>0</v>
      </c>
      <c r="GE38" s="247"/>
      <c r="GF38" s="218">
        <v>0</v>
      </c>
      <c r="GG38" s="218">
        <v>0</v>
      </c>
      <c r="GH38" s="218">
        <v>0</v>
      </c>
      <c r="GI38" s="218">
        <v>0</v>
      </c>
      <c r="GJ38" s="218">
        <v>0</v>
      </c>
      <c r="GK38" s="218">
        <v>0</v>
      </c>
      <c r="GL38" s="218">
        <v>0</v>
      </c>
      <c r="GM38" s="247"/>
      <c r="GN38" s="218">
        <v>0</v>
      </c>
      <c r="GO38" s="218">
        <v>0</v>
      </c>
      <c r="GP38" s="218">
        <v>0</v>
      </c>
      <c r="GQ38" s="218">
        <v>0</v>
      </c>
      <c r="GR38" s="218">
        <v>0</v>
      </c>
      <c r="GS38" s="218">
        <v>0</v>
      </c>
      <c r="GT38" s="218">
        <v>0</v>
      </c>
      <c r="GU38" s="218">
        <v>0</v>
      </c>
      <c r="GV38" s="218">
        <v>0</v>
      </c>
      <c r="GW38" s="218">
        <v>0</v>
      </c>
      <c r="GX38" s="218">
        <v>0</v>
      </c>
      <c r="GY38" s="218">
        <v>0</v>
      </c>
      <c r="GZ38" s="218">
        <v>0</v>
      </c>
      <c r="HA38" s="218">
        <v>0</v>
      </c>
      <c r="HB38" s="218">
        <v>0</v>
      </c>
      <c r="HC38" s="218">
        <v>0</v>
      </c>
      <c r="HD38" s="218">
        <v>0</v>
      </c>
      <c r="HE38" s="218">
        <v>0</v>
      </c>
      <c r="HF38" s="218">
        <v>0</v>
      </c>
      <c r="HG38" s="218">
        <v>0</v>
      </c>
      <c r="HH38" s="218">
        <v>0</v>
      </c>
      <c r="HI38" s="218">
        <v>0</v>
      </c>
      <c r="HJ38" s="218">
        <v>0</v>
      </c>
      <c r="HK38" s="218">
        <v>0</v>
      </c>
      <c r="HL38" s="218">
        <v>0</v>
      </c>
      <c r="HM38" s="218">
        <v>0</v>
      </c>
      <c r="HN38" s="218">
        <v>0</v>
      </c>
      <c r="HO38" s="218">
        <v>0</v>
      </c>
      <c r="HP38" s="218">
        <v>0</v>
      </c>
      <c r="HQ38" s="218">
        <v>0</v>
      </c>
      <c r="HR38" s="218">
        <v>0</v>
      </c>
      <c r="HS38" s="218">
        <v>0</v>
      </c>
      <c r="HT38" s="218">
        <v>0</v>
      </c>
      <c r="HU38" s="218">
        <v>0</v>
      </c>
      <c r="HV38" s="218">
        <v>0</v>
      </c>
      <c r="HW38" s="218">
        <v>0</v>
      </c>
      <c r="HX38" s="218">
        <v>0</v>
      </c>
      <c r="HY38" s="218">
        <v>0</v>
      </c>
      <c r="HZ38" s="218">
        <v>0</v>
      </c>
      <c r="IA38" s="218">
        <v>0</v>
      </c>
      <c r="IB38" s="218">
        <v>0</v>
      </c>
      <c r="IC38" s="218">
        <v>0</v>
      </c>
      <c r="ID38" s="218">
        <v>0</v>
      </c>
      <c r="IE38" s="218">
        <v>0</v>
      </c>
      <c r="IF38" s="218">
        <v>0</v>
      </c>
      <c r="IG38" s="218">
        <v>0</v>
      </c>
      <c r="IH38" s="218">
        <v>0</v>
      </c>
      <c r="II38" s="218">
        <v>0</v>
      </c>
      <c r="IJ38" s="247"/>
      <c r="IK38" s="218">
        <v>0</v>
      </c>
      <c r="IL38" s="218">
        <v>0</v>
      </c>
      <c r="IM38" s="247"/>
      <c r="IN38" s="247"/>
      <c r="IO38" s="247"/>
      <c r="IP38" s="247"/>
      <c r="IQ38" s="247"/>
      <c r="IR38" s="247"/>
      <c r="IS38" s="247"/>
      <c r="IT38" s="247"/>
      <c r="IU38" s="247"/>
      <c r="IV38" s="247"/>
      <c r="IW38" s="247"/>
      <c r="IX38" s="247"/>
      <c r="IY38" s="247"/>
      <c r="IZ38" s="247"/>
      <c r="JA38" s="247"/>
      <c r="JB38" s="247"/>
      <c r="JC38" s="247"/>
      <c r="JD38" s="247"/>
      <c r="JE38" s="247"/>
      <c r="JF38" s="247"/>
      <c r="JG38" s="247"/>
      <c r="JH38" s="247"/>
      <c r="JI38" s="247"/>
      <c r="JJ38" s="247"/>
      <c r="JK38" s="247"/>
      <c r="JL38" s="247"/>
      <c r="JM38" s="247"/>
      <c r="JN38" s="247"/>
      <c r="JO38" s="247"/>
      <c r="JP38" s="247"/>
      <c r="JQ38" s="247"/>
      <c r="JR38" s="247"/>
      <c r="JS38" s="247"/>
      <c r="JT38" s="247"/>
      <c r="JU38" s="247"/>
      <c r="JV38" s="247"/>
      <c r="JW38" s="247"/>
      <c r="JX38" s="247"/>
      <c r="JY38" s="247"/>
      <c r="JZ38" s="247"/>
      <c r="KA38" s="247"/>
      <c r="KB38" s="247"/>
      <c r="KC38" s="247"/>
      <c r="KD38" s="247"/>
      <c r="KE38" s="247"/>
      <c r="KF38" s="247"/>
      <c r="KG38" s="247"/>
      <c r="KH38" s="247"/>
      <c r="KI38" s="247"/>
      <c r="KJ38" s="247"/>
      <c r="KK38" s="247"/>
      <c r="KL38" s="247"/>
      <c r="KM38" s="247"/>
      <c r="KN38" s="247"/>
      <c r="KO38" s="247"/>
      <c r="KP38" s="247"/>
      <c r="KQ38" s="247"/>
      <c r="KR38" s="247"/>
      <c r="KS38" s="247"/>
      <c r="KT38" s="247"/>
      <c r="KU38" s="247"/>
      <c r="KV38" s="247"/>
      <c r="KW38" s="247"/>
      <c r="KX38" s="247"/>
      <c r="KY38" s="247"/>
      <c r="KZ38" s="247"/>
      <c r="LA38" s="247"/>
      <c r="LB38" s="247"/>
      <c r="LC38" s="247"/>
      <c r="LD38" s="247"/>
      <c r="LE38" s="247"/>
      <c r="LF38" s="247"/>
      <c r="LG38" s="247"/>
      <c r="LH38" s="247"/>
      <c r="LI38" s="247"/>
      <c r="LJ38" s="247"/>
      <c r="LK38" s="247"/>
      <c r="LL38" s="247"/>
      <c r="LM38" s="247"/>
      <c r="LN38" s="247"/>
      <c r="LO38" s="247"/>
      <c r="LP38" s="247"/>
      <c r="LQ38" s="247"/>
      <c r="LR38" s="247"/>
      <c r="LS38" s="247"/>
      <c r="LT38" s="247"/>
      <c r="LU38" s="247"/>
      <c r="LV38" s="247"/>
      <c r="LW38" s="247"/>
      <c r="LX38" s="247"/>
      <c r="LY38" s="247"/>
      <c r="LZ38" s="247"/>
      <c r="MA38" s="247"/>
      <c r="MB38" s="247"/>
      <c r="MC38" s="247"/>
      <c r="MD38" s="247"/>
      <c r="ME38" s="247"/>
      <c r="MF38" s="304"/>
      <c r="MG38" s="304"/>
      <c r="MH38" s="304"/>
      <c r="MI38" s="304"/>
      <c r="MJ38" s="304"/>
      <c r="MK38" s="304"/>
      <c r="ML38" s="304"/>
      <c r="MM38" s="304"/>
      <c r="MN38" s="304"/>
      <c r="MO38" s="304"/>
      <c r="MP38" s="304"/>
      <c r="MQ38" s="304"/>
      <c r="MR38" s="304"/>
      <c r="MS38" s="304"/>
      <c r="MT38" s="304"/>
      <c r="MU38" s="304"/>
      <c r="MV38" s="304"/>
      <c r="MW38" s="304"/>
      <c r="MX38" s="304"/>
      <c r="MY38" s="304"/>
      <c r="MZ38" s="304"/>
      <c r="NA38" s="304"/>
      <c r="NB38" s="304"/>
      <c r="NC38" s="304"/>
      <c r="ND38" s="304"/>
      <c r="NE38" s="304"/>
      <c r="NF38" s="304"/>
      <c r="NG38" s="304"/>
      <c r="NH38" s="304"/>
      <c r="NI38" s="304"/>
    </row>
    <row r="39" spans="1:373" x14ac:dyDescent="0.2">
      <c r="A39" s="132" t="s">
        <v>739</v>
      </c>
      <c r="B39" s="133" t="s">
        <v>947</v>
      </c>
      <c r="C39" s="134"/>
      <c r="D39" s="242" t="s">
        <v>1285</v>
      </c>
      <c r="E39" s="242">
        <v>0</v>
      </c>
      <c r="F39" s="243" t="s">
        <v>1286</v>
      </c>
      <c r="G39" s="243" t="s">
        <v>1242</v>
      </c>
      <c r="H39" s="243" t="s">
        <v>961</v>
      </c>
      <c r="I39" s="243">
        <v>0</v>
      </c>
      <c r="J39" s="243">
        <v>0</v>
      </c>
      <c r="K39" s="243">
        <v>0</v>
      </c>
      <c r="L39" s="243" t="s">
        <v>1243</v>
      </c>
      <c r="M39" s="243">
        <v>0</v>
      </c>
      <c r="N39" s="243" t="s">
        <v>1218</v>
      </c>
      <c r="O39" s="243">
        <v>0</v>
      </c>
      <c r="P39" s="243">
        <v>0</v>
      </c>
      <c r="Q39" s="243">
        <v>0</v>
      </c>
      <c r="R39" s="135"/>
      <c r="S39" s="135"/>
      <c r="T39" s="135"/>
      <c r="U39" s="135"/>
      <c r="V39" s="135"/>
      <c r="W39" s="135">
        <v>0</v>
      </c>
      <c r="X39" s="135">
        <v>0</v>
      </c>
      <c r="Y39" s="135">
        <v>0</v>
      </c>
      <c r="Z39" s="136">
        <v>178.98</v>
      </c>
      <c r="AA39" s="136">
        <v>384.82</v>
      </c>
      <c r="AB39" s="136">
        <v>0</v>
      </c>
      <c r="AC39" s="137">
        <v>0</v>
      </c>
      <c r="AD39" s="137">
        <v>0</v>
      </c>
      <c r="AE39" s="138">
        <v>10</v>
      </c>
      <c r="AF39" s="138">
        <v>8</v>
      </c>
      <c r="AG39" s="138">
        <v>2</v>
      </c>
      <c r="AH39" s="139">
        <v>1</v>
      </c>
      <c r="AI39" s="139" t="s">
        <v>1387</v>
      </c>
      <c r="AJ39" s="138" t="s">
        <v>3626</v>
      </c>
      <c r="AK39" s="195" t="s">
        <v>3637</v>
      </c>
      <c r="AL39" s="138" t="s">
        <v>1316</v>
      </c>
      <c r="AM39" s="27" t="s">
        <v>1391</v>
      </c>
      <c r="AN39" s="138">
        <v>0</v>
      </c>
      <c r="AO39" s="140">
        <v>0</v>
      </c>
      <c r="AP39" s="140">
        <v>0</v>
      </c>
      <c r="AQ39" s="140">
        <v>0</v>
      </c>
      <c r="AR39" s="138">
        <v>24</v>
      </c>
      <c r="AS39" s="138">
        <v>0</v>
      </c>
      <c r="AT39" s="198"/>
      <c r="AU39" s="198"/>
      <c r="AV39" s="198"/>
      <c r="AW39" s="211" t="s">
        <v>790</v>
      </c>
      <c r="AX39" s="211" t="s">
        <v>1324</v>
      </c>
      <c r="AY39" s="141"/>
      <c r="AZ39" s="141"/>
      <c r="BA39" s="142">
        <v>1</v>
      </c>
      <c r="BB39" s="142" t="s">
        <v>527</v>
      </c>
      <c r="BC39" s="142"/>
      <c r="BD39" s="142">
        <v>1</v>
      </c>
      <c r="BE39" s="143" t="s">
        <v>541</v>
      </c>
      <c r="BF39" s="144">
        <v>1</v>
      </c>
      <c r="BG39" s="145"/>
      <c r="BH39" s="212"/>
      <c r="BI39" s="213"/>
      <c r="BJ39" s="146">
        <v>10</v>
      </c>
      <c r="BK39" s="214">
        <v>0</v>
      </c>
      <c r="BL39" s="13">
        <v>7</v>
      </c>
      <c r="BM39" s="13">
        <v>3</v>
      </c>
      <c r="BN39" s="27" t="s">
        <v>1394</v>
      </c>
      <c r="BO39" s="13" t="s">
        <v>1392</v>
      </c>
      <c r="BP39" s="147">
        <v>9</v>
      </c>
      <c r="BQ39" s="148"/>
      <c r="BR39" s="149"/>
      <c r="BS39" s="138">
        <v>1000000000</v>
      </c>
      <c r="BT39" s="150">
        <v>0</v>
      </c>
      <c r="BU39" s="151">
        <v>1</v>
      </c>
      <c r="BV39" s="150">
        <v>5</v>
      </c>
      <c r="BW39" s="152">
        <v>0</v>
      </c>
      <c r="BX39" s="152">
        <v>0</v>
      </c>
      <c r="BY39" s="152">
        <v>0</v>
      </c>
      <c r="BZ39" s="150">
        <v>0</v>
      </c>
      <c r="CA39" s="150">
        <v>0</v>
      </c>
      <c r="CB39" s="150">
        <v>5</v>
      </c>
      <c r="CC39" s="151">
        <v>0.5</v>
      </c>
      <c r="CD39" s="150"/>
      <c r="CE39" s="150"/>
      <c r="CF39" s="153">
        <v>5</v>
      </c>
      <c r="CG39" s="154">
        <v>2</v>
      </c>
      <c r="CH39" s="148">
        <v>0</v>
      </c>
      <c r="CI39" s="155"/>
      <c r="CJ39" s="156" t="s">
        <v>1316</v>
      </c>
      <c r="CK39" s="157" t="s">
        <v>1316</v>
      </c>
      <c r="CL39" s="154">
        <v>617.52</v>
      </c>
      <c r="CM39" s="154">
        <v>0</v>
      </c>
      <c r="CN39" s="151">
        <v>0</v>
      </c>
      <c r="CO39" s="151">
        <v>5.520348642306403</v>
      </c>
      <c r="CP39" s="158"/>
      <c r="CQ39" s="151">
        <v>0.83</v>
      </c>
      <c r="CR39" s="199">
        <v>43087</v>
      </c>
      <c r="CS39" s="200">
        <v>43185</v>
      </c>
      <c r="CT39" s="201">
        <v>43255</v>
      </c>
      <c r="CU39" s="201">
        <v>43195</v>
      </c>
      <c r="CV39" s="201">
        <v>43179</v>
      </c>
      <c r="CW39" s="201">
        <v>43209</v>
      </c>
      <c r="CX39" s="201">
        <v>43251</v>
      </c>
      <c r="CY39" s="151">
        <v>0.99647556681350269</v>
      </c>
      <c r="CZ39" s="150">
        <v>0</v>
      </c>
      <c r="DA39" s="151">
        <v>0.375</v>
      </c>
      <c r="DB39" s="151">
        <v>0.234375</v>
      </c>
      <c r="DC39" s="151">
        <v>0.34375</v>
      </c>
      <c r="DD39" s="151">
        <v>0</v>
      </c>
      <c r="DE39" s="159">
        <v>0</v>
      </c>
      <c r="DF39" s="13" t="s">
        <v>1316</v>
      </c>
      <c r="DG39" s="85" t="s">
        <v>1394</v>
      </c>
      <c r="DH39" s="18" t="b">
        <v>0</v>
      </c>
      <c r="DI39" s="84"/>
      <c r="DJ39" s="84"/>
      <c r="DK39" s="215"/>
      <c r="DL39" s="194"/>
      <c r="DM39" s="216"/>
      <c r="DN39" s="151"/>
      <c r="DO39" s="84"/>
      <c r="DP39" s="84"/>
      <c r="DQ39" s="84"/>
      <c r="DR39" s="84"/>
      <c r="DS39" s="84"/>
      <c r="DT39" s="84"/>
      <c r="DU39" s="84"/>
      <c r="DV39" s="18"/>
      <c r="DW39" s="18"/>
      <c r="DX39" s="18"/>
      <c r="DY39" s="197"/>
      <c r="DZ39" s="197">
        <v>0</v>
      </c>
      <c r="EA39" s="197">
        <v>0</v>
      </c>
      <c r="EB39" s="197">
        <v>0</v>
      </c>
      <c r="EC39" s="197">
        <v>0</v>
      </c>
      <c r="ED39" s="197">
        <v>0</v>
      </c>
      <c r="EE39" s="197">
        <v>0</v>
      </c>
      <c r="EF39" s="197">
        <v>5</v>
      </c>
      <c r="EG39" s="221"/>
      <c r="EH39" s="248">
        <v>8</v>
      </c>
      <c r="EI39" s="250">
        <v>4</v>
      </c>
      <c r="EJ39" s="250">
        <v>6</v>
      </c>
      <c r="EK39" s="250">
        <v>6</v>
      </c>
      <c r="EL39" s="250">
        <v>5</v>
      </c>
      <c r="EM39" s="250">
        <v>5</v>
      </c>
      <c r="EN39" s="249">
        <v>2</v>
      </c>
      <c r="EO39" s="249">
        <v>1</v>
      </c>
      <c r="EP39" s="249">
        <v>1</v>
      </c>
      <c r="EQ39" s="249">
        <v>2</v>
      </c>
      <c r="ER39" s="250">
        <v>4</v>
      </c>
      <c r="ES39" s="250">
        <v>4</v>
      </c>
      <c r="ET39" s="249">
        <v>1</v>
      </c>
      <c r="EU39" s="250">
        <v>4</v>
      </c>
      <c r="EV39" s="250">
        <v>4</v>
      </c>
      <c r="EW39" s="253">
        <v>0</v>
      </c>
      <c r="EX39" s="253">
        <v>0</v>
      </c>
      <c r="EY39" s="253">
        <v>0</v>
      </c>
      <c r="EZ39" s="253">
        <v>0</v>
      </c>
      <c r="FA39" s="253">
        <v>0</v>
      </c>
      <c r="FB39" s="253">
        <v>0</v>
      </c>
      <c r="FC39" s="253">
        <v>0</v>
      </c>
      <c r="FD39" s="253">
        <v>0</v>
      </c>
      <c r="FE39" s="253">
        <v>0</v>
      </c>
      <c r="FF39" s="250">
        <v>6</v>
      </c>
      <c r="FG39" s="250">
        <v>6</v>
      </c>
      <c r="FH39" s="250">
        <v>6</v>
      </c>
      <c r="FI39" s="250">
        <v>6</v>
      </c>
      <c r="FJ39" s="250">
        <v>5</v>
      </c>
      <c r="FK39" s="250">
        <v>5</v>
      </c>
      <c r="FL39" s="250">
        <v>5</v>
      </c>
      <c r="FM39" s="250">
        <v>5</v>
      </c>
      <c r="FN39" s="250">
        <v>5</v>
      </c>
      <c r="FO39" s="250">
        <v>5</v>
      </c>
      <c r="FP39" s="250">
        <v>5</v>
      </c>
      <c r="FQ39" s="250">
        <v>4</v>
      </c>
      <c r="FR39" s="250">
        <v>4</v>
      </c>
      <c r="FS39" s="250">
        <v>4</v>
      </c>
      <c r="FT39" s="250">
        <v>4</v>
      </c>
      <c r="FU39" s="250">
        <v>4</v>
      </c>
      <c r="FV39" s="250">
        <v>4</v>
      </c>
      <c r="FW39" s="250">
        <v>4</v>
      </c>
      <c r="FX39" s="250">
        <v>4</v>
      </c>
      <c r="FY39" s="250">
        <v>4</v>
      </c>
      <c r="FZ39" s="250">
        <v>4</v>
      </c>
      <c r="GA39" s="250">
        <v>4</v>
      </c>
      <c r="GB39" s="250">
        <v>4</v>
      </c>
      <c r="GC39" s="250">
        <v>4</v>
      </c>
      <c r="GD39" s="250">
        <v>4</v>
      </c>
      <c r="GE39" s="251"/>
      <c r="GF39" s="250">
        <v>4</v>
      </c>
      <c r="GG39" s="250">
        <v>4</v>
      </c>
      <c r="GH39" s="250">
        <v>4</v>
      </c>
      <c r="GI39" s="250">
        <v>4</v>
      </c>
      <c r="GJ39" s="250">
        <v>4</v>
      </c>
      <c r="GK39" s="250">
        <v>4</v>
      </c>
      <c r="GL39" s="250">
        <v>4</v>
      </c>
      <c r="GM39" s="251"/>
      <c r="GN39" s="250">
        <v>4</v>
      </c>
      <c r="GO39" s="250">
        <v>4</v>
      </c>
      <c r="GP39" s="250">
        <v>4</v>
      </c>
      <c r="GQ39" s="250">
        <v>4</v>
      </c>
      <c r="GR39" s="250">
        <v>4</v>
      </c>
      <c r="GS39" s="250">
        <v>4</v>
      </c>
      <c r="GT39" s="250">
        <v>4</v>
      </c>
      <c r="GU39" s="250">
        <v>4</v>
      </c>
      <c r="GV39" s="250">
        <v>4</v>
      </c>
      <c r="GW39" s="250">
        <v>4</v>
      </c>
      <c r="GX39" s="250">
        <v>4</v>
      </c>
      <c r="GY39" s="249">
        <v>2</v>
      </c>
      <c r="GZ39" s="249">
        <v>2</v>
      </c>
      <c r="HA39" s="249">
        <v>2</v>
      </c>
      <c r="HB39" s="249">
        <v>2</v>
      </c>
      <c r="HC39" s="249">
        <v>2</v>
      </c>
      <c r="HD39" s="249">
        <v>1</v>
      </c>
      <c r="HE39" s="249">
        <v>1</v>
      </c>
      <c r="HF39" s="249">
        <v>1</v>
      </c>
      <c r="HG39" s="249">
        <v>1</v>
      </c>
      <c r="HH39" s="249">
        <v>1</v>
      </c>
      <c r="HI39" s="249">
        <v>1</v>
      </c>
      <c r="HJ39" s="249">
        <v>1</v>
      </c>
      <c r="HK39" s="249">
        <v>1</v>
      </c>
      <c r="HL39" s="249">
        <v>1</v>
      </c>
      <c r="HM39" s="253">
        <v>0</v>
      </c>
      <c r="HN39" s="253">
        <v>0</v>
      </c>
      <c r="HO39" s="253">
        <v>0</v>
      </c>
      <c r="HP39" s="253">
        <v>0</v>
      </c>
      <c r="HQ39" s="253">
        <v>0</v>
      </c>
      <c r="HR39" s="253">
        <v>0</v>
      </c>
      <c r="HS39" s="253">
        <v>0</v>
      </c>
      <c r="HT39" s="253">
        <v>0</v>
      </c>
      <c r="HU39" s="253">
        <v>0</v>
      </c>
      <c r="HV39" s="253">
        <v>0</v>
      </c>
      <c r="HW39" s="253">
        <v>0</v>
      </c>
      <c r="HX39" s="253">
        <v>0</v>
      </c>
      <c r="HY39" s="253">
        <v>0</v>
      </c>
      <c r="HZ39" s="253">
        <v>0</v>
      </c>
      <c r="IA39" s="253">
        <v>0</v>
      </c>
      <c r="IB39" s="253">
        <v>0</v>
      </c>
      <c r="IC39" s="253">
        <v>0</v>
      </c>
      <c r="ID39" s="253">
        <v>0</v>
      </c>
      <c r="IE39" s="253">
        <v>0</v>
      </c>
      <c r="IF39" s="253">
        <v>0</v>
      </c>
      <c r="IG39" s="249">
        <v>2</v>
      </c>
      <c r="IH39" s="253">
        <v>0</v>
      </c>
      <c r="II39" s="253">
        <v>0</v>
      </c>
      <c r="IJ39" s="251"/>
      <c r="IK39" s="253">
        <v>0</v>
      </c>
      <c r="IL39" s="253">
        <v>0</v>
      </c>
      <c r="IM39" s="251"/>
      <c r="IN39" s="251"/>
      <c r="IO39" s="251"/>
      <c r="IP39" s="251"/>
      <c r="IQ39" s="251"/>
      <c r="IR39" s="251"/>
      <c r="IS39" s="251"/>
      <c r="IT39" s="251"/>
      <c r="IU39" s="251"/>
      <c r="IV39" s="251"/>
      <c r="IW39" s="251"/>
      <c r="IX39" s="251"/>
      <c r="IY39" s="251"/>
      <c r="IZ39" s="251"/>
      <c r="JA39" s="251"/>
      <c r="JB39" s="251"/>
      <c r="JC39" s="251"/>
      <c r="JD39" s="251"/>
      <c r="JE39" s="251"/>
      <c r="JF39" s="251"/>
      <c r="JG39" s="251"/>
      <c r="JH39" s="251"/>
      <c r="JI39" s="251"/>
      <c r="JJ39" s="251"/>
      <c r="JK39" s="251"/>
      <c r="JL39" s="251"/>
      <c r="JM39" s="251"/>
      <c r="JN39" s="251"/>
      <c r="JO39" s="251"/>
      <c r="JP39" s="251"/>
      <c r="JQ39" s="251"/>
      <c r="JR39" s="251"/>
      <c r="JS39" s="251"/>
      <c r="JT39" s="251"/>
      <c r="JU39" s="251"/>
      <c r="JV39" s="251"/>
      <c r="JW39" s="251"/>
      <c r="JX39" s="251"/>
      <c r="JY39" s="251"/>
      <c r="JZ39" s="251"/>
      <c r="KA39" s="251"/>
      <c r="KB39" s="251"/>
      <c r="KC39" s="251"/>
      <c r="KD39" s="251"/>
      <c r="KE39" s="251"/>
      <c r="KF39" s="251"/>
      <c r="KG39" s="251"/>
      <c r="KH39" s="251"/>
      <c r="KI39" s="251"/>
      <c r="KJ39" s="251"/>
      <c r="KK39" s="251"/>
      <c r="KL39" s="251"/>
      <c r="KM39" s="251"/>
      <c r="KN39" s="251"/>
      <c r="KO39" s="251"/>
      <c r="KP39" s="251"/>
      <c r="KQ39" s="251"/>
      <c r="KR39" s="251"/>
      <c r="KS39" s="251"/>
      <c r="KT39" s="251"/>
      <c r="KU39" s="251"/>
      <c r="KV39" s="251"/>
      <c r="KW39" s="251"/>
      <c r="KX39" s="251"/>
      <c r="KY39" s="251"/>
      <c r="KZ39" s="251"/>
      <c r="LA39" s="251"/>
      <c r="LB39" s="251"/>
      <c r="LC39" s="251"/>
      <c r="LD39" s="251"/>
      <c r="LE39" s="251"/>
      <c r="LF39" s="251"/>
      <c r="LG39" s="251"/>
      <c r="LH39" s="251"/>
      <c r="LI39" s="251"/>
      <c r="LJ39" s="251"/>
      <c r="LK39" s="251"/>
      <c r="LL39" s="251"/>
      <c r="LM39" s="251"/>
      <c r="LN39" s="251"/>
      <c r="LO39" s="251"/>
      <c r="LP39" s="251"/>
      <c r="LQ39" s="251"/>
      <c r="LR39" s="251"/>
      <c r="LS39" s="251"/>
      <c r="LT39" s="251"/>
      <c r="LU39" s="251"/>
      <c r="LV39" s="251"/>
      <c r="LW39" s="251"/>
      <c r="LX39" s="251"/>
      <c r="LY39" s="251"/>
      <c r="LZ39" s="251"/>
      <c r="MA39" s="251"/>
      <c r="MB39" s="251"/>
      <c r="MC39" s="251"/>
      <c r="MD39" s="251"/>
      <c r="ME39" s="251"/>
      <c r="MF39" s="304"/>
      <c r="MG39" s="304"/>
      <c r="MH39" s="304"/>
      <c r="MI39" s="304"/>
      <c r="MJ39" s="304"/>
      <c r="MK39" s="304"/>
      <c r="ML39" s="304"/>
      <c r="MM39" s="304"/>
      <c r="MN39" s="304"/>
      <c r="MO39" s="304"/>
      <c r="MP39" s="304"/>
      <c r="MQ39" s="304"/>
      <c r="MR39" s="304"/>
      <c r="MS39" s="304"/>
      <c r="MT39" s="304"/>
      <c r="MU39" s="304"/>
      <c r="MV39" s="304"/>
      <c r="MW39" s="304"/>
      <c r="MX39" s="304"/>
      <c r="MY39" s="304"/>
      <c r="MZ39" s="304"/>
      <c r="NA39" s="304"/>
      <c r="NB39" s="304"/>
      <c r="NC39" s="304"/>
      <c r="ND39" s="304"/>
      <c r="NE39" s="304"/>
      <c r="NF39" s="304"/>
      <c r="NG39" s="304"/>
      <c r="NH39" s="304"/>
      <c r="NI39" s="304"/>
    </row>
    <row r="40" spans="1:373" x14ac:dyDescent="0.2">
      <c r="A40" s="132" t="s">
        <v>739</v>
      </c>
      <c r="B40" s="133" t="s">
        <v>948</v>
      </c>
      <c r="C40" s="134"/>
      <c r="D40" s="242" t="s">
        <v>1293</v>
      </c>
      <c r="E40" s="242">
        <v>0</v>
      </c>
      <c r="F40" s="243" t="s">
        <v>1294</v>
      </c>
      <c r="G40" s="243" t="s">
        <v>1242</v>
      </c>
      <c r="H40" s="243" t="s">
        <v>961</v>
      </c>
      <c r="I40" s="243">
        <v>0</v>
      </c>
      <c r="J40" s="243">
        <v>0</v>
      </c>
      <c r="K40" s="243">
        <v>0</v>
      </c>
      <c r="L40" s="243" t="s">
        <v>1243</v>
      </c>
      <c r="M40" s="243">
        <v>0</v>
      </c>
      <c r="N40" s="243" t="s">
        <v>1218</v>
      </c>
      <c r="O40" s="243">
        <v>0</v>
      </c>
      <c r="P40" s="243">
        <v>0</v>
      </c>
      <c r="Q40" s="243">
        <v>0</v>
      </c>
      <c r="R40" s="135"/>
      <c r="S40" s="135"/>
      <c r="T40" s="135"/>
      <c r="U40" s="135"/>
      <c r="V40" s="135"/>
      <c r="W40" s="135">
        <v>0</v>
      </c>
      <c r="X40" s="135">
        <v>0</v>
      </c>
      <c r="Y40" s="135">
        <v>0</v>
      </c>
      <c r="Z40" s="136">
        <v>176.71</v>
      </c>
      <c r="AA40" s="136">
        <v>338.39</v>
      </c>
      <c r="AB40" s="136">
        <v>0</v>
      </c>
      <c r="AC40" s="137">
        <v>0</v>
      </c>
      <c r="AD40" s="137">
        <v>0</v>
      </c>
      <c r="AE40" s="138">
        <v>10</v>
      </c>
      <c r="AF40" s="138">
        <v>8</v>
      </c>
      <c r="AG40" s="138">
        <v>2</v>
      </c>
      <c r="AH40" s="139">
        <v>1</v>
      </c>
      <c r="AI40" s="139" t="s">
        <v>1387</v>
      </c>
      <c r="AJ40" s="138" t="s">
        <v>3629</v>
      </c>
      <c r="AK40" s="195" t="s">
        <v>3625</v>
      </c>
      <c r="AL40" s="138" t="s">
        <v>1316</v>
      </c>
      <c r="AM40" s="27" t="s">
        <v>1391</v>
      </c>
      <c r="AN40" s="138">
        <v>1.18</v>
      </c>
      <c r="AO40" s="140">
        <v>2.1186440677966103</v>
      </c>
      <c r="AP40" s="140">
        <v>0.42372881355932207</v>
      </c>
      <c r="AQ40" s="140">
        <v>0.21186440677966104</v>
      </c>
      <c r="AR40" s="138">
        <v>0</v>
      </c>
      <c r="AS40" s="138">
        <v>0</v>
      </c>
      <c r="AT40" s="198"/>
      <c r="AU40" s="198"/>
      <c r="AV40" s="198"/>
      <c r="AW40" s="211" t="s">
        <v>790</v>
      </c>
      <c r="AX40" s="211" t="s">
        <v>1324</v>
      </c>
      <c r="AY40" s="141"/>
      <c r="AZ40" s="141"/>
      <c r="BA40" s="142">
        <v>1</v>
      </c>
      <c r="BB40" s="142" t="s">
        <v>527</v>
      </c>
      <c r="BC40" s="142"/>
      <c r="BD40" s="142">
        <v>1</v>
      </c>
      <c r="BE40" s="143" t="s">
        <v>541</v>
      </c>
      <c r="BF40" s="144">
        <v>1</v>
      </c>
      <c r="BG40" s="145"/>
      <c r="BH40" s="212"/>
      <c r="BI40" s="213"/>
      <c r="BJ40" s="146">
        <v>10</v>
      </c>
      <c r="BK40" s="214">
        <v>18</v>
      </c>
      <c r="BL40" s="13">
        <v>7</v>
      </c>
      <c r="BM40" s="13">
        <v>3</v>
      </c>
      <c r="BN40" s="27" t="s">
        <v>1393</v>
      </c>
      <c r="BO40" s="13" t="s">
        <v>1393</v>
      </c>
      <c r="BP40" s="147">
        <v>8</v>
      </c>
      <c r="BQ40" s="148"/>
      <c r="BR40" s="149"/>
      <c r="BS40" s="138">
        <v>1000000000</v>
      </c>
      <c r="BT40" s="150">
        <v>2</v>
      </c>
      <c r="BU40" s="151">
        <v>0.8</v>
      </c>
      <c r="BV40" s="150">
        <v>0</v>
      </c>
      <c r="BW40" s="152">
        <v>0</v>
      </c>
      <c r="BX40" s="152">
        <v>0</v>
      </c>
      <c r="BY40" s="152">
        <v>0</v>
      </c>
      <c r="BZ40" s="150">
        <v>0</v>
      </c>
      <c r="CA40" s="150">
        <v>0</v>
      </c>
      <c r="CB40" s="150">
        <v>2</v>
      </c>
      <c r="CC40" s="151">
        <v>0.8</v>
      </c>
      <c r="CD40" s="150"/>
      <c r="CE40" s="150"/>
      <c r="CF40" s="153">
        <v>8</v>
      </c>
      <c r="CG40" s="154">
        <v>2</v>
      </c>
      <c r="CH40" s="148">
        <v>0</v>
      </c>
      <c r="CI40" s="155"/>
      <c r="CJ40" s="156" t="s">
        <v>1316</v>
      </c>
      <c r="CK40" s="157" t="s">
        <v>1316</v>
      </c>
      <c r="CL40" s="154">
        <v>161.67999999999998</v>
      </c>
      <c r="CM40" s="154">
        <v>0</v>
      </c>
      <c r="CN40" s="151">
        <v>0</v>
      </c>
      <c r="CO40" s="151">
        <v>4.3917378756154148</v>
      </c>
      <c r="CP40" s="158"/>
      <c r="CQ40" s="151">
        <v>1</v>
      </c>
      <c r="CR40" s="199">
        <v>42895</v>
      </c>
      <c r="CS40" s="200">
        <v>43185</v>
      </c>
      <c r="CT40" s="201">
        <v>43255</v>
      </c>
      <c r="CU40" s="201">
        <v>43168</v>
      </c>
      <c r="CV40" s="201">
        <v>43179</v>
      </c>
      <c r="CW40" s="201">
        <v>43182</v>
      </c>
      <c r="CX40" s="201">
        <v>43224</v>
      </c>
      <c r="CY40" s="151">
        <v>0.99008585486310219</v>
      </c>
      <c r="CZ40" s="150">
        <v>0</v>
      </c>
      <c r="DA40" s="151">
        <v>0.359375</v>
      </c>
      <c r="DB40" s="151">
        <v>0.203125</v>
      </c>
      <c r="DC40" s="151">
        <v>0.203125</v>
      </c>
      <c r="DD40" s="151">
        <v>0.1875</v>
      </c>
      <c r="DE40" s="159">
        <v>0</v>
      </c>
      <c r="DF40" s="13" t="s">
        <v>1316</v>
      </c>
      <c r="DG40" s="85" t="s">
        <v>1394</v>
      </c>
      <c r="DH40" s="18" t="b">
        <v>0</v>
      </c>
      <c r="DI40" s="84"/>
      <c r="DJ40" s="84"/>
      <c r="DK40" s="215"/>
      <c r="DL40" s="194"/>
      <c r="DM40" s="216"/>
      <c r="DN40" s="151"/>
      <c r="DO40" s="84"/>
      <c r="DP40" s="84"/>
      <c r="DQ40" s="84"/>
      <c r="DR40" s="84"/>
      <c r="DS40" s="84"/>
      <c r="DT40" s="84"/>
      <c r="DU40" s="84"/>
      <c r="DV40" s="18"/>
      <c r="DW40" s="18"/>
      <c r="DX40" s="18"/>
      <c r="DY40" s="197"/>
      <c r="DZ40" s="197">
        <v>0</v>
      </c>
      <c r="EA40" s="197">
        <v>0</v>
      </c>
      <c r="EB40" s="197">
        <v>0</v>
      </c>
      <c r="EC40" s="197">
        <v>0</v>
      </c>
      <c r="ED40" s="197">
        <v>0</v>
      </c>
      <c r="EE40" s="197">
        <v>0</v>
      </c>
      <c r="EF40" s="197">
        <v>0</v>
      </c>
      <c r="EG40" s="219"/>
      <c r="EH40" s="223">
        <v>3</v>
      </c>
      <c r="EI40" s="222">
        <v>0</v>
      </c>
      <c r="EJ40" s="223">
        <v>1</v>
      </c>
      <c r="EK40" s="223">
        <v>1</v>
      </c>
      <c r="EL40" s="223">
        <v>2</v>
      </c>
      <c r="EM40" s="222">
        <v>0</v>
      </c>
      <c r="EN40" s="223">
        <v>2</v>
      </c>
      <c r="EO40" s="223">
        <v>2</v>
      </c>
      <c r="EP40" s="223">
        <v>2</v>
      </c>
      <c r="EQ40" s="224">
        <v>4</v>
      </c>
      <c r="ER40" s="224">
        <v>5</v>
      </c>
      <c r="ES40" s="224">
        <v>4</v>
      </c>
      <c r="ET40" s="223">
        <v>2</v>
      </c>
      <c r="EU40" s="223">
        <v>3</v>
      </c>
      <c r="EV40" s="223">
        <v>3</v>
      </c>
      <c r="EW40" s="223">
        <v>1</v>
      </c>
      <c r="EX40" s="223">
        <v>1</v>
      </c>
      <c r="EY40" s="223">
        <v>1</v>
      </c>
      <c r="EZ40" s="223">
        <v>1</v>
      </c>
      <c r="FA40" s="223">
        <v>1</v>
      </c>
      <c r="FB40" s="223">
        <v>1</v>
      </c>
      <c r="FC40" s="223">
        <v>1</v>
      </c>
      <c r="FD40" s="223">
        <v>1</v>
      </c>
      <c r="FE40" s="223">
        <v>1</v>
      </c>
      <c r="FF40" s="223">
        <v>2</v>
      </c>
      <c r="FG40" s="223">
        <v>2</v>
      </c>
      <c r="FH40" s="223">
        <v>2</v>
      </c>
      <c r="FI40" s="223">
        <v>2</v>
      </c>
      <c r="FJ40" s="223">
        <v>2</v>
      </c>
      <c r="FK40" s="223">
        <v>1</v>
      </c>
      <c r="FL40" s="223">
        <v>1</v>
      </c>
      <c r="FM40" s="223">
        <v>1</v>
      </c>
      <c r="FN40" s="223">
        <v>1</v>
      </c>
      <c r="FO40" s="223">
        <v>1</v>
      </c>
      <c r="FP40" s="223">
        <v>1</v>
      </c>
      <c r="FQ40" s="223">
        <v>1</v>
      </c>
      <c r="FR40" s="223">
        <v>1</v>
      </c>
      <c r="FS40" s="223">
        <v>1</v>
      </c>
      <c r="FT40" s="223">
        <v>1</v>
      </c>
      <c r="FU40" s="223">
        <v>1</v>
      </c>
      <c r="FV40" s="222">
        <v>0</v>
      </c>
      <c r="FW40" s="222">
        <v>0</v>
      </c>
      <c r="FX40" s="222">
        <v>0</v>
      </c>
      <c r="FY40" s="222">
        <v>0</v>
      </c>
      <c r="FZ40" s="222">
        <v>0</v>
      </c>
      <c r="GA40" s="222">
        <v>0</v>
      </c>
      <c r="GB40" s="222">
        <v>0</v>
      </c>
      <c r="GC40" s="222">
        <v>0</v>
      </c>
      <c r="GD40" s="222">
        <v>0</v>
      </c>
      <c r="GE40" s="247"/>
      <c r="GF40" s="222">
        <v>0</v>
      </c>
      <c r="GG40" s="222">
        <v>0</v>
      </c>
      <c r="GH40" s="222">
        <v>0</v>
      </c>
      <c r="GI40" s="222">
        <v>0</v>
      </c>
      <c r="GJ40" s="222">
        <v>0</v>
      </c>
      <c r="GK40" s="222">
        <v>0</v>
      </c>
      <c r="GL40" s="222">
        <v>0</v>
      </c>
      <c r="GM40" s="247"/>
      <c r="GN40" s="222">
        <v>0</v>
      </c>
      <c r="GO40" s="222">
        <v>0</v>
      </c>
      <c r="GP40" s="222">
        <v>0</v>
      </c>
      <c r="GQ40" s="222">
        <v>0</v>
      </c>
      <c r="GR40" s="222">
        <v>0</v>
      </c>
      <c r="GS40" s="222">
        <v>0</v>
      </c>
      <c r="GT40" s="222">
        <v>0</v>
      </c>
      <c r="GU40" s="223">
        <v>1</v>
      </c>
      <c r="GV40" s="222">
        <v>0</v>
      </c>
      <c r="GW40" s="222">
        <v>0</v>
      </c>
      <c r="GX40" s="222">
        <v>0</v>
      </c>
      <c r="GY40" s="222">
        <v>0</v>
      </c>
      <c r="GZ40" s="222">
        <v>0</v>
      </c>
      <c r="HA40" s="225">
        <v>8</v>
      </c>
      <c r="HB40" s="225">
        <v>8</v>
      </c>
      <c r="HC40" s="225">
        <v>8</v>
      </c>
      <c r="HD40" s="225">
        <v>8</v>
      </c>
      <c r="HE40" s="225">
        <v>8</v>
      </c>
      <c r="HF40" s="225">
        <v>8</v>
      </c>
      <c r="HG40" s="225">
        <v>8</v>
      </c>
      <c r="HH40" s="225">
        <v>10</v>
      </c>
      <c r="HI40" s="225">
        <v>8</v>
      </c>
      <c r="HJ40" s="225">
        <v>8</v>
      </c>
      <c r="HK40" s="225">
        <v>8</v>
      </c>
      <c r="HL40" s="225">
        <v>8</v>
      </c>
      <c r="HM40" s="224">
        <v>6</v>
      </c>
      <c r="HN40" s="224">
        <v>6</v>
      </c>
      <c r="HO40" s="224">
        <v>6</v>
      </c>
      <c r="HP40" s="224">
        <v>6</v>
      </c>
      <c r="HQ40" s="224">
        <v>6</v>
      </c>
      <c r="HR40" s="224">
        <v>6</v>
      </c>
      <c r="HS40" s="224">
        <v>6</v>
      </c>
      <c r="HT40" s="224">
        <v>6</v>
      </c>
      <c r="HU40" s="224">
        <v>6</v>
      </c>
      <c r="HV40" s="224">
        <v>5</v>
      </c>
      <c r="HW40" s="224">
        <v>5</v>
      </c>
      <c r="HX40" s="224">
        <v>5</v>
      </c>
      <c r="HY40" s="224">
        <v>4</v>
      </c>
      <c r="HZ40" s="223">
        <v>3</v>
      </c>
      <c r="IA40" s="223">
        <v>3</v>
      </c>
      <c r="IB40" s="223">
        <v>3</v>
      </c>
      <c r="IC40" s="223">
        <v>2</v>
      </c>
      <c r="ID40" s="223">
        <v>2</v>
      </c>
      <c r="IE40" s="223">
        <v>2</v>
      </c>
      <c r="IF40" s="223">
        <v>2</v>
      </c>
      <c r="IG40" s="223">
        <v>2</v>
      </c>
      <c r="IH40" s="223">
        <v>3</v>
      </c>
      <c r="II40" s="223">
        <v>2</v>
      </c>
      <c r="IJ40" s="247"/>
      <c r="IK40" s="223">
        <v>2</v>
      </c>
      <c r="IL40" s="223">
        <v>2</v>
      </c>
      <c r="IM40" s="247"/>
      <c r="IN40" s="247"/>
      <c r="IO40" s="247"/>
      <c r="IP40" s="247"/>
      <c r="IQ40" s="247"/>
      <c r="IR40" s="247"/>
      <c r="IS40" s="247"/>
      <c r="IT40" s="247"/>
      <c r="IU40" s="247"/>
      <c r="IV40" s="247"/>
      <c r="IW40" s="247"/>
      <c r="IX40" s="247"/>
      <c r="IY40" s="247"/>
      <c r="IZ40" s="247"/>
      <c r="JA40" s="247"/>
      <c r="JB40" s="247"/>
      <c r="JC40" s="247"/>
      <c r="JD40" s="247"/>
      <c r="JE40" s="247"/>
      <c r="JF40" s="247"/>
      <c r="JG40" s="247"/>
      <c r="JH40" s="247"/>
      <c r="JI40" s="247"/>
      <c r="JJ40" s="247"/>
      <c r="JK40" s="247"/>
      <c r="JL40" s="247"/>
      <c r="JM40" s="247"/>
      <c r="JN40" s="247"/>
      <c r="JO40" s="247"/>
      <c r="JP40" s="247"/>
      <c r="JQ40" s="247"/>
      <c r="JR40" s="247"/>
      <c r="JS40" s="247"/>
      <c r="JT40" s="247"/>
      <c r="JU40" s="247"/>
      <c r="JV40" s="247"/>
      <c r="JW40" s="247"/>
      <c r="JX40" s="247"/>
      <c r="JY40" s="247"/>
      <c r="JZ40" s="247"/>
      <c r="KA40" s="247"/>
      <c r="KB40" s="247"/>
      <c r="KC40" s="247"/>
      <c r="KD40" s="247"/>
      <c r="KE40" s="247"/>
      <c r="KF40" s="247"/>
      <c r="KG40" s="247"/>
      <c r="KH40" s="247"/>
      <c r="KI40" s="247"/>
      <c r="KJ40" s="247"/>
      <c r="KK40" s="247"/>
      <c r="KL40" s="247"/>
      <c r="KM40" s="247"/>
      <c r="KN40" s="247"/>
      <c r="KO40" s="247"/>
      <c r="KP40" s="247"/>
      <c r="KQ40" s="247"/>
      <c r="KR40" s="247"/>
      <c r="KS40" s="247"/>
      <c r="KT40" s="247"/>
      <c r="KU40" s="247"/>
      <c r="KV40" s="247"/>
      <c r="KW40" s="247"/>
      <c r="KX40" s="247"/>
      <c r="KY40" s="247"/>
      <c r="KZ40" s="247"/>
      <c r="LA40" s="247"/>
      <c r="LB40" s="247"/>
      <c r="LC40" s="247"/>
      <c r="LD40" s="247"/>
      <c r="LE40" s="247"/>
      <c r="LF40" s="247"/>
      <c r="LG40" s="247"/>
      <c r="LH40" s="247"/>
      <c r="LI40" s="247"/>
      <c r="LJ40" s="247"/>
      <c r="LK40" s="247"/>
      <c r="LL40" s="247"/>
      <c r="LM40" s="247"/>
      <c r="LN40" s="247"/>
      <c r="LO40" s="247"/>
      <c r="LP40" s="247"/>
      <c r="LQ40" s="247"/>
      <c r="LR40" s="247"/>
      <c r="LS40" s="247"/>
      <c r="LT40" s="247"/>
      <c r="LU40" s="247"/>
      <c r="LV40" s="247"/>
      <c r="LW40" s="247"/>
      <c r="LX40" s="247"/>
      <c r="LY40" s="247"/>
      <c r="LZ40" s="247"/>
      <c r="MA40" s="247"/>
      <c r="MB40" s="247"/>
      <c r="MC40" s="247"/>
      <c r="MD40" s="247"/>
      <c r="ME40" s="247"/>
      <c r="MF40" s="304"/>
      <c r="MG40" s="304"/>
      <c r="MH40" s="304"/>
      <c r="MI40" s="304"/>
      <c r="MJ40" s="304"/>
      <c r="MK40" s="304"/>
      <c r="ML40" s="304"/>
      <c r="MM40" s="304"/>
      <c r="MN40" s="304"/>
      <c r="MO40" s="304"/>
      <c r="MP40" s="304"/>
      <c r="MQ40" s="304"/>
      <c r="MR40" s="304"/>
      <c r="MS40" s="304"/>
      <c r="MT40" s="304"/>
      <c r="MU40" s="304"/>
      <c r="MV40" s="304"/>
      <c r="MW40" s="304"/>
      <c r="MX40" s="304"/>
      <c r="MY40" s="304"/>
      <c r="MZ40" s="304"/>
      <c r="NA40" s="304"/>
      <c r="NB40" s="304"/>
      <c r="NC40" s="304"/>
      <c r="ND40" s="304"/>
      <c r="NE40" s="304"/>
      <c r="NF40" s="304"/>
      <c r="NG40" s="304"/>
      <c r="NH40" s="304"/>
      <c r="NI40" s="304"/>
    </row>
    <row r="41" spans="1:373" x14ac:dyDescent="0.2">
      <c r="A41" s="132" t="s">
        <v>739</v>
      </c>
      <c r="B41" s="133" t="s">
        <v>949</v>
      </c>
      <c r="C41" s="134"/>
      <c r="D41" s="242" t="s">
        <v>1266</v>
      </c>
      <c r="E41" s="242">
        <v>0</v>
      </c>
      <c r="F41" s="243" t="s">
        <v>1267</v>
      </c>
      <c r="G41" s="243" t="s">
        <v>960</v>
      </c>
      <c r="H41" s="243" t="s">
        <v>961</v>
      </c>
      <c r="I41" s="243">
        <v>0</v>
      </c>
      <c r="J41" s="243">
        <v>0</v>
      </c>
      <c r="K41" s="243">
        <v>0</v>
      </c>
      <c r="L41" s="243" t="s">
        <v>1219</v>
      </c>
      <c r="M41" s="243">
        <v>0</v>
      </c>
      <c r="N41" s="243" t="s">
        <v>1218</v>
      </c>
      <c r="O41" s="243">
        <v>0</v>
      </c>
      <c r="P41" s="243">
        <v>0</v>
      </c>
      <c r="Q41" s="243">
        <v>0</v>
      </c>
      <c r="R41" s="135"/>
      <c r="S41" s="135"/>
      <c r="T41" s="135"/>
      <c r="U41" s="135"/>
      <c r="V41" s="135"/>
      <c r="W41" s="135">
        <v>0</v>
      </c>
      <c r="X41" s="135">
        <v>0</v>
      </c>
      <c r="Y41" s="135">
        <v>0</v>
      </c>
      <c r="Z41" s="136">
        <v>122.13</v>
      </c>
      <c r="AA41" s="136">
        <v>299</v>
      </c>
      <c r="AB41" s="136">
        <v>0</v>
      </c>
      <c r="AC41" s="137">
        <v>0</v>
      </c>
      <c r="AD41" s="137">
        <v>0</v>
      </c>
      <c r="AE41" s="138">
        <v>10</v>
      </c>
      <c r="AF41" s="138">
        <v>8</v>
      </c>
      <c r="AG41" s="138">
        <v>2</v>
      </c>
      <c r="AH41" s="139">
        <v>1</v>
      </c>
      <c r="AI41" s="139" t="s">
        <v>1387</v>
      </c>
      <c r="AJ41" s="138" t="s">
        <v>3626</v>
      </c>
      <c r="AK41" s="195" t="s">
        <v>3625</v>
      </c>
      <c r="AL41" s="138" t="s">
        <v>1316</v>
      </c>
      <c r="AM41" s="27" t="s">
        <v>1316</v>
      </c>
      <c r="AN41" s="138">
        <v>1.45</v>
      </c>
      <c r="AO41" s="140">
        <v>3.4482758620689657</v>
      </c>
      <c r="AP41" s="140">
        <v>1.0344827586206897</v>
      </c>
      <c r="AQ41" s="140">
        <v>0.34482758620689657</v>
      </c>
      <c r="AR41" s="138">
        <v>0</v>
      </c>
      <c r="AS41" s="138">
        <v>0</v>
      </c>
      <c r="AT41" s="198"/>
      <c r="AU41" s="198"/>
      <c r="AV41" s="198"/>
      <c r="AW41" s="211" t="s">
        <v>790</v>
      </c>
      <c r="AX41" s="211" t="s">
        <v>1324</v>
      </c>
      <c r="AY41" s="141"/>
      <c r="AZ41" s="141"/>
      <c r="BA41" s="142">
        <v>2</v>
      </c>
      <c r="BB41" s="142" t="s">
        <v>527</v>
      </c>
      <c r="BC41" s="142"/>
      <c r="BD41" s="142">
        <v>1</v>
      </c>
      <c r="BE41" s="143" t="s">
        <v>541</v>
      </c>
      <c r="BF41" s="144">
        <v>1</v>
      </c>
      <c r="BG41" s="145"/>
      <c r="BH41" s="212"/>
      <c r="BI41" s="213"/>
      <c r="BJ41" s="146">
        <v>20</v>
      </c>
      <c r="BK41" s="214">
        <v>22</v>
      </c>
      <c r="BL41" s="13">
        <v>13</v>
      </c>
      <c r="BM41" s="13">
        <v>7</v>
      </c>
      <c r="BN41" s="27" t="s">
        <v>1393</v>
      </c>
      <c r="BO41" s="13" t="s">
        <v>1393</v>
      </c>
      <c r="BP41" s="147">
        <v>7</v>
      </c>
      <c r="BQ41" s="148"/>
      <c r="BR41" s="149"/>
      <c r="BS41" s="138">
        <v>1000000000</v>
      </c>
      <c r="BT41" s="150">
        <v>6</v>
      </c>
      <c r="BU41" s="151">
        <v>0.7</v>
      </c>
      <c r="BV41" s="150">
        <v>0</v>
      </c>
      <c r="BW41" s="152">
        <v>0</v>
      </c>
      <c r="BX41" s="152">
        <v>0</v>
      </c>
      <c r="BY41" s="152">
        <v>0</v>
      </c>
      <c r="BZ41" s="150">
        <v>0</v>
      </c>
      <c r="CA41" s="150">
        <v>0</v>
      </c>
      <c r="CB41" s="150">
        <v>6</v>
      </c>
      <c r="CC41" s="151">
        <v>0.7</v>
      </c>
      <c r="CD41" s="150"/>
      <c r="CE41" s="150"/>
      <c r="CF41" s="153">
        <v>14</v>
      </c>
      <c r="CG41" s="154">
        <v>4</v>
      </c>
      <c r="CH41" s="148">
        <v>0</v>
      </c>
      <c r="CI41" s="155"/>
      <c r="CJ41" s="156" t="s">
        <v>1316</v>
      </c>
      <c r="CK41" s="157" t="s">
        <v>1316</v>
      </c>
      <c r="CL41" s="154">
        <v>176.87</v>
      </c>
      <c r="CM41" s="154">
        <v>0</v>
      </c>
      <c r="CN41" s="151">
        <v>0</v>
      </c>
      <c r="CO41" s="151">
        <v>6.9514124293785313</v>
      </c>
      <c r="CP41" s="158"/>
      <c r="CQ41" s="151">
        <v>1</v>
      </c>
      <c r="CR41" s="199">
        <v>43087</v>
      </c>
      <c r="CS41" s="200">
        <v>43185</v>
      </c>
      <c r="CT41" s="201">
        <v>43255</v>
      </c>
      <c r="CU41" s="201">
        <v>43168</v>
      </c>
      <c r="CV41" s="201">
        <v>43179</v>
      </c>
      <c r="CW41" s="201">
        <v>43182</v>
      </c>
      <c r="CX41" s="201">
        <v>43224</v>
      </c>
      <c r="CY41" s="151">
        <v>0.85296413268565319</v>
      </c>
      <c r="CZ41" s="150">
        <v>0</v>
      </c>
      <c r="DA41" s="151">
        <v>0.375</v>
      </c>
      <c r="DB41" s="151">
        <v>3.125E-2</v>
      </c>
      <c r="DC41" s="151">
        <v>0.421875</v>
      </c>
      <c r="DD41" s="151">
        <v>0.125</v>
      </c>
      <c r="DE41" s="159">
        <v>0</v>
      </c>
      <c r="DF41" s="13" t="s">
        <v>1316</v>
      </c>
      <c r="DG41" s="85" t="s">
        <v>1394</v>
      </c>
      <c r="DH41" s="18" t="b">
        <v>0</v>
      </c>
      <c r="DI41" s="84"/>
      <c r="DJ41" s="84"/>
      <c r="DK41" s="215"/>
      <c r="DL41" s="194"/>
      <c r="DM41" s="216"/>
      <c r="DN41" s="151"/>
      <c r="DO41" s="84"/>
      <c r="DP41" s="84"/>
      <c r="DQ41" s="84"/>
      <c r="DR41" s="84"/>
      <c r="DS41" s="84"/>
      <c r="DT41" s="84"/>
      <c r="DU41" s="84"/>
      <c r="DV41" s="18"/>
      <c r="DW41" s="18"/>
      <c r="DX41" s="18"/>
      <c r="DY41" s="197"/>
      <c r="DZ41" s="197">
        <v>0</v>
      </c>
      <c r="EA41" s="197">
        <v>0</v>
      </c>
      <c r="EB41" s="197">
        <v>0</v>
      </c>
      <c r="EC41" s="197">
        <v>0</v>
      </c>
      <c r="ED41" s="197">
        <v>0</v>
      </c>
      <c r="EE41" s="197">
        <v>0</v>
      </c>
      <c r="EF41" s="197">
        <v>0</v>
      </c>
      <c r="EG41" s="221"/>
      <c r="EH41" s="250">
        <v>3</v>
      </c>
      <c r="EI41" s="249">
        <v>1</v>
      </c>
      <c r="EJ41" s="250">
        <v>5</v>
      </c>
      <c r="EK41" s="250">
        <v>5</v>
      </c>
      <c r="EL41" s="250">
        <v>5</v>
      </c>
      <c r="EM41" s="249">
        <v>2</v>
      </c>
      <c r="EN41" s="253">
        <v>0</v>
      </c>
      <c r="EO41" s="253">
        <v>0</v>
      </c>
      <c r="EP41" s="253">
        <v>0</v>
      </c>
      <c r="EQ41" s="250">
        <v>4</v>
      </c>
      <c r="ER41" s="253">
        <v>0</v>
      </c>
      <c r="ES41" s="253">
        <v>0</v>
      </c>
      <c r="ET41" s="253">
        <v>0</v>
      </c>
      <c r="EU41" s="253">
        <v>0</v>
      </c>
      <c r="EV41" s="253">
        <v>0</v>
      </c>
      <c r="EW41" s="253">
        <v>0</v>
      </c>
      <c r="EX41" s="253">
        <v>0</v>
      </c>
      <c r="EY41" s="253">
        <v>0</v>
      </c>
      <c r="EZ41" s="253">
        <v>0</v>
      </c>
      <c r="FA41" s="253">
        <v>0</v>
      </c>
      <c r="FB41" s="250">
        <v>11</v>
      </c>
      <c r="FC41" s="249">
        <v>7</v>
      </c>
      <c r="FD41" s="249">
        <v>7</v>
      </c>
      <c r="FE41" s="249">
        <v>7</v>
      </c>
      <c r="FF41" s="248">
        <v>18</v>
      </c>
      <c r="FG41" s="248">
        <v>18</v>
      </c>
      <c r="FH41" s="249">
        <v>5</v>
      </c>
      <c r="FI41" s="249">
        <v>4</v>
      </c>
      <c r="FJ41" s="249">
        <v>4</v>
      </c>
      <c r="FK41" s="249">
        <v>4</v>
      </c>
      <c r="FL41" s="249">
        <v>4</v>
      </c>
      <c r="FM41" s="249">
        <v>4</v>
      </c>
      <c r="FN41" s="249">
        <v>4</v>
      </c>
      <c r="FO41" s="249">
        <v>4</v>
      </c>
      <c r="FP41" s="249">
        <v>4</v>
      </c>
      <c r="FQ41" s="249">
        <v>4</v>
      </c>
      <c r="FR41" s="249">
        <v>4</v>
      </c>
      <c r="FS41" s="249">
        <v>4</v>
      </c>
      <c r="FT41" s="249">
        <v>4</v>
      </c>
      <c r="FU41" s="249">
        <v>4</v>
      </c>
      <c r="FV41" s="253">
        <v>0</v>
      </c>
      <c r="FW41" s="253">
        <v>0</v>
      </c>
      <c r="FX41" s="253">
        <v>0</v>
      </c>
      <c r="FY41" s="253">
        <v>0</v>
      </c>
      <c r="FZ41" s="253">
        <v>0</v>
      </c>
      <c r="GA41" s="253">
        <v>0</v>
      </c>
      <c r="GB41" s="253">
        <v>0</v>
      </c>
      <c r="GC41" s="253">
        <v>0</v>
      </c>
      <c r="GD41" s="253">
        <v>0</v>
      </c>
      <c r="GE41" s="251"/>
      <c r="GF41" s="253">
        <v>0</v>
      </c>
      <c r="GG41" s="253">
        <v>0</v>
      </c>
      <c r="GH41" s="253">
        <v>0</v>
      </c>
      <c r="GI41" s="253">
        <v>0</v>
      </c>
      <c r="GJ41" s="253">
        <v>0</v>
      </c>
      <c r="GK41" s="253">
        <v>0</v>
      </c>
      <c r="GL41" s="253">
        <v>0</v>
      </c>
      <c r="GM41" s="251"/>
      <c r="GN41" s="253">
        <v>0</v>
      </c>
      <c r="GO41" s="253">
        <v>0</v>
      </c>
      <c r="GP41" s="253">
        <v>0</v>
      </c>
      <c r="GQ41" s="253">
        <v>0</v>
      </c>
      <c r="GR41" s="253">
        <v>0</v>
      </c>
      <c r="GS41" s="253">
        <v>0</v>
      </c>
      <c r="GT41" s="253">
        <v>0</v>
      </c>
      <c r="GU41" s="253">
        <v>0</v>
      </c>
      <c r="GV41" s="253">
        <v>0</v>
      </c>
      <c r="GW41" s="253">
        <v>0</v>
      </c>
      <c r="GX41" s="253">
        <v>0</v>
      </c>
      <c r="GY41" s="253">
        <v>0</v>
      </c>
      <c r="GZ41" s="253">
        <v>0</v>
      </c>
      <c r="HA41" s="248">
        <v>16</v>
      </c>
      <c r="HB41" s="248">
        <v>16</v>
      </c>
      <c r="HC41" s="248">
        <v>15</v>
      </c>
      <c r="HD41" s="248">
        <v>15</v>
      </c>
      <c r="HE41" s="248">
        <v>15</v>
      </c>
      <c r="HF41" s="248">
        <v>15</v>
      </c>
      <c r="HG41" s="248">
        <v>15</v>
      </c>
      <c r="HH41" s="248">
        <v>15</v>
      </c>
      <c r="HI41" s="250">
        <v>12</v>
      </c>
      <c r="HJ41" s="250">
        <v>12</v>
      </c>
      <c r="HK41" s="250">
        <v>12</v>
      </c>
      <c r="HL41" s="250">
        <v>12</v>
      </c>
      <c r="HM41" s="250">
        <v>10</v>
      </c>
      <c r="HN41" s="250">
        <v>10</v>
      </c>
      <c r="HO41" s="250">
        <v>10</v>
      </c>
      <c r="HP41" s="250">
        <v>10</v>
      </c>
      <c r="HQ41" s="250">
        <v>10</v>
      </c>
      <c r="HR41" s="250">
        <v>10</v>
      </c>
      <c r="HS41" s="250">
        <v>10</v>
      </c>
      <c r="HT41" s="250">
        <v>11</v>
      </c>
      <c r="HU41" s="250">
        <v>11</v>
      </c>
      <c r="HV41" s="250">
        <v>11</v>
      </c>
      <c r="HW41" s="250">
        <v>11</v>
      </c>
      <c r="HX41" s="250">
        <v>11</v>
      </c>
      <c r="HY41" s="250">
        <v>11</v>
      </c>
      <c r="HZ41" s="250">
        <v>11</v>
      </c>
      <c r="IA41" s="250">
        <v>11</v>
      </c>
      <c r="IB41" s="250">
        <v>11</v>
      </c>
      <c r="IC41" s="250">
        <v>11</v>
      </c>
      <c r="ID41" s="250">
        <v>11</v>
      </c>
      <c r="IE41" s="250">
        <v>11</v>
      </c>
      <c r="IF41" s="250">
        <v>11</v>
      </c>
      <c r="IG41" s="250">
        <v>11</v>
      </c>
      <c r="IH41" s="250">
        <v>10</v>
      </c>
      <c r="II41" s="250">
        <v>10</v>
      </c>
      <c r="IJ41" s="251"/>
      <c r="IK41" s="249">
        <v>6</v>
      </c>
      <c r="IL41" s="249">
        <v>6</v>
      </c>
      <c r="IM41" s="251"/>
      <c r="IN41" s="251"/>
      <c r="IO41" s="251"/>
      <c r="IP41" s="251"/>
      <c r="IQ41" s="251"/>
      <c r="IR41" s="251"/>
      <c r="IS41" s="251"/>
      <c r="IT41" s="251"/>
      <c r="IU41" s="251"/>
      <c r="IV41" s="251"/>
      <c r="IW41" s="251"/>
      <c r="IX41" s="251"/>
      <c r="IY41" s="251"/>
      <c r="IZ41" s="251"/>
      <c r="JA41" s="251"/>
      <c r="JB41" s="251"/>
      <c r="JC41" s="251"/>
      <c r="JD41" s="251"/>
      <c r="JE41" s="251"/>
      <c r="JF41" s="251"/>
      <c r="JG41" s="251"/>
      <c r="JH41" s="251"/>
      <c r="JI41" s="251"/>
      <c r="JJ41" s="251"/>
      <c r="JK41" s="251"/>
      <c r="JL41" s="251"/>
      <c r="JM41" s="251"/>
      <c r="JN41" s="251"/>
      <c r="JO41" s="251"/>
      <c r="JP41" s="251"/>
      <c r="JQ41" s="251"/>
      <c r="JR41" s="251"/>
      <c r="JS41" s="251"/>
      <c r="JT41" s="251"/>
      <c r="JU41" s="251"/>
      <c r="JV41" s="251"/>
      <c r="JW41" s="251"/>
      <c r="JX41" s="251"/>
      <c r="JY41" s="251"/>
      <c r="JZ41" s="251"/>
      <c r="KA41" s="251"/>
      <c r="KB41" s="251"/>
      <c r="KC41" s="251"/>
      <c r="KD41" s="251"/>
      <c r="KE41" s="251"/>
      <c r="KF41" s="251"/>
      <c r="KG41" s="251"/>
      <c r="KH41" s="251"/>
      <c r="KI41" s="251"/>
      <c r="KJ41" s="251"/>
      <c r="KK41" s="251"/>
      <c r="KL41" s="251"/>
      <c r="KM41" s="251"/>
      <c r="KN41" s="251"/>
      <c r="KO41" s="251"/>
      <c r="KP41" s="251"/>
      <c r="KQ41" s="251"/>
      <c r="KR41" s="251"/>
      <c r="KS41" s="251"/>
      <c r="KT41" s="251"/>
      <c r="KU41" s="251"/>
      <c r="KV41" s="251"/>
      <c r="KW41" s="251"/>
      <c r="KX41" s="251"/>
      <c r="KY41" s="251"/>
      <c r="KZ41" s="251"/>
      <c r="LA41" s="251"/>
      <c r="LB41" s="251"/>
      <c r="LC41" s="251"/>
      <c r="LD41" s="251"/>
      <c r="LE41" s="251"/>
      <c r="LF41" s="251"/>
      <c r="LG41" s="251"/>
      <c r="LH41" s="251"/>
      <c r="LI41" s="251"/>
      <c r="LJ41" s="251"/>
      <c r="LK41" s="251"/>
      <c r="LL41" s="251"/>
      <c r="LM41" s="251"/>
      <c r="LN41" s="251"/>
      <c r="LO41" s="251"/>
      <c r="LP41" s="251"/>
      <c r="LQ41" s="251"/>
      <c r="LR41" s="251"/>
      <c r="LS41" s="251"/>
      <c r="LT41" s="251"/>
      <c r="LU41" s="251"/>
      <c r="LV41" s="251"/>
      <c r="LW41" s="251"/>
      <c r="LX41" s="251"/>
      <c r="LY41" s="251"/>
      <c r="LZ41" s="251"/>
      <c r="MA41" s="251"/>
      <c r="MB41" s="251"/>
      <c r="MC41" s="251"/>
      <c r="MD41" s="251"/>
      <c r="ME41" s="251"/>
      <c r="MF41" s="304"/>
      <c r="MG41" s="304"/>
      <c r="MH41" s="304"/>
      <c r="MI41" s="304"/>
      <c r="MJ41" s="304"/>
      <c r="MK41" s="304"/>
      <c r="ML41" s="304"/>
      <c r="MM41" s="304"/>
      <c r="MN41" s="304"/>
      <c r="MO41" s="304"/>
      <c r="MP41" s="304"/>
      <c r="MQ41" s="304"/>
      <c r="MR41" s="304"/>
      <c r="MS41" s="304"/>
      <c r="MT41" s="304"/>
      <c r="MU41" s="304"/>
      <c r="MV41" s="304"/>
      <c r="MW41" s="304"/>
      <c r="MX41" s="304"/>
      <c r="MY41" s="304"/>
      <c r="MZ41" s="304"/>
      <c r="NA41" s="304"/>
      <c r="NB41" s="304"/>
      <c r="NC41" s="304"/>
      <c r="ND41" s="304"/>
      <c r="NE41" s="304"/>
      <c r="NF41" s="304"/>
      <c r="NG41" s="304"/>
      <c r="NH41" s="304"/>
      <c r="NI41" s="304"/>
    </row>
    <row r="42" spans="1:373" x14ac:dyDescent="0.2">
      <c r="A42" s="132" t="s">
        <v>739</v>
      </c>
      <c r="B42" s="133" t="s">
        <v>950</v>
      </c>
      <c r="C42" s="134"/>
      <c r="D42" s="242" t="s">
        <v>1274</v>
      </c>
      <c r="E42" s="242">
        <v>0</v>
      </c>
      <c r="F42" s="243" t="s">
        <v>1275</v>
      </c>
      <c r="G42" s="243" t="s">
        <v>960</v>
      </c>
      <c r="H42" s="243" t="s">
        <v>961</v>
      </c>
      <c r="I42" s="243">
        <v>0</v>
      </c>
      <c r="J42" s="243">
        <v>0</v>
      </c>
      <c r="K42" s="243">
        <v>0</v>
      </c>
      <c r="L42" s="243" t="s">
        <v>1219</v>
      </c>
      <c r="M42" s="243">
        <v>0</v>
      </c>
      <c r="N42" s="243" t="s">
        <v>1218</v>
      </c>
      <c r="O42" s="243">
        <v>0</v>
      </c>
      <c r="P42" s="243">
        <v>0</v>
      </c>
      <c r="Q42" s="243">
        <v>0</v>
      </c>
      <c r="R42" s="135"/>
      <c r="S42" s="135"/>
      <c r="T42" s="135"/>
      <c r="U42" s="135"/>
      <c r="V42" s="135"/>
      <c r="W42" s="135">
        <v>0</v>
      </c>
      <c r="X42" s="135">
        <v>0</v>
      </c>
      <c r="Y42" s="135">
        <v>0</v>
      </c>
      <c r="Z42" s="136">
        <v>117.95</v>
      </c>
      <c r="AA42" s="136">
        <v>279</v>
      </c>
      <c r="AB42" s="136">
        <v>0</v>
      </c>
      <c r="AC42" s="137">
        <v>0</v>
      </c>
      <c r="AD42" s="137">
        <v>0</v>
      </c>
      <c r="AE42" s="138">
        <v>10</v>
      </c>
      <c r="AF42" s="138">
        <v>8</v>
      </c>
      <c r="AG42" s="138">
        <v>2</v>
      </c>
      <c r="AH42" s="139">
        <v>1</v>
      </c>
      <c r="AI42" s="139" t="s">
        <v>1316</v>
      </c>
      <c r="AJ42" s="138" t="s">
        <v>3629</v>
      </c>
      <c r="AK42" s="195" t="s">
        <v>1389</v>
      </c>
      <c r="AL42" s="138" t="s">
        <v>1316</v>
      </c>
      <c r="AM42" s="27" t="s">
        <v>1391</v>
      </c>
      <c r="AN42" s="138">
        <v>1.55</v>
      </c>
      <c r="AO42" s="140">
        <v>1.6129032258064515</v>
      </c>
      <c r="AP42" s="140">
        <v>4.67741935483871</v>
      </c>
      <c r="AQ42" s="140">
        <v>0.16129032258064516</v>
      </c>
      <c r="AR42" s="138">
        <v>0</v>
      </c>
      <c r="AS42" s="138">
        <v>0</v>
      </c>
      <c r="AT42" s="198"/>
      <c r="AU42" s="198"/>
      <c r="AV42" s="198"/>
      <c r="AW42" s="211" t="s">
        <v>790</v>
      </c>
      <c r="AX42" s="211" t="s">
        <v>1324</v>
      </c>
      <c r="AY42" s="141"/>
      <c r="AZ42" s="141"/>
      <c r="BA42" s="142">
        <v>1</v>
      </c>
      <c r="BB42" s="142" t="s">
        <v>527</v>
      </c>
      <c r="BC42" s="142"/>
      <c r="BD42" s="142">
        <v>2</v>
      </c>
      <c r="BE42" s="143" t="s">
        <v>541</v>
      </c>
      <c r="BF42" s="144">
        <v>1</v>
      </c>
      <c r="BG42" s="145"/>
      <c r="BH42" s="212"/>
      <c r="BI42" s="213"/>
      <c r="BJ42" s="146">
        <v>10</v>
      </c>
      <c r="BK42" s="214">
        <v>24</v>
      </c>
      <c r="BL42" s="13">
        <v>7</v>
      </c>
      <c r="BM42" s="13">
        <v>3</v>
      </c>
      <c r="BN42" s="27" t="s">
        <v>1395</v>
      </c>
      <c r="BO42" s="13" t="s">
        <v>1395</v>
      </c>
      <c r="BP42" s="147">
        <v>5</v>
      </c>
      <c r="BQ42" s="148"/>
      <c r="BR42" s="149"/>
      <c r="BS42" s="138">
        <v>1000000000</v>
      </c>
      <c r="BT42" s="150">
        <v>29</v>
      </c>
      <c r="BU42" s="151">
        <v>-1.9</v>
      </c>
      <c r="BV42" s="150">
        <v>0</v>
      </c>
      <c r="BW42" s="152">
        <v>0</v>
      </c>
      <c r="BX42" s="152">
        <v>0</v>
      </c>
      <c r="BY42" s="152">
        <v>0</v>
      </c>
      <c r="BZ42" s="150">
        <v>0</v>
      </c>
      <c r="CA42" s="150">
        <v>0</v>
      </c>
      <c r="CB42" s="150">
        <v>29</v>
      </c>
      <c r="CC42" s="151">
        <v>-1.9</v>
      </c>
      <c r="CD42" s="150"/>
      <c r="CE42" s="150"/>
      <c r="CF42" s="153">
        <v>0</v>
      </c>
      <c r="CG42" s="154">
        <v>2</v>
      </c>
      <c r="CH42" s="148">
        <v>0</v>
      </c>
      <c r="CI42" s="155"/>
      <c r="CJ42" s="156" t="s">
        <v>1316</v>
      </c>
      <c r="CK42" s="157" t="s">
        <v>1316</v>
      </c>
      <c r="CL42" s="154">
        <v>0</v>
      </c>
      <c r="CM42" s="154">
        <v>2241.0500000000002</v>
      </c>
      <c r="CN42" s="151">
        <v>0</v>
      </c>
      <c r="CO42" s="151">
        <v>6.5539635438745236</v>
      </c>
      <c r="CP42" s="158"/>
      <c r="CQ42" s="151">
        <v>0</v>
      </c>
      <c r="CR42" s="199">
        <v>42895</v>
      </c>
      <c r="CS42" s="200">
        <v>43185</v>
      </c>
      <c r="CT42" s="201">
        <v>43255</v>
      </c>
      <c r="CU42" s="201">
        <v>43020</v>
      </c>
      <c r="CV42" s="201">
        <v>43069</v>
      </c>
      <c r="CW42" s="201">
        <v>43034</v>
      </c>
      <c r="CX42" s="201">
        <v>43076</v>
      </c>
      <c r="CY42" s="151">
        <v>3.3079337741686608E-2</v>
      </c>
      <c r="CZ42" s="150">
        <v>0</v>
      </c>
      <c r="DA42" s="151">
        <v>0</v>
      </c>
      <c r="DB42" s="151">
        <v>0</v>
      </c>
      <c r="DC42" s="151">
        <v>0</v>
      </c>
      <c r="DD42" s="151">
        <v>0</v>
      </c>
      <c r="DE42" s="159">
        <v>0.953125</v>
      </c>
      <c r="DF42" s="13" t="s">
        <v>1316</v>
      </c>
      <c r="DG42" s="85" t="s">
        <v>1316</v>
      </c>
      <c r="DH42" s="18" t="b">
        <v>0</v>
      </c>
      <c r="DI42" s="84"/>
      <c r="DJ42" s="84"/>
      <c r="DK42" s="215"/>
      <c r="DL42" s="194"/>
      <c r="DM42" s="216"/>
      <c r="DN42" s="151"/>
      <c r="DO42" s="84"/>
      <c r="DP42" s="84"/>
      <c r="DQ42" s="84"/>
      <c r="DR42" s="84"/>
      <c r="DS42" s="84"/>
      <c r="DT42" s="84"/>
      <c r="DU42" s="84"/>
      <c r="DV42" s="18"/>
      <c r="DW42" s="18"/>
      <c r="DX42" s="18"/>
      <c r="DY42" s="197"/>
      <c r="DZ42" s="197">
        <v>0</v>
      </c>
      <c r="EA42" s="197">
        <v>0</v>
      </c>
      <c r="EB42" s="197">
        <v>0</v>
      </c>
      <c r="EC42" s="197">
        <v>0</v>
      </c>
      <c r="ED42" s="197">
        <v>0</v>
      </c>
      <c r="EE42" s="197">
        <v>0</v>
      </c>
      <c r="EF42" s="197">
        <v>0</v>
      </c>
      <c r="EG42" s="219"/>
      <c r="EH42" s="225">
        <v>4</v>
      </c>
      <c r="EI42" s="223">
        <v>2</v>
      </c>
      <c r="EJ42" s="225">
        <v>4</v>
      </c>
      <c r="EK42" s="225">
        <v>4</v>
      </c>
      <c r="EL42" s="225">
        <v>4</v>
      </c>
      <c r="EM42" s="223">
        <v>2</v>
      </c>
      <c r="EN42" s="225">
        <v>9</v>
      </c>
      <c r="EO42" s="225">
        <v>9</v>
      </c>
      <c r="EP42" s="225">
        <v>9</v>
      </c>
      <c r="EQ42" s="225">
        <v>8</v>
      </c>
      <c r="ER42" s="226">
        <v>55</v>
      </c>
      <c r="ES42" s="226">
        <v>55</v>
      </c>
      <c r="ET42" s="226">
        <v>54</v>
      </c>
      <c r="EU42" s="226">
        <v>54</v>
      </c>
      <c r="EV42" s="226">
        <v>54</v>
      </c>
      <c r="EW42" s="226">
        <v>39</v>
      </c>
      <c r="EX42" s="226">
        <v>39</v>
      </c>
      <c r="EY42" s="226">
        <v>39</v>
      </c>
      <c r="EZ42" s="226">
        <v>38</v>
      </c>
      <c r="FA42" s="226">
        <v>38</v>
      </c>
      <c r="FB42" s="226">
        <v>36</v>
      </c>
      <c r="FC42" s="226">
        <v>36</v>
      </c>
      <c r="FD42" s="226">
        <v>36</v>
      </c>
      <c r="FE42" s="226">
        <v>36</v>
      </c>
      <c r="FF42" s="226">
        <v>35</v>
      </c>
      <c r="FG42" s="226">
        <v>35</v>
      </c>
      <c r="FH42" s="226">
        <v>35</v>
      </c>
      <c r="FI42" s="226">
        <v>35</v>
      </c>
      <c r="FJ42" s="226">
        <v>35</v>
      </c>
      <c r="FK42" s="226">
        <v>34</v>
      </c>
      <c r="FL42" s="226">
        <v>34</v>
      </c>
      <c r="FM42" s="226">
        <v>34</v>
      </c>
      <c r="FN42" s="226">
        <v>34</v>
      </c>
      <c r="FO42" s="226">
        <v>34</v>
      </c>
      <c r="FP42" s="226">
        <v>34</v>
      </c>
      <c r="FQ42" s="226">
        <v>34</v>
      </c>
      <c r="FR42" s="226">
        <v>33</v>
      </c>
      <c r="FS42" s="226">
        <v>33</v>
      </c>
      <c r="FT42" s="226">
        <v>33</v>
      </c>
      <c r="FU42" s="226">
        <v>33</v>
      </c>
      <c r="FV42" s="226">
        <v>33</v>
      </c>
      <c r="FW42" s="226">
        <v>33</v>
      </c>
      <c r="FX42" s="226">
        <v>33</v>
      </c>
      <c r="FY42" s="226">
        <v>33</v>
      </c>
      <c r="FZ42" s="226">
        <v>33</v>
      </c>
      <c r="GA42" s="226">
        <v>33</v>
      </c>
      <c r="GB42" s="226">
        <v>33</v>
      </c>
      <c r="GC42" s="226">
        <v>33</v>
      </c>
      <c r="GD42" s="226">
        <v>33</v>
      </c>
      <c r="GE42" s="219"/>
      <c r="GF42" s="226">
        <v>31</v>
      </c>
      <c r="GG42" s="226">
        <v>31</v>
      </c>
      <c r="GH42" s="226">
        <v>31</v>
      </c>
      <c r="GI42" s="226">
        <v>31</v>
      </c>
      <c r="GJ42" s="226">
        <v>31</v>
      </c>
      <c r="GK42" s="226">
        <v>31</v>
      </c>
      <c r="GL42" s="226">
        <v>31</v>
      </c>
      <c r="GM42" s="219"/>
      <c r="GN42" s="226">
        <v>31</v>
      </c>
      <c r="GO42" s="226">
        <v>31</v>
      </c>
      <c r="GP42" s="226">
        <v>31</v>
      </c>
      <c r="GQ42" s="226">
        <v>31</v>
      </c>
      <c r="GR42" s="226">
        <v>31</v>
      </c>
      <c r="GS42" s="226">
        <v>31</v>
      </c>
      <c r="GT42" s="226">
        <v>31</v>
      </c>
      <c r="GU42" s="226">
        <v>32</v>
      </c>
      <c r="GV42" s="226">
        <v>32</v>
      </c>
      <c r="GW42" s="226">
        <v>32</v>
      </c>
      <c r="GX42" s="226">
        <v>32</v>
      </c>
      <c r="GY42" s="226">
        <v>32</v>
      </c>
      <c r="GZ42" s="226">
        <v>31</v>
      </c>
      <c r="HA42" s="226">
        <v>31</v>
      </c>
      <c r="HB42" s="226">
        <v>31</v>
      </c>
      <c r="HC42" s="226">
        <v>31</v>
      </c>
      <c r="HD42" s="226">
        <v>31</v>
      </c>
      <c r="HE42" s="226">
        <v>31</v>
      </c>
      <c r="HF42" s="226">
        <v>31</v>
      </c>
      <c r="HG42" s="226">
        <v>31</v>
      </c>
      <c r="HH42" s="226">
        <v>31</v>
      </c>
      <c r="HI42" s="226">
        <v>31</v>
      </c>
      <c r="HJ42" s="226">
        <v>31</v>
      </c>
      <c r="HK42" s="226">
        <v>31</v>
      </c>
      <c r="HL42" s="226">
        <v>31</v>
      </c>
      <c r="HM42" s="226">
        <v>31</v>
      </c>
      <c r="HN42" s="226">
        <v>31</v>
      </c>
      <c r="HO42" s="226">
        <v>31</v>
      </c>
      <c r="HP42" s="226">
        <v>31</v>
      </c>
      <c r="HQ42" s="226">
        <v>31</v>
      </c>
      <c r="HR42" s="226">
        <v>31</v>
      </c>
      <c r="HS42" s="226">
        <v>31</v>
      </c>
      <c r="HT42" s="226">
        <v>31</v>
      </c>
      <c r="HU42" s="226">
        <v>30</v>
      </c>
      <c r="HV42" s="226">
        <v>30</v>
      </c>
      <c r="HW42" s="226">
        <v>30</v>
      </c>
      <c r="HX42" s="226">
        <v>30</v>
      </c>
      <c r="HY42" s="226">
        <v>30</v>
      </c>
      <c r="HZ42" s="226">
        <v>30</v>
      </c>
      <c r="IA42" s="226">
        <v>30</v>
      </c>
      <c r="IB42" s="226">
        <v>30</v>
      </c>
      <c r="IC42" s="226">
        <v>29</v>
      </c>
      <c r="ID42" s="226">
        <v>29</v>
      </c>
      <c r="IE42" s="226">
        <v>29</v>
      </c>
      <c r="IF42" s="226">
        <v>29</v>
      </c>
      <c r="IG42" s="226">
        <v>29</v>
      </c>
      <c r="IH42" s="226">
        <v>29</v>
      </c>
      <c r="II42" s="226">
        <v>29</v>
      </c>
      <c r="IJ42" s="219"/>
      <c r="IK42" s="226">
        <v>29</v>
      </c>
      <c r="IL42" s="226">
        <v>29</v>
      </c>
      <c r="IM42" s="219"/>
      <c r="IN42" s="219"/>
      <c r="IO42" s="219"/>
      <c r="IP42" s="219"/>
      <c r="IQ42" s="219"/>
      <c r="IR42" s="219"/>
      <c r="IS42" s="219"/>
      <c r="IT42" s="219"/>
      <c r="IU42" s="219"/>
      <c r="IV42" s="219"/>
      <c r="IW42" s="219"/>
      <c r="IX42" s="219"/>
      <c r="IY42" s="219"/>
      <c r="IZ42" s="219"/>
      <c r="JA42" s="219"/>
      <c r="JB42" s="219"/>
      <c r="JC42" s="219"/>
      <c r="JD42" s="219"/>
      <c r="JE42" s="219"/>
      <c r="JF42" s="219"/>
      <c r="JG42" s="219"/>
      <c r="JH42" s="219"/>
      <c r="JI42" s="219"/>
      <c r="JJ42" s="219"/>
      <c r="JK42" s="219"/>
      <c r="JL42" s="219"/>
      <c r="JM42" s="219"/>
      <c r="JN42" s="219"/>
      <c r="JO42" s="219"/>
      <c r="JP42" s="219"/>
      <c r="JQ42" s="219"/>
      <c r="JR42" s="219"/>
      <c r="JS42" s="219"/>
      <c r="JT42" s="219"/>
      <c r="JU42" s="219"/>
      <c r="JV42" s="219"/>
      <c r="JW42" s="219"/>
      <c r="JX42" s="219"/>
      <c r="JY42" s="219"/>
      <c r="JZ42" s="219"/>
      <c r="KA42" s="219"/>
      <c r="KB42" s="219"/>
      <c r="KC42" s="219"/>
      <c r="KD42" s="219"/>
      <c r="KE42" s="219"/>
      <c r="KF42" s="219"/>
      <c r="KG42" s="219"/>
      <c r="KH42" s="219"/>
      <c r="KI42" s="219"/>
      <c r="KJ42" s="219"/>
      <c r="KK42" s="219"/>
      <c r="KL42" s="219"/>
      <c r="KM42" s="219"/>
      <c r="KN42" s="219"/>
      <c r="KO42" s="219"/>
      <c r="KP42" s="219"/>
      <c r="KQ42" s="219"/>
      <c r="KR42" s="219"/>
      <c r="KS42" s="219"/>
      <c r="KT42" s="219"/>
      <c r="KU42" s="219"/>
      <c r="KV42" s="219"/>
      <c r="KW42" s="219"/>
      <c r="KX42" s="219"/>
      <c r="KY42" s="219"/>
      <c r="KZ42" s="219"/>
      <c r="LA42" s="219"/>
      <c r="LB42" s="219"/>
      <c r="LC42" s="219"/>
      <c r="LD42" s="219"/>
      <c r="LE42" s="219"/>
      <c r="LF42" s="219"/>
      <c r="LG42" s="219"/>
      <c r="LH42" s="219"/>
      <c r="LI42" s="219"/>
      <c r="LJ42" s="219"/>
      <c r="LK42" s="219"/>
      <c r="LL42" s="219"/>
      <c r="LM42" s="219"/>
      <c r="LN42" s="219"/>
      <c r="LO42" s="219"/>
      <c r="LP42" s="219"/>
      <c r="LQ42" s="219"/>
      <c r="LR42" s="219"/>
      <c r="LS42" s="219"/>
      <c r="LT42" s="219"/>
      <c r="LU42" s="219"/>
      <c r="LV42" s="219"/>
      <c r="LW42" s="219"/>
      <c r="LX42" s="219"/>
      <c r="LY42" s="219"/>
      <c r="LZ42" s="219"/>
      <c r="MA42" s="219"/>
      <c r="MB42" s="219"/>
      <c r="MC42" s="219"/>
      <c r="MD42" s="219"/>
      <c r="ME42" s="219"/>
      <c r="MF42" s="305"/>
      <c r="MG42" s="305"/>
      <c r="MH42" s="305"/>
      <c r="MI42" s="305"/>
      <c r="MJ42" s="305"/>
      <c r="MK42" s="305"/>
      <c r="ML42" s="305"/>
      <c r="MM42" s="305"/>
      <c r="MN42" s="305"/>
      <c r="MO42" s="305"/>
      <c r="MP42" s="305"/>
      <c r="MQ42" s="305"/>
      <c r="MR42" s="305"/>
      <c r="MS42" s="305"/>
      <c r="MT42" s="305"/>
      <c r="MU42" s="305"/>
      <c r="MV42" s="305"/>
      <c r="MW42" s="305"/>
      <c r="MX42" s="305"/>
      <c r="MY42" s="305"/>
      <c r="MZ42" s="305"/>
      <c r="NA42" s="305"/>
      <c r="NB42" s="305"/>
      <c r="NC42" s="305"/>
      <c r="ND42" s="305"/>
      <c r="NE42" s="305"/>
      <c r="NF42" s="305"/>
      <c r="NG42" s="305"/>
      <c r="NH42" s="305"/>
      <c r="NI42" s="305"/>
    </row>
    <row r="43" spans="1:373" x14ac:dyDescent="0.2">
      <c r="A43" s="132" t="s">
        <v>739</v>
      </c>
      <c r="B43" s="133" t="s">
        <v>951</v>
      </c>
      <c r="C43" s="134"/>
      <c r="D43" s="242" t="s">
        <v>1264</v>
      </c>
      <c r="E43" s="242">
        <v>0</v>
      </c>
      <c r="F43" s="243" t="s">
        <v>1265</v>
      </c>
      <c r="G43" s="243" t="s">
        <v>960</v>
      </c>
      <c r="H43" s="243" t="s">
        <v>961</v>
      </c>
      <c r="I43" s="243">
        <v>0</v>
      </c>
      <c r="J43" s="243">
        <v>0</v>
      </c>
      <c r="K43" s="243">
        <v>0</v>
      </c>
      <c r="L43" s="243" t="s">
        <v>1219</v>
      </c>
      <c r="M43" s="243">
        <v>0</v>
      </c>
      <c r="N43" s="243" t="s">
        <v>1218</v>
      </c>
      <c r="O43" s="243">
        <v>0</v>
      </c>
      <c r="P43" s="243">
        <v>0</v>
      </c>
      <c r="Q43" s="243">
        <v>0</v>
      </c>
      <c r="R43" s="135"/>
      <c r="S43" s="135"/>
      <c r="T43" s="135"/>
      <c r="U43" s="135"/>
      <c r="V43" s="135"/>
      <c r="W43" s="135">
        <v>0</v>
      </c>
      <c r="X43" s="135">
        <v>0</v>
      </c>
      <c r="Y43" s="135">
        <v>0</v>
      </c>
      <c r="Z43" s="136">
        <v>109.29</v>
      </c>
      <c r="AA43" s="136">
        <v>259</v>
      </c>
      <c r="AB43" s="136">
        <v>0</v>
      </c>
      <c r="AC43" s="137">
        <v>0</v>
      </c>
      <c r="AD43" s="137">
        <v>0</v>
      </c>
      <c r="AE43" s="138">
        <v>10</v>
      </c>
      <c r="AF43" s="138">
        <v>8</v>
      </c>
      <c r="AG43" s="138">
        <v>2</v>
      </c>
      <c r="AH43" s="139">
        <v>1</v>
      </c>
      <c r="AI43" s="139" t="s">
        <v>1387</v>
      </c>
      <c r="AJ43" s="138" t="s">
        <v>3634</v>
      </c>
      <c r="AK43" s="195" t="s">
        <v>3645</v>
      </c>
      <c r="AL43" s="138" t="s">
        <v>1316</v>
      </c>
      <c r="AM43" s="27" t="s">
        <v>1316</v>
      </c>
      <c r="AN43" s="138">
        <v>0.55000000000000004</v>
      </c>
      <c r="AO43" s="140">
        <v>4.545454545454545</v>
      </c>
      <c r="AP43" s="140">
        <v>4.0909090909090908</v>
      </c>
      <c r="AQ43" s="140">
        <v>0.90909090909090906</v>
      </c>
      <c r="AR43" s="138">
        <v>0</v>
      </c>
      <c r="AS43" s="138">
        <v>0</v>
      </c>
      <c r="AT43" s="198"/>
      <c r="AU43" s="198"/>
      <c r="AV43" s="198"/>
      <c r="AW43" s="211" t="s">
        <v>790</v>
      </c>
      <c r="AX43" s="211" t="s">
        <v>1324</v>
      </c>
      <c r="AY43" s="141"/>
      <c r="AZ43" s="141"/>
      <c r="BA43" s="142">
        <v>2</v>
      </c>
      <c r="BB43" s="142" t="s">
        <v>527</v>
      </c>
      <c r="BC43" s="142"/>
      <c r="BD43" s="142">
        <v>2</v>
      </c>
      <c r="BE43" s="143" t="s">
        <v>541</v>
      </c>
      <c r="BF43" s="144">
        <v>1</v>
      </c>
      <c r="BG43" s="145"/>
      <c r="BH43" s="212"/>
      <c r="BI43" s="213"/>
      <c r="BJ43" s="146">
        <v>10</v>
      </c>
      <c r="BK43" s="214">
        <v>9</v>
      </c>
      <c r="BL43" s="13">
        <v>7</v>
      </c>
      <c r="BM43" s="13">
        <v>3</v>
      </c>
      <c r="BN43" s="27" t="s">
        <v>1396</v>
      </c>
      <c r="BO43" s="13" t="s">
        <v>1396</v>
      </c>
      <c r="BP43" s="147">
        <v>7</v>
      </c>
      <c r="BQ43" s="148"/>
      <c r="BR43" s="149"/>
      <c r="BS43" s="138">
        <v>1000000000</v>
      </c>
      <c r="BT43" s="150">
        <v>9</v>
      </c>
      <c r="BU43" s="151">
        <v>0.1</v>
      </c>
      <c r="BV43" s="150">
        <v>0</v>
      </c>
      <c r="BW43" s="152">
        <v>0</v>
      </c>
      <c r="BX43" s="152">
        <v>0</v>
      </c>
      <c r="BY43" s="152">
        <v>0</v>
      </c>
      <c r="BZ43" s="150">
        <v>0</v>
      </c>
      <c r="CA43" s="150">
        <v>0</v>
      </c>
      <c r="CB43" s="150">
        <v>9</v>
      </c>
      <c r="CC43" s="151">
        <v>0.1</v>
      </c>
      <c r="CD43" s="150"/>
      <c r="CE43" s="150"/>
      <c r="CF43" s="153">
        <v>2</v>
      </c>
      <c r="CG43" s="154">
        <v>2</v>
      </c>
      <c r="CH43" s="148">
        <v>0</v>
      </c>
      <c r="CI43" s="155"/>
      <c r="CJ43" s="156" t="s">
        <v>1316</v>
      </c>
      <c r="CK43" s="157" t="s">
        <v>1316</v>
      </c>
      <c r="CL43" s="154">
        <v>0</v>
      </c>
      <c r="CM43" s="154">
        <v>0</v>
      </c>
      <c r="CN43" s="151">
        <v>0</v>
      </c>
      <c r="CO43" s="151">
        <v>6.5752401866593448</v>
      </c>
      <c r="CP43" s="158"/>
      <c r="CQ43" s="151">
        <v>0.5</v>
      </c>
      <c r="CR43" s="199">
        <v>42831</v>
      </c>
      <c r="CS43" s="200">
        <v>43185</v>
      </c>
      <c r="CT43" s="201">
        <v>43255</v>
      </c>
      <c r="CU43" s="201">
        <v>43139</v>
      </c>
      <c r="CV43" s="201">
        <v>43164</v>
      </c>
      <c r="CW43" s="201">
        <v>43153</v>
      </c>
      <c r="CX43" s="201">
        <v>43195</v>
      </c>
      <c r="CY43" s="151">
        <v>0.81435800063273711</v>
      </c>
      <c r="CZ43" s="150">
        <v>0</v>
      </c>
      <c r="DA43" s="151">
        <v>0.375</v>
      </c>
      <c r="DB43" s="151">
        <v>0</v>
      </c>
      <c r="DC43" s="151">
        <v>0</v>
      </c>
      <c r="DD43" s="151">
        <v>0.578125</v>
      </c>
      <c r="DE43" s="159">
        <v>0</v>
      </c>
      <c r="DF43" s="13" t="s">
        <v>1316</v>
      </c>
      <c r="DG43" s="85" t="s">
        <v>1394</v>
      </c>
      <c r="DH43" s="18" t="b">
        <v>0</v>
      </c>
      <c r="DI43" s="84"/>
      <c r="DJ43" s="84"/>
      <c r="DK43" s="215"/>
      <c r="DL43" s="194"/>
      <c r="DM43" s="216"/>
      <c r="DN43" s="151"/>
      <c r="DO43" s="84"/>
      <c r="DP43" s="84"/>
      <c r="DQ43" s="84"/>
      <c r="DR43" s="84"/>
      <c r="DS43" s="84"/>
      <c r="DT43" s="84"/>
      <c r="DU43" s="84"/>
      <c r="DV43" s="18"/>
      <c r="DW43" s="18"/>
      <c r="DX43" s="18"/>
      <c r="DY43" s="197"/>
      <c r="DZ43" s="197">
        <v>0</v>
      </c>
      <c r="EA43" s="197">
        <v>0</v>
      </c>
      <c r="EB43" s="197">
        <v>0</v>
      </c>
      <c r="EC43" s="197">
        <v>0</v>
      </c>
      <c r="ED43" s="197">
        <v>0</v>
      </c>
      <c r="EE43" s="197">
        <v>0</v>
      </c>
      <c r="EF43" s="197">
        <v>0</v>
      </c>
      <c r="EG43" s="221"/>
      <c r="EH43" s="250">
        <v>6</v>
      </c>
      <c r="EI43" s="249">
        <v>3</v>
      </c>
      <c r="EJ43" s="249">
        <v>2</v>
      </c>
      <c r="EK43" s="249">
        <v>2</v>
      </c>
      <c r="EL43" s="249">
        <v>2</v>
      </c>
      <c r="EM43" s="249">
        <v>2</v>
      </c>
      <c r="EN43" s="248">
        <v>10</v>
      </c>
      <c r="EO43" s="250">
        <v>4</v>
      </c>
      <c r="EP43" s="250">
        <v>4</v>
      </c>
      <c r="EQ43" s="250">
        <v>6</v>
      </c>
      <c r="ER43" s="250">
        <v>5</v>
      </c>
      <c r="ES43" s="250">
        <v>5</v>
      </c>
      <c r="ET43" s="249">
        <v>2</v>
      </c>
      <c r="EU43" s="249">
        <v>2</v>
      </c>
      <c r="EV43" s="249">
        <v>1</v>
      </c>
      <c r="EW43" s="253">
        <v>0</v>
      </c>
      <c r="EX43" s="253">
        <v>0</v>
      </c>
      <c r="EY43" s="253">
        <v>0</v>
      </c>
      <c r="EZ43" s="253">
        <v>0</v>
      </c>
      <c r="FA43" s="253">
        <v>0</v>
      </c>
      <c r="FB43" s="253">
        <v>0</v>
      </c>
      <c r="FC43" s="253">
        <v>0</v>
      </c>
      <c r="FD43" s="253">
        <v>0</v>
      </c>
      <c r="FE43" s="253">
        <v>0</v>
      </c>
      <c r="FF43" s="253">
        <v>0</v>
      </c>
      <c r="FG43" s="253">
        <v>0</v>
      </c>
      <c r="FH43" s="253">
        <v>0</v>
      </c>
      <c r="FI43" s="253">
        <v>0</v>
      </c>
      <c r="FJ43" s="253">
        <v>0</v>
      </c>
      <c r="FK43" s="253">
        <v>0</v>
      </c>
      <c r="FL43" s="253">
        <v>0</v>
      </c>
      <c r="FM43" s="253">
        <v>0</v>
      </c>
      <c r="FN43" s="253">
        <v>0</v>
      </c>
      <c r="FO43" s="253">
        <v>0</v>
      </c>
      <c r="FP43" s="253">
        <v>0</v>
      </c>
      <c r="FQ43" s="253">
        <v>0</v>
      </c>
      <c r="FR43" s="253">
        <v>0</v>
      </c>
      <c r="FS43" s="253">
        <v>0</v>
      </c>
      <c r="FT43" s="253">
        <v>0</v>
      </c>
      <c r="FU43" s="253">
        <v>0</v>
      </c>
      <c r="FV43" s="253">
        <v>0</v>
      </c>
      <c r="FW43" s="253">
        <v>0</v>
      </c>
      <c r="FX43" s="253">
        <v>0</v>
      </c>
      <c r="FY43" s="253">
        <v>0</v>
      </c>
      <c r="FZ43" s="253">
        <v>0</v>
      </c>
      <c r="GA43" s="253">
        <v>0</v>
      </c>
      <c r="GB43" s="253">
        <v>0</v>
      </c>
      <c r="GC43" s="253">
        <v>0</v>
      </c>
      <c r="GD43" s="253">
        <v>0</v>
      </c>
      <c r="GE43" s="221"/>
      <c r="GF43" s="253">
        <v>0</v>
      </c>
      <c r="GG43" s="253">
        <v>0</v>
      </c>
      <c r="GH43" s="253">
        <v>0</v>
      </c>
      <c r="GI43" s="253">
        <v>0</v>
      </c>
      <c r="GJ43" s="253">
        <v>0</v>
      </c>
      <c r="GK43" s="253">
        <v>0</v>
      </c>
      <c r="GL43" s="253">
        <v>0</v>
      </c>
      <c r="GM43" s="221"/>
      <c r="GN43" s="253">
        <v>0</v>
      </c>
      <c r="GO43" s="253">
        <v>0</v>
      </c>
      <c r="GP43" s="253">
        <v>0</v>
      </c>
      <c r="GQ43" s="253">
        <v>0</v>
      </c>
      <c r="GR43" s="253">
        <v>0</v>
      </c>
      <c r="GS43" s="253">
        <v>0</v>
      </c>
      <c r="GT43" s="253">
        <v>0</v>
      </c>
      <c r="GU43" s="253">
        <v>0</v>
      </c>
      <c r="GV43" s="253">
        <v>0</v>
      </c>
      <c r="GW43" s="253">
        <v>0</v>
      </c>
      <c r="GX43" s="253">
        <v>0</v>
      </c>
      <c r="GY43" s="253">
        <v>0</v>
      </c>
      <c r="GZ43" s="253">
        <v>0</v>
      </c>
      <c r="HA43" s="248">
        <v>10</v>
      </c>
      <c r="HB43" s="248">
        <v>10</v>
      </c>
      <c r="HC43" s="248">
        <v>10</v>
      </c>
      <c r="HD43" s="248">
        <v>10</v>
      </c>
      <c r="HE43" s="248">
        <v>10</v>
      </c>
      <c r="HF43" s="248">
        <v>10</v>
      </c>
      <c r="HG43" s="248">
        <v>10</v>
      </c>
      <c r="HH43" s="248">
        <v>10</v>
      </c>
      <c r="HI43" s="248">
        <v>10</v>
      </c>
      <c r="HJ43" s="248">
        <v>10</v>
      </c>
      <c r="HK43" s="248">
        <v>10</v>
      </c>
      <c r="HL43" s="248">
        <v>10</v>
      </c>
      <c r="HM43" s="248">
        <v>10</v>
      </c>
      <c r="HN43" s="248">
        <v>10</v>
      </c>
      <c r="HO43" s="248">
        <v>10</v>
      </c>
      <c r="HP43" s="248">
        <v>10</v>
      </c>
      <c r="HQ43" s="248">
        <v>10</v>
      </c>
      <c r="HR43" s="248">
        <v>10</v>
      </c>
      <c r="HS43" s="248">
        <v>10</v>
      </c>
      <c r="HT43" s="248">
        <v>10</v>
      </c>
      <c r="HU43" s="248">
        <v>10</v>
      </c>
      <c r="HV43" s="248">
        <v>10</v>
      </c>
      <c r="HW43" s="248">
        <v>10</v>
      </c>
      <c r="HX43" s="248">
        <v>10</v>
      </c>
      <c r="HY43" s="248">
        <v>10</v>
      </c>
      <c r="HZ43" s="248">
        <v>10</v>
      </c>
      <c r="IA43" s="248">
        <v>9</v>
      </c>
      <c r="IB43" s="248">
        <v>9</v>
      </c>
      <c r="IC43" s="248">
        <v>9</v>
      </c>
      <c r="ID43" s="248">
        <v>9</v>
      </c>
      <c r="IE43" s="248">
        <v>9</v>
      </c>
      <c r="IF43" s="248">
        <v>9</v>
      </c>
      <c r="IG43" s="248">
        <v>9</v>
      </c>
      <c r="IH43" s="248">
        <v>9</v>
      </c>
      <c r="II43" s="248">
        <v>9</v>
      </c>
      <c r="IJ43" s="221"/>
      <c r="IK43" s="248">
        <v>9</v>
      </c>
      <c r="IL43" s="248">
        <v>9</v>
      </c>
      <c r="IM43" s="221"/>
      <c r="IN43" s="221"/>
      <c r="IO43" s="221"/>
      <c r="IP43" s="221"/>
      <c r="IQ43" s="221"/>
      <c r="IR43" s="221"/>
      <c r="IS43" s="221"/>
      <c r="IT43" s="221"/>
      <c r="IU43" s="221"/>
      <c r="IV43" s="221"/>
      <c r="IW43" s="221"/>
      <c r="IX43" s="221"/>
      <c r="IY43" s="221"/>
      <c r="IZ43" s="221"/>
      <c r="JA43" s="221"/>
      <c r="JB43" s="221"/>
      <c r="JC43" s="221"/>
      <c r="JD43" s="221"/>
      <c r="JE43" s="221"/>
      <c r="JF43" s="221"/>
      <c r="JG43" s="221"/>
      <c r="JH43" s="221"/>
      <c r="JI43" s="221"/>
      <c r="JJ43" s="221"/>
      <c r="JK43" s="221"/>
      <c r="JL43" s="221"/>
      <c r="JM43" s="221"/>
      <c r="JN43" s="221"/>
      <c r="JO43" s="221"/>
      <c r="JP43" s="221"/>
      <c r="JQ43" s="221"/>
      <c r="JR43" s="221"/>
      <c r="JS43" s="221"/>
      <c r="JT43" s="221"/>
      <c r="JU43" s="221"/>
      <c r="JV43" s="221"/>
      <c r="JW43" s="221"/>
      <c r="JX43" s="221"/>
      <c r="JY43" s="221"/>
      <c r="JZ43" s="221"/>
      <c r="KA43" s="221"/>
      <c r="KB43" s="221"/>
      <c r="KC43" s="221"/>
      <c r="KD43" s="221"/>
      <c r="KE43" s="221"/>
      <c r="KF43" s="221"/>
      <c r="KG43" s="221"/>
      <c r="KH43" s="221"/>
      <c r="KI43" s="221"/>
      <c r="KJ43" s="221"/>
      <c r="KK43" s="221"/>
      <c r="KL43" s="221"/>
      <c r="KM43" s="221"/>
      <c r="KN43" s="221"/>
      <c r="KO43" s="221"/>
      <c r="KP43" s="221"/>
      <c r="KQ43" s="221"/>
      <c r="KR43" s="221"/>
      <c r="KS43" s="221"/>
      <c r="KT43" s="221"/>
      <c r="KU43" s="221"/>
      <c r="KV43" s="221"/>
      <c r="KW43" s="221"/>
      <c r="KX43" s="221"/>
      <c r="KY43" s="221"/>
      <c r="KZ43" s="221"/>
      <c r="LA43" s="221"/>
      <c r="LB43" s="221"/>
      <c r="LC43" s="221"/>
      <c r="LD43" s="221"/>
      <c r="LE43" s="221"/>
      <c r="LF43" s="221"/>
      <c r="LG43" s="221"/>
      <c r="LH43" s="221"/>
      <c r="LI43" s="221"/>
      <c r="LJ43" s="221"/>
      <c r="LK43" s="221"/>
      <c r="LL43" s="221"/>
      <c r="LM43" s="221"/>
      <c r="LN43" s="221"/>
      <c r="LO43" s="221"/>
      <c r="LP43" s="221"/>
      <c r="LQ43" s="221"/>
      <c r="LR43" s="221"/>
      <c r="LS43" s="221"/>
      <c r="LT43" s="221"/>
      <c r="LU43" s="221"/>
      <c r="LV43" s="221"/>
      <c r="LW43" s="221"/>
      <c r="LX43" s="221"/>
      <c r="LY43" s="221"/>
      <c r="LZ43" s="221"/>
      <c r="MA43" s="221"/>
      <c r="MB43" s="221"/>
      <c r="MC43" s="221"/>
      <c r="MD43" s="221"/>
      <c r="ME43" s="221"/>
      <c r="MF43" s="305"/>
      <c r="MG43" s="305"/>
      <c r="MH43" s="305"/>
      <c r="MI43" s="305"/>
      <c r="MJ43" s="305"/>
      <c r="MK43" s="305"/>
      <c r="ML43" s="305"/>
      <c r="MM43" s="305"/>
      <c r="MN43" s="305"/>
      <c r="MO43" s="305"/>
      <c r="MP43" s="305"/>
      <c r="MQ43" s="305"/>
      <c r="MR43" s="305"/>
      <c r="MS43" s="305"/>
      <c r="MT43" s="305"/>
      <c r="MU43" s="305"/>
      <c r="MV43" s="305"/>
      <c r="MW43" s="305"/>
      <c r="MX43" s="305"/>
      <c r="MY43" s="305"/>
      <c r="MZ43" s="305"/>
      <c r="NA43" s="305"/>
      <c r="NB43" s="305"/>
      <c r="NC43" s="305"/>
      <c r="ND43" s="305"/>
      <c r="NE43" s="305"/>
      <c r="NF43" s="305"/>
      <c r="NG43" s="305"/>
      <c r="NH43" s="305"/>
      <c r="NI43" s="305"/>
    </row>
    <row r="44" spans="1:373" x14ac:dyDescent="0.2">
      <c r="A44" s="132" t="s">
        <v>739</v>
      </c>
      <c r="B44" s="133" t="s">
        <v>952</v>
      </c>
      <c r="C44" s="134"/>
      <c r="D44" s="242" t="s">
        <v>1312</v>
      </c>
      <c r="E44" s="242">
        <v>0</v>
      </c>
      <c r="F44" s="243" t="s">
        <v>1313</v>
      </c>
      <c r="G44" s="243" t="s">
        <v>1246</v>
      </c>
      <c r="H44" s="243" t="s">
        <v>961</v>
      </c>
      <c r="I44" s="243">
        <v>0</v>
      </c>
      <c r="J44" s="243">
        <v>0</v>
      </c>
      <c r="K44" s="243">
        <v>0</v>
      </c>
      <c r="L44" s="243" t="s">
        <v>1247</v>
      </c>
      <c r="M44" s="243">
        <v>0</v>
      </c>
      <c r="N44" s="243" t="s">
        <v>1218</v>
      </c>
      <c r="O44" s="243">
        <v>0</v>
      </c>
      <c r="P44" s="243">
        <v>0</v>
      </c>
      <c r="Q44" s="243">
        <v>0</v>
      </c>
      <c r="R44" s="135"/>
      <c r="S44" s="135"/>
      <c r="T44" s="135"/>
      <c r="U44" s="135"/>
      <c r="V44" s="135"/>
      <c r="W44" s="135">
        <v>0</v>
      </c>
      <c r="X44" s="135">
        <v>0</v>
      </c>
      <c r="Y44" s="135">
        <v>0</v>
      </c>
      <c r="Z44" s="136">
        <v>122.81</v>
      </c>
      <c r="AA44" s="136">
        <v>246.54</v>
      </c>
      <c r="AB44" s="136">
        <v>0</v>
      </c>
      <c r="AC44" s="137">
        <v>0</v>
      </c>
      <c r="AD44" s="137">
        <v>0</v>
      </c>
      <c r="AE44" s="138">
        <v>10</v>
      </c>
      <c r="AF44" s="138">
        <v>8</v>
      </c>
      <c r="AG44" s="138">
        <v>2</v>
      </c>
      <c r="AH44" s="139">
        <v>1</v>
      </c>
      <c r="AI44" s="139" t="s">
        <v>1387</v>
      </c>
      <c r="AJ44" s="138" t="s">
        <v>3626</v>
      </c>
      <c r="AK44" s="195" t="s">
        <v>3627</v>
      </c>
      <c r="AL44" s="138" t="s">
        <v>1316</v>
      </c>
      <c r="AM44" s="27" t="s">
        <v>1391</v>
      </c>
      <c r="AN44" s="138">
        <v>0</v>
      </c>
      <c r="AO44" s="140">
        <v>0</v>
      </c>
      <c r="AP44" s="140">
        <v>0</v>
      </c>
      <c r="AQ44" s="140">
        <v>0</v>
      </c>
      <c r="AR44" s="138">
        <v>20</v>
      </c>
      <c r="AS44" s="138">
        <v>0</v>
      </c>
      <c r="AT44" s="198"/>
      <c r="AU44" s="198"/>
      <c r="AV44" s="198"/>
      <c r="AW44" s="211" t="s">
        <v>790</v>
      </c>
      <c r="AX44" s="211" t="s">
        <v>1324</v>
      </c>
      <c r="AY44" s="141"/>
      <c r="AZ44" s="141"/>
      <c r="BA44" s="142">
        <v>1</v>
      </c>
      <c r="BB44" s="142" t="s">
        <v>527</v>
      </c>
      <c r="BC44" s="142"/>
      <c r="BD44" s="142">
        <v>1</v>
      </c>
      <c r="BE44" s="143" t="s">
        <v>541</v>
      </c>
      <c r="BF44" s="144">
        <v>1</v>
      </c>
      <c r="BG44" s="145"/>
      <c r="BH44" s="212"/>
      <c r="BI44" s="213"/>
      <c r="BJ44" s="146">
        <v>30</v>
      </c>
      <c r="BK44" s="214">
        <v>0</v>
      </c>
      <c r="BL44" s="13">
        <v>20</v>
      </c>
      <c r="BM44" s="13">
        <v>10</v>
      </c>
      <c r="BN44" s="27" t="s">
        <v>1394</v>
      </c>
      <c r="BO44" s="13" t="s">
        <v>1393</v>
      </c>
      <c r="BP44" s="147">
        <v>20</v>
      </c>
      <c r="BQ44" s="148"/>
      <c r="BR44" s="149"/>
      <c r="BS44" s="138">
        <v>1000000000</v>
      </c>
      <c r="BT44" s="150">
        <v>0</v>
      </c>
      <c r="BU44" s="151">
        <v>1</v>
      </c>
      <c r="BV44" s="150">
        <v>2</v>
      </c>
      <c r="BW44" s="152">
        <v>0</v>
      </c>
      <c r="BX44" s="152">
        <v>0</v>
      </c>
      <c r="BY44" s="152">
        <v>0</v>
      </c>
      <c r="BZ44" s="150">
        <v>0</v>
      </c>
      <c r="CA44" s="150">
        <v>0</v>
      </c>
      <c r="CB44" s="150">
        <v>2</v>
      </c>
      <c r="CC44" s="151">
        <v>0.93</v>
      </c>
      <c r="CD44" s="150"/>
      <c r="CE44" s="150"/>
      <c r="CF44" s="153">
        <v>28</v>
      </c>
      <c r="CG44" s="154">
        <v>6</v>
      </c>
      <c r="CH44" s="148">
        <v>10</v>
      </c>
      <c r="CI44" s="155"/>
      <c r="CJ44" s="156" t="s">
        <v>1316</v>
      </c>
      <c r="CK44" s="157" t="s">
        <v>1316</v>
      </c>
      <c r="CL44" s="154">
        <v>1237.3</v>
      </c>
      <c r="CM44" s="154">
        <v>0</v>
      </c>
      <c r="CN44" s="151">
        <v>0</v>
      </c>
      <c r="CO44" s="151">
        <v>4.8359579838775328</v>
      </c>
      <c r="CP44" s="158"/>
      <c r="CQ44" s="151">
        <v>0.22</v>
      </c>
      <c r="CR44" s="199">
        <v>43087</v>
      </c>
      <c r="CS44" s="200">
        <v>43185</v>
      </c>
      <c r="CT44" s="201">
        <v>43255</v>
      </c>
      <c r="CU44" s="201">
        <v>43195</v>
      </c>
      <c r="CV44" s="201">
        <v>43179</v>
      </c>
      <c r="CW44" s="201">
        <v>43209</v>
      </c>
      <c r="CX44" s="201">
        <v>43251</v>
      </c>
      <c r="CY44" s="151">
        <v>1.2091383157714697</v>
      </c>
      <c r="CZ44" s="150">
        <v>0</v>
      </c>
      <c r="DA44" s="151">
        <v>0.3125</v>
      </c>
      <c r="DB44" s="151">
        <v>0.53125</v>
      </c>
      <c r="DC44" s="151">
        <v>0.109375</v>
      </c>
      <c r="DD44" s="151">
        <v>0</v>
      </c>
      <c r="DE44" s="159">
        <v>0</v>
      </c>
      <c r="DF44" s="13" t="s">
        <v>1316</v>
      </c>
      <c r="DG44" s="85" t="s">
        <v>1394</v>
      </c>
      <c r="DH44" s="18" t="b">
        <v>0</v>
      </c>
      <c r="DI44" s="84"/>
      <c r="DJ44" s="84"/>
      <c r="DK44" s="215"/>
      <c r="DL44" s="194"/>
      <c r="DM44" s="216"/>
      <c r="DN44" s="151"/>
      <c r="DO44" s="84"/>
      <c r="DP44" s="84"/>
      <c r="DQ44" s="84"/>
      <c r="DR44" s="84"/>
      <c r="DS44" s="84"/>
      <c r="DT44" s="84"/>
      <c r="DU44" s="84"/>
      <c r="DV44" s="18"/>
      <c r="DW44" s="18"/>
      <c r="DX44" s="18"/>
      <c r="DY44" s="197"/>
      <c r="DZ44" s="197">
        <v>0</v>
      </c>
      <c r="EA44" s="197">
        <v>0</v>
      </c>
      <c r="EB44" s="197">
        <v>0</v>
      </c>
      <c r="EC44" s="197">
        <v>0</v>
      </c>
      <c r="ED44" s="197">
        <v>0</v>
      </c>
      <c r="EE44" s="197">
        <v>0</v>
      </c>
      <c r="EF44" s="197">
        <v>2</v>
      </c>
      <c r="EG44" s="219"/>
      <c r="EH44" s="222">
        <v>0</v>
      </c>
      <c r="EI44" s="223">
        <v>1</v>
      </c>
      <c r="EJ44" s="223">
        <v>2</v>
      </c>
      <c r="EK44" s="223">
        <v>2</v>
      </c>
      <c r="EL44" s="223">
        <v>2</v>
      </c>
      <c r="EM44" s="223">
        <v>3</v>
      </c>
      <c r="EN44" s="225">
        <v>11</v>
      </c>
      <c r="EO44" s="223">
        <v>4</v>
      </c>
      <c r="EP44" s="223">
        <v>3</v>
      </c>
      <c r="EQ44" s="222">
        <v>0</v>
      </c>
      <c r="ER44" s="222">
        <v>0</v>
      </c>
      <c r="ES44" s="222">
        <v>0</v>
      </c>
      <c r="ET44" s="223">
        <v>1</v>
      </c>
      <c r="EU44" s="223">
        <v>7</v>
      </c>
      <c r="EV44" s="223">
        <v>5</v>
      </c>
      <c r="EW44" s="223">
        <v>2</v>
      </c>
      <c r="EX44" s="223">
        <v>2</v>
      </c>
      <c r="EY44" s="223">
        <v>2</v>
      </c>
      <c r="EZ44" s="223">
        <v>2</v>
      </c>
      <c r="FA44" s="223">
        <v>2</v>
      </c>
      <c r="FB44" s="223">
        <v>2</v>
      </c>
      <c r="FC44" s="223">
        <v>2</v>
      </c>
      <c r="FD44" s="223">
        <v>2</v>
      </c>
      <c r="FE44" s="223">
        <v>2</v>
      </c>
      <c r="FF44" s="226">
        <v>22</v>
      </c>
      <c r="FG44" s="226">
        <v>22</v>
      </c>
      <c r="FH44" s="225">
        <v>18</v>
      </c>
      <c r="FI44" s="225">
        <v>18</v>
      </c>
      <c r="FJ44" s="225">
        <v>18</v>
      </c>
      <c r="FK44" s="225">
        <v>18</v>
      </c>
      <c r="FL44" s="225">
        <v>18</v>
      </c>
      <c r="FM44" s="225">
        <v>18</v>
      </c>
      <c r="FN44" s="225">
        <v>18</v>
      </c>
      <c r="FO44" s="225">
        <v>18</v>
      </c>
      <c r="FP44" s="225">
        <v>17</v>
      </c>
      <c r="FQ44" s="225">
        <v>17</v>
      </c>
      <c r="FR44" s="225">
        <v>16</v>
      </c>
      <c r="FS44" s="225">
        <v>16</v>
      </c>
      <c r="FT44" s="225">
        <v>16</v>
      </c>
      <c r="FU44" s="225">
        <v>15</v>
      </c>
      <c r="FV44" s="225">
        <v>15</v>
      </c>
      <c r="FW44" s="225">
        <v>15</v>
      </c>
      <c r="FX44" s="225">
        <v>15</v>
      </c>
      <c r="FY44" s="225">
        <v>14</v>
      </c>
      <c r="FZ44" s="225">
        <v>14</v>
      </c>
      <c r="GA44" s="225">
        <v>14</v>
      </c>
      <c r="GB44" s="225">
        <v>14</v>
      </c>
      <c r="GC44" s="225">
        <v>14</v>
      </c>
      <c r="GD44" s="225">
        <v>14</v>
      </c>
      <c r="GE44" s="247"/>
      <c r="GF44" s="225">
        <v>14</v>
      </c>
      <c r="GG44" s="225">
        <v>14</v>
      </c>
      <c r="GH44" s="225">
        <v>14</v>
      </c>
      <c r="GI44" s="224">
        <v>10</v>
      </c>
      <c r="GJ44" s="224">
        <v>10</v>
      </c>
      <c r="GK44" s="224">
        <v>10</v>
      </c>
      <c r="GL44" s="224">
        <v>10</v>
      </c>
      <c r="GM44" s="247"/>
      <c r="GN44" s="224">
        <v>9</v>
      </c>
      <c r="GO44" s="224">
        <v>8</v>
      </c>
      <c r="GP44" s="224">
        <v>8</v>
      </c>
      <c r="GQ44" s="224">
        <v>8</v>
      </c>
      <c r="GR44" s="224">
        <v>8</v>
      </c>
      <c r="GS44" s="224">
        <v>8</v>
      </c>
      <c r="GT44" s="224">
        <v>8</v>
      </c>
      <c r="GU44" s="224">
        <v>8</v>
      </c>
      <c r="GV44" s="223">
        <v>6</v>
      </c>
      <c r="GW44" s="223">
        <v>6</v>
      </c>
      <c r="GX44" s="223">
        <v>6</v>
      </c>
      <c r="GY44" s="223">
        <v>6</v>
      </c>
      <c r="GZ44" s="223">
        <v>6</v>
      </c>
      <c r="HA44" s="223">
        <v>1</v>
      </c>
      <c r="HB44" s="223">
        <v>1</v>
      </c>
      <c r="HC44" s="223">
        <v>1</v>
      </c>
      <c r="HD44" s="223">
        <v>1</v>
      </c>
      <c r="HE44" s="223">
        <v>1</v>
      </c>
      <c r="HF44" s="223">
        <v>1</v>
      </c>
      <c r="HG44" s="223">
        <v>1</v>
      </c>
      <c r="HH44" s="223">
        <v>1</v>
      </c>
      <c r="HI44" s="223">
        <v>1</v>
      </c>
      <c r="HJ44" s="223">
        <v>1</v>
      </c>
      <c r="HK44" s="223">
        <v>1</v>
      </c>
      <c r="HL44" s="223">
        <v>1</v>
      </c>
      <c r="HM44" s="223">
        <v>1</v>
      </c>
      <c r="HN44" s="222">
        <v>0</v>
      </c>
      <c r="HO44" s="222">
        <v>0</v>
      </c>
      <c r="HP44" s="222">
        <v>0</v>
      </c>
      <c r="HQ44" s="222">
        <v>0</v>
      </c>
      <c r="HR44" s="222">
        <v>0</v>
      </c>
      <c r="HS44" s="222">
        <v>0</v>
      </c>
      <c r="HT44" s="222">
        <v>0</v>
      </c>
      <c r="HU44" s="222">
        <v>0</v>
      </c>
      <c r="HV44" s="223">
        <v>1</v>
      </c>
      <c r="HW44" s="223">
        <v>1</v>
      </c>
      <c r="HX44" s="223">
        <v>1</v>
      </c>
      <c r="HY44" s="223">
        <v>1</v>
      </c>
      <c r="HZ44" s="222">
        <v>0</v>
      </c>
      <c r="IA44" s="222">
        <v>0</v>
      </c>
      <c r="IB44" s="222">
        <v>0</v>
      </c>
      <c r="IC44" s="222">
        <v>0</v>
      </c>
      <c r="ID44" s="222">
        <v>0</v>
      </c>
      <c r="IE44" s="222">
        <v>0</v>
      </c>
      <c r="IF44" s="222">
        <v>0</v>
      </c>
      <c r="IG44" s="222">
        <v>0</v>
      </c>
      <c r="IH44" s="222">
        <v>0</v>
      </c>
      <c r="II44" s="222">
        <v>0</v>
      </c>
      <c r="IJ44" s="247"/>
      <c r="IK44" s="222">
        <v>0</v>
      </c>
      <c r="IL44" s="222">
        <v>0</v>
      </c>
      <c r="IM44" s="247"/>
      <c r="IN44" s="247"/>
      <c r="IO44" s="247"/>
      <c r="IP44" s="247"/>
      <c r="IQ44" s="247"/>
      <c r="IR44" s="247"/>
      <c r="IS44" s="247"/>
      <c r="IT44" s="247"/>
      <c r="IU44" s="247"/>
      <c r="IV44" s="247"/>
      <c r="IW44" s="247"/>
      <c r="IX44" s="247"/>
      <c r="IY44" s="247"/>
      <c r="IZ44" s="247"/>
      <c r="JA44" s="247"/>
      <c r="JB44" s="247"/>
      <c r="JC44" s="247"/>
      <c r="JD44" s="247"/>
      <c r="JE44" s="247"/>
      <c r="JF44" s="247"/>
      <c r="JG44" s="247"/>
      <c r="JH44" s="247"/>
      <c r="JI44" s="247"/>
      <c r="JJ44" s="247"/>
      <c r="JK44" s="247"/>
      <c r="JL44" s="247"/>
      <c r="JM44" s="247"/>
      <c r="JN44" s="247"/>
      <c r="JO44" s="247"/>
      <c r="JP44" s="247"/>
      <c r="JQ44" s="247"/>
      <c r="JR44" s="247"/>
      <c r="JS44" s="247"/>
      <c r="JT44" s="247"/>
      <c r="JU44" s="247"/>
      <c r="JV44" s="247"/>
      <c r="JW44" s="247"/>
      <c r="JX44" s="247"/>
      <c r="JY44" s="247"/>
      <c r="JZ44" s="247"/>
      <c r="KA44" s="247"/>
      <c r="KB44" s="247"/>
      <c r="KC44" s="247"/>
      <c r="KD44" s="247"/>
      <c r="KE44" s="247"/>
      <c r="KF44" s="247"/>
      <c r="KG44" s="247"/>
      <c r="KH44" s="247"/>
      <c r="KI44" s="247"/>
      <c r="KJ44" s="247"/>
      <c r="KK44" s="247"/>
      <c r="KL44" s="247"/>
      <c r="KM44" s="247"/>
      <c r="KN44" s="247"/>
      <c r="KO44" s="247"/>
      <c r="KP44" s="247"/>
      <c r="KQ44" s="247"/>
      <c r="KR44" s="247"/>
      <c r="KS44" s="247"/>
      <c r="KT44" s="247"/>
      <c r="KU44" s="247"/>
      <c r="KV44" s="247"/>
      <c r="KW44" s="247"/>
      <c r="KX44" s="247"/>
      <c r="KY44" s="247"/>
      <c r="KZ44" s="247"/>
      <c r="LA44" s="247"/>
      <c r="LB44" s="247"/>
      <c r="LC44" s="247"/>
      <c r="LD44" s="247"/>
      <c r="LE44" s="247"/>
      <c r="LF44" s="247"/>
      <c r="LG44" s="247"/>
      <c r="LH44" s="247"/>
      <c r="LI44" s="247"/>
      <c r="LJ44" s="247"/>
      <c r="LK44" s="247"/>
      <c r="LL44" s="247"/>
      <c r="LM44" s="247"/>
      <c r="LN44" s="247"/>
      <c r="LO44" s="247"/>
      <c r="LP44" s="247"/>
      <c r="LQ44" s="247"/>
      <c r="LR44" s="247"/>
      <c r="LS44" s="247"/>
      <c r="LT44" s="247"/>
      <c r="LU44" s="247"/>
      <c r="LV44" s="247"/>
      <c r="LW44" s="247"/>
      <c r="LX44" s="247"/>
      <c r="LY44" s="247"/>
      <c r="LZ44" s="247"/>
      <c r="MA44" s="247"/>
      <c r="MB44" s="247"/>
      <c r="MC44" s="247"/>
      <c r="MD44" s="247"/>
      <c r="ME44" s="247"/>
      <c r="MF44" s="304"/>
      <c r="MG44" s="304"/>
      <c r="MH44" s="304"/>
      <c r="MI44" s="304"/>
      <c r="MJ44" s="304"/>
      <c r="MK44" s="304"/>
      <c r="ML44" s="304"/>
      <c r="MM44" s="304"/>
      <c r="MN44" s="304"/>
      <c r="MO44" s="304"/>
      <c r="MP44" s="304"/>
      <c r="MQ44" s="304"/>
      <c r="MR44" s="304"/>
      <c r="MS44" s="304"/>
      <c r="MT44" s="304"/>
      <c r="MU44" s="304"/>
      <c r="MV44" s="304"/>
      <c r="MW44" s="304"/>
      <c r="MX44" s="304"/>
      <c r="MY44" s="304"/>
      <c r="MZ44" s="304"/>
      <c r="NA44" s="304"/>
      <c r="NB44" s="304"/>
      <c r="NC44" s="304"/>
      <c r="ND44" s="304"/>
      <c r="NE44" s="304"/>
      <c r="NF44" s="304"/>
      <c r="NG44" s="304"/>
      <c r="NH44" s="304"/>
      <c r="NI44" s="304"/>
    </row>
    <row r="45" spans="1:373" x14ac:dyDescent="0.2">
      <c r="A45" s="132" t="s">
        <v>739</v>
      </c>
      <c r="B45" s="133" t="s">
        <v>953</v>
      </c>
      <c r="C45" s="134"/>
      <c r="D45" s="242" t="s">
        <v>1276</v>
      </c>
      <c r="E45" s="242">
        <v>0</v>
      </c>
      <c r="F45" s="243" t="s">
        <v>1277</v>
      </c>
      <c r="G45" s="243" t="s">
        <v>1278</v>
      </c>
      <c r="H45" s="243" t="s">
        <v>961</v>
      </c>
      <c r="I45" s="243">
        <v>0</v>
      </c>
      <c r="J45" s="243">
        <v>0</v>
      </c>
      <c r="K45" s="243">
        <v>0</v>
      </c>
      <c r="L45" s="243" t="s">
        <v>1224</v>
      </c>
      <c r="M45" s="243">
        <v>0</v>
      </c>
      <c r="N45" s="243" t="s">
        <v>1217</v>
      </c>
      <c r="O45" s="243">
        <v>0</v>
      </c>
      <c r="P45" s="243">
        <v>0</v>
      </c>
      <c r="Q45" s="243">
        <v>0</v>
      </c>
      <c r="R45" s="135"/>
      <c r="S45" s="135"/>
      <c r="T45" s="135"/>
      <c r="U45" s="135"/>
      <c r="V45" s="135"/>
      <c r="W45" s="135">
        <v>0</v>
      </c>
      <c r="X45" s="135">
        <v>0</v>
      </c>
      <c r="Y45" s="135">
        <v>0</v>
      </c>
      <c r="Z45" s="136">
        <v>47.52</v>
      </c>
      <c r="AA45" s="136">
        <v>98</v>
      </c>
      <c r="AB45" s="136">
        <v>0</v>
      </c>
      <c r="AC45" s="137">
        <v>0</v>
      </c>
      <c r="AD45" s="137">
        <v>0</v>
      </c>
      <c r="AE45" s="138">
        <v>10</v>
      </c>
      <c r="AF45" s="138">
        <v>8</v>
      </c>
      <c r="AG45" s="138">
        <v>2</v>
      </c>
      <c r="AH45" s="139">
        <v>1</v>
      </c>
      <c r="AI45" s="139" t="s">
        <v>1387</v>
      </c>
      <c r="AJ45" s="138" t="s">
        <v>3646</v>
      </c>
      <c r="AK45" s="195" t="s">
        <v>3637</v>
      </c>
      <c r="AL45" s="138" t="s">
        <v>1316</v>
      </c>
      <c r="AM45" s="27" t="s">
        <v>1316</v>
      </c>
      <c r="AN45" s="138">
        <v>23.86</v>
      </c>
      <c r="AO45" s="140">
        <v>4.1911148365465216</v>
      </c>
      <c r="AP45" s="140">
        <v>2.933780385582565</v>
      </c>
      <c r="AQ45" s="140">
        <v>1.0477787091366304E-2</v>
      </c>
      <c r="AR45" s="138">
        <v>0</v>
      </c>
      <c r="AS45" s="138">
        <v>0</v>
      </c>
      <c r="AT45" s="198"/>
      <c r="AU45" s="198"/>
      <c r="AV45" s="198">
        <v>42262</v>
      </c>
      <c r="AW45" s="211" t="s">
        <v>790</v>
      </c>
      <c r="AX45" s="211" t="s">
        <v>1324</v>
      </c>
      <c r="AY45" s="141"/>
      <c r="AZ45" s="141"/>
      <c r="BA45" s="142">
        <v>1</v>
      </c>
      <c r="BB45" s="142" t="s">
        <v>527</v>
      </c>
      <c r="BC45" s="142"/>
      <c r="BD45" s="142">
        <v>2</v>
      </c>
      <c r="BE45" s="143" t="s">
        <v>541</v>
      </c>
      <c r="BF45" s="144">
        <v>1</v>
      </c>
      <c r="BG45" s="145"/>
      <c r="BH45" s="212"/>
      <c r="BI45" s="213"/>
      <c r="BJ45" s="146">
        <v>400</v>
      </c>
      <c r="BK45" s="214">
        <v>358</v>
      </c>
      <c r="BL45" s="13">
        <v>266</v>
      </c>
      <c r="BM45" s="13">
        <v>132</v>
      </c>
      <c r="BN45" s="27" t="s">
        <v>1393</v>
      </c>
      <c r="BO45" s="13" t="s">
        <v>1396</v>
      </c>
      <c r="BP45" s="147">
        <v>500</v>
      </c>
      <c r="BQ45" s="148"/>
      <c r="BR45" s="149"/>
      <c r="BS45" s="138">
        <v>1000000000</v>
      </c>
      <c r="BT45" s="150">
        <v>1</v>
      </c>
      <c r="BU45" s="151">
        <v>1</v>
      </c>
      <c r="BV45" s="150">
        <v>279</v>
      </c>
      <c r="BW45" s="152">
        <v>0</v>
      </c>
      <c r="BX45" s="152">
        <v>0</v>
      </c>
      <c r="BY45" s="152">
        <v>0</v>
      </c>
      <c r="BZ45" s="150">
        <v>0</v>
      </c>
      <c r="CA45" s="150">
        <v>0</v>
      </c>
      <c r="CB45" s="150">
        <v>280</v>
      </c>
      <c r="CC45" s="151">
        <v>0.3</v>
      </c>
      <c r="CD45" s="150"/>
      <c r="CE45" s="150"/>
      <c r="CF45" s="153">
        <v>120</v>
      </c>
      <c r="CG45" s="154">
        <v>80</v>
      </c>
      <c r="CH45" s="148">
        <v>50</v>
      </c>
      <c r="CI45" s="155"/>
      <c r="CJ45" s="156" t="s">
        <v>1316</v>
      </c>
      <c r="CK45" s="157" t="s">
        <v>1316</v>
      </c>
      <c r="CL45" s="154">
        <v>6612.8799999999992</v>
      </c>
      <c r="CM45" s="154">
        <v>0</v>
      </c>
      <c r="CN45" s="151">
        <v>0</v>
      </c>
      <c r="CO45" s="151">
        <v>5.098989898989899</v>
      </c>
      <c r="CP45" s="158"/>
      <c r="CQ45" s="151">
        <v>0.82</v>
      </c>
      <c r="CR45" s="199">
        <v>43165</v>
      </c>
      <c r="CS45" s="200">
        <v>43185</v>
      </c>
      <c r="CT45" s="201">
        <v>43255</v>
      </c>
      <c r="CU45" s="201">
        <v>43195</v>
      </c>
      <c r="CV45" s="201">
        <v>43179</v>
      </c>
      <c r="CW45" s="201">
        <v>43209</v>
      </c>
      <c r="CX45" s="201">
        <v>43251</v>
      </c>
      <c r="CY45" s="151">
        <v>0.51648882467921664</v>
      </c>
      <c r="CZ45" s="150">
        <v>0</v>
      </c>
      <c r="DA45" s="151">
        <v>0</v>
      </c>
      <c r="DB45" s="151">
        <v>0.671875</v>
      </c>
      <c r="DC45" s="151">
        <v>0.28125</v>
      </c>
      <c r="DD45" s="151">
        <v>0</v>
      </c>
      <c r="DE45" s="159">
        <v>0</v>
      </c>
      <c r="DF45" s="13" t="s">
        <v>1316</v>
      </c>
      <c r="DG45" s="85" t="s">
        <v>1394</v>
      </c>
      <c r="DH45" s="18" t="b">
        <v>0</v>
      </c>
      <c r="DI45" s="84"/>
      <c r="DJ45" s="84"/>
      <c r="DK45" s="215"/>
      <c r="DL45" s="194"/>
      <c r="DM45" s="216"/>
      <c r="DN45" s="151"/>
      <c r="DO45" s="84"/>
      <c r="DP45" s="84"/>
      <c r="DQ45" s="84"/>
      <c r="DR45" s="84"/>
      <c r="DS45" s="84"/>
      <c r="DT45" s="84"/>
      <c r="DU45" s="84"/>
      <c r="DV45" s="18"/>
      <c r="DW45" s="18"/>
      <c r="DX45" s="18"/>
      <c r="DY45" s="197"/>
      <c r="DZ45" s="197">
        <v>0</v>
      </c>
      <c r="EA45" s="197">
        <v>0</v>
      </c>
      <c r="EB45" s="197">
        <v>0</v>
      </c>
      <c r="EC45" s="197">
        <v>0</v>
      </c>
      <c r="ED45" s="197">
        <v>0</v>
      </c>
      <c r="EE45" s="197">
        <v>0</v>
      </c>
      <c r="EF45" s="197">
        <v>279</v>
      </c>
      <c r="EG45" s="221"/>
      <c r="EH45" s="248">
        <v>223</v>
      </c>
      <c r="EI45" s="250">
        <v>161</v>
      </c>
      <c r="EJ45" s="250">
        <v>153</v>
      </c>
      <c r="EK45" s="250">
        <v>116</v>
      </c>
      <c r="EL45" s="250">
        <v>112</v>
      </c>
      <c r="EM45" s="249">
        <v>53</v>
      </c>
      <c r="EN45" s="249">
        <v>21</v>
      </c>
      <c r="EO45" s="249">
        <v>5</v>
      </c>
      <c r="EP45" s="249">
        <v>9</v>
      </c>
      <c r="EQ45" s="249">
        <v>70</v>
      </c>
      <c r="ER45" s="250">
        <v>107</v>
      </c>
      <c r="ES45" s="249">
        <v>84</v>
      </c>
      <c r="ET45" s="250">
        <v>120</v>
      </c>
      <c r="EU45" s="250">
        <v>198</v>
      </c>
      <c r="EV45" s="250">
        <v>189</v>
      </c>
      <c r="EW45" s="250">
        <v>138</v>
      </c>
      <c r="EX45" s="250">
        <v>138</v>
      </c>
      <c r="EY45" s="250">
        <v>138</v>
      </c>
      <c r="EZ45" s="250">
        <v>137</v>
      </c>
      <c r="FA45" s="250">
        <v>123</v>
      </c>
      <c r="FB45" s="250">
        <v>119</v>
      </c>
      <c r="FC45" s="250">
        <v>119</v>
      </c>
      <c r="FD45" s="250">
        <v>119</v>
      </c>
      <c r="FE45" s="250">
        <v>119</v>
      </c>
      <c r="FF45" s="248">
        <v>237</v>
      </c>
      <c r="FG45" s="248">
        <v>237</v>
      </c>
      <c r="FH45" s="250">
        <v>222</v>
      </c>
      <c r="FI45" s="250">
        <v>221</v>
      </c>
      <c r="FJ45" s="250">
        <v>221</v>
      </c>
      <c r="FK45" s="250">
        <v>213</v>
      </c>
      <c r="FL45" s="250">
        <v>213</v>
      </c>
      <c r="FM45" s="250">
        <v>213</v>
      </c>
      <c r="FN45" s="250">
        <v>212</v>
      </c>
      <c r="FO45" s="250">
        <v>212</v>
      </c>
      <c r="FP45" s="250">
        <v>210</v>
      </c>
      <c r="FQ45" s="250">
        <v>208</v>
      </c>
      <c r="FR45" s="250">
        <v>208</v>
      </c>
      <c r="FS45" s="250">
        <v>208</v>
      </c>
      <c r="FT45" s="250">
        <v>208</v>
      </c>
      <c r="FU45" s="250">
        <v>207</v>
      </c>
      <c r="FV45" s="250">
        <v>183</v>
      </c>
      <c r="FW45" s="250">
        <v>177</v>
      </c>
      <c r="FX45" s="250">
        <v>177</v>
      </c>
      <c r="FY45" s="250">
        <v>177</v>
      </c>
      <c r="FZ45" s="250">
        <v>177</v>
      </c>
      <c r="GA45" s="250">
        <v>177</v>
      </c>
      <c r="GB45" s="250">
        <v>175</v>
      </c>
      <c r="GC45" s="250">
        <v>167</v>
      </c>
      <c r="GD45" s="250">
        <v>166</v>
      </c>
      <c r="GE45" s="251"/>
      <c r="GF45" s="250">
        <v>166</v>
      </c>
      <c r="GG45" s="249">
        <v>161</v>
      </c>
      <c r="GH45" s="249">
        <v>161</v>
      </c>
      <c r="GI45" s="249">
        <v>161</v>
      </c>
      <c r="GJ45" s="249">
        <v>161</v>
      </c>
      <c r="GK45" s="249">
        <v>161</v>
      </c>
      <c r="GL45" s="249">
        <v>160</v>
      </c>
      <c r="GM45" s="251"/>
      <c r="GN45" s="249">
        <v>159</v>
      </c>
      <c r="GO45" s="249">
        <v>157</v>
      </c>
      <c r="GP45" s="249">
        <v>157</v>
      </c>
      <c r="GQ45" s="249">
        <v>157</v>
      </c>
      <c r="GR45" s="249">
        <v>158</v>
      </c>
      <c r="GS45" s="249">
        <v>155</v>
      </c>
      <c r="GT45" s="249">
        <v>150</v>
      </c>
      <c r="GU45" s="249">
        <v>117</v>
      </c>
      <c r="GV45" s="249">
        <v>117</v>
      </c>
      <c r="GW45" s="249">
        <v>117</v>
      </c>
      <c r="GX45" s="249">
        <v>117</v>
      </c>
      <c r="GY45" s="249">
        <v>117</v>
      </c>
      <c r="GZ45" s="249">
        <v>117</v>
      </c>
      <c r="HA45" s="249">
        <v>108</v>
      </c>
      <c r="HB45" s="249">
        <v>89</v>
      </c>
      <c r="HC45" s="249">
        <v>88</v>
      </c>
      <c r="HD45" s="249">
        <v>88</v>
      </c>
      <c r="HE45" s="249">
        <v>88</v>
      </c>
      <c r="HF45" s="249">
        <v>88</v>
      </c>
      <c r="HG45" s="249">
        <v>88</v>
      </c>
      <c r="HH45" s="249">
        <v>79</v>
      </c>
      <c r="HI45" s="249">
        <v>78</v>
      </c>
      <c r="HJ45" s="249">
        <v>78</v>
      </c>
      <c r="HK45" s="249">
        <v>78</v>
      </c>
      <c r="HL45" s="249">
        <v>78</v>
      </c>
      <c r="HM45" s="249">
        <v>68</v>
      </c>
      <c r="HN45" s="249">
        <v>68</v>
      </c>
      <c r="HO45" s="249">
        <v>67</v>
      </c>
      <c r="HP45" s="249">
        <v>66</v>
      </c>
      <c r="HQ45" s="249">
        <v>66</v>
      </c>
      <c r="HR45" s="249">
        <v>65</v>
      </c>
      <c r="HS45" s="249">
        <v>65</v>
      </c>
      <c r="HT45" s="249">
        <v>65</v>
      </c>
      <c r="HU45" s="249">
        <v>54</v>
      </c>
      <c r="HV45" s="249">
        <v>54</v>
      </c>
      <c r="HW45" s="249">
        <v>54</v>
      </c>
      <c r="HX45" s="249">
        <v>54</v>
      </c>
      <c r="HY45" s="249">
        <v>54</v>
      </c>
      <c r="HZ45" s="249">
        <v>49</v>
      </c>
      <c r="IA45" s="249">
        <v>49</v>
      </c>
      <c r="IB45" s="249">
        <v>49</v>
      </c>
      <c r="IC45" s="249">
        <v>44</v>
      </c>
      <c r="ID45" s="249">
        <v>44</v>
      </c>
      <c r="IE45" s="249">
        <v>44</v>
      </c>
      <c r="IF45" s="249">
        <v>44</v>
      </c>
      <c r="IG45" s="249">
        <v>44</v>
      </c>
      <c r="IH45" s="249">
        <v>29</v>
      </c>
      <c r="II45" s="249">
        <v>19</v>
      </c>
      <c r="IJ45" s="251"/>
      <c r="IK45" s="249">
        <v>1</v>
      </c>
      <c r="IL45" s="249">
        <v>1</v>
      </c>
      <c r="IM45" s="251"/>
      <c r="IN45" s="251"/>
      <c r="IO45" s="251"/>
      <c r="IP45" s="251"/>
      <c r="IQ45" s="251"/>
      <c r="IR45" s="251"/>
      <c r="IS45" s="251"/>
      <c r="IT45" s="251"/>
      <c r="IU45" s="251"/>
      <c r="IV45" s="251"/>
      <c r="IW45" s="251"/>
      <c r="IX45" s="251"/>
      <c r="IY45" s="251"/>
      <c r="IZ45" s="251"/>
      <c r="JA45" s="251"/>
      <c r="JB45" s="251"/>
      <c r="JC45" s="251"/>
      <c r="JD45" s="251"/>
      <c r="JE45" s="251"/>
      <c r="JF45" s="251"/>
      <c r="JG45" s="251"/>
      <c r="JH45" s="251"/>
      <c r="JI45" s="251"/>
      <c r="JJ45" s="251"/>
      <c r="JK45" s="251"/>
      <c r="JL45" s="251"/>
      <c r="JM45" s="251"/>
      <c r="JN45" s="251"/>
      <c r="JO45" s="251"/>
      <c r="JP45" s="251"/>
      <c r="JQ45" s="251"/>
      <c r="JR45" s="251"/>
      <c r="JS45" s="251"/>
      <c r="JT45" s="251"/>
      <c r="JU45" s="251"/>
      <c r="JV45" s="251"/>
      <c r="JW45" s="251"/>
      <c r="JX45" s="251"/>
      <c r="JY45" s="251"/>
      <c r="JZ45" s="251"/>
      <c r="KA45" s="251"/>
      <c r="KB45" s="251"/>
      <c r="KC45" s="251"/>
      <c r="KD45" s="251"/>
      <c r="KE45" s="251"/>
      <c r="KF45" s="251"/>
      <c r="KG45" s="251"/>
      <c r="KH45" s="251"/>
      <c r="KI45" s="251"/>
      <c r="KJ45" s="251"/>
      <c r="KK45" s="251"/>
      <c r="KL45" s="251"/>
      <c r="KM45" s="251"/>
      <c r="KN45" s="251"/>
      <c r="KO45" s="251"/>
      <c r="KP45" s="251"/>
      <c r="KQ45" s="251"/>
      <c r="KR45" s="251"/>
      <c r="KS45" s="251"/>
      <c r="KT45" s="251"/>
      <c r="KU45" s="251"/>
      <c r="KV45" s="251"/>
      <c r="KW45" s="251"/>
      <c r="KX45" s="251"/>
      <c r="KY45" s="251"/>
      <c r="KZ45" s="251"/>
      <c r="LA45" s="251"/>
      <c r="LB45" s="251"/>
      <c r="LC45" s="251"/>
      <c r="LD45" s="251"/>
      <c r="LE45" s="251"/>
      <c r="LF45" s="251"/>
      <c r="LG45" s="251"/>
      <c r="LH45" s="251"/>
      <c r="LI45" s="251"/>
      <c r="LJ45" s="251"/>
      <c r="LK45" s="251"/>
      <c r="LL45" s="251"/>
      <c r="LM45" s="251"/>
      <c r="LN45" s="251"/>
      <c r="LO45" s="251"/>
      <c r="LP45" s="251"/>
      <c r="LQ45" s="251"/>
      <c r="LR45" s="251"/>
      <c r="LS45" s="251"/>
      <c r="LT45" s="251"/>
      <c r="LU45" s="251"/>
      <c r="LV45" s="251"/>
      <c r="LW45" s="251"/>
      <c r="LX45" s="251"/>
      <c r="LY45" s="251"/>
      <c r="LZ45" s="251"/>
      <c r="MA45" s="251"/>
      <c r="MB45" s="251"/>
      <c r="MC45" s="251"/>
      <c r="MD45" s="251"/>
      <c r="ME45" s="251"/>
      <c r="MF45" s="304"/>
      <c r="MG45" s="304"/>
      <c r="MH45" s="304"/>
      <c r="MI45" s="304"/>
      <c r="MJ45" s="304"/>
      <c r="MK45" s="304"/>
      <c r="ML45" s="304"/>
      <c r="MM45" s="304"/>
      <c r="MN45" s="304"/>
      <c r="MO45" s="304"/>
      <c r="MP45" s="304"/>
      <c r="MQ45" s="304"/>
      <c r="MR45" s="304"/>
      <c r="MS45" s="304"/>
      <c r="MT45" s="304"/>
      <c r="MU45" s="304"/>
      <c r="MV45" s="304"/>
      <c r="MW45" s="304"/>
      <c r="MX45" s="304"/>
      <c r="MY45" s="304"/>
      <c r="MZ45" s="304"/>
      <c r="NA45" s="304"/>
      <c r="NB45" s="304"/>
      <c r="NC45" s="304"/>
      <c r="ND45" s="304"/>
      <c r="NE45" s="304"/>
      <c r="NF45" s="304"/>
      <c r="NG45" s="304"/>
      <c r="NH45" s="304"/>
      <c r="NI45" s="304"/>
    </row>
    <row r="46" spans="1:373" x14ac:dyDescent="0.2">
      <c r="A46" s="132" t="s">
        <v>739</v>
      </c>
      <c r="B46" s="133" t="s">
        <v>1338</v>
      </c>
      <c r="C46" s="134"/>
      <c r="D46" s="242" t="s">
        <v>1357</v>
      </c>
      <c r="E46" s="242">
        <v>0</v>
      </c>
      <c r="F46" s="243" t="s">
        <v>1375</v>
      </c>
      <c r="G46" s="243" t="s">
        <v>1385</v>
      </c>
      <c r="H46" s="243" t="s">
        <v>961</v>
      </c>
      <c r="I46" s="243">
        <v>0</v>
      </c>
      <c r="J46" s="243">
        <v>0</v>
      </c>
      <c r="K46" s="243">
        <v>0</v>
      </c>
      <c r="L46" s="243" t="s">
        <v>1386</v>
      </c>
      <c r="M46" s="243">
        <v>0</v>
      </c>
      <c r="N46" s="243" t="s">
        <v>1218</v>
      </c>
      <c r="O46" s="243">
        <v>0</v>
      </c>
      <c r="P46" s="243">
        <v>0</v>
      </c>
      <c r="Q46" s="243">
        <v>0</v>
      </c>
      <c r="R46" s="135"/>
      <c r="S46" s="135"/>
      <c r="T46" s="135"/>
      <c r="U46" s="135"/>
      <c r="V46" s="135"/>
      <c r="W46" s="135">
        <v>0</v>
      </c>
      <c r="X46" s="135">
        <v>0</v>
      </c>
      <c r="Y46" s="135">
        <v>0</v>
      </c>
      <c r="Z46" s="136">
        <v>518.15</v>
      </c>
      <c r="AA46" s="136">
        <v>1025.44</v>
      </c>
      <c r="AB46" s="136">
        <v>0</v>
      </c>
      <c r="AC46" s="137">
        <v>0</v>
      </c>
      <c r="AD46" s="137">
        <v>0</v>
      </c>
      <c r="AE46" s="138">
        <v>10</v>
      </c>
      <c r="AF46" s="138">
        <v>8</v>
      </c>
      <c r="AG46" s="138">
        <v>2</v>
      </c>
      <c r="AH46" s="139">
        <v>1</v>
      </c>
      <c r="AI46" s="139" t="s">
        <v>1316</v>
      </c>
      <c r="AJ46" s="138" t="s">
        <v>3633</v>
      </c>
      <c r="AK46" s="195" t="s">
        <v>1316</v>
      </c>
      <c r="AL46" s="138" t="s">
        <v>1316</v>
      </c>
      <c r="AM46" s="27" t="s">
        <v>1316</v>
      </c>
      <c r="AN46" s="138">
        <v>0</v>
      </c>
      <c r="AO46" s="140">
        <v>0</v>
      </c>
      <c r="AP46" s="140">
        <v>0</v>
      </c>
      <c r="AQ46" s="140">
        <v>0</v>
      </c>
      <c r="AR46" s="138">
        <v>0</v>
      </c>
      <c r="AS46" s="138">
        <v>0</v>
      </c>
      <c r="AT46" s="198"/>
      <c r="AU46" s="198"/>
      <c r="AV46" s="198"/>
      <c r="AW46" s="211" t="s">
        <v>790</v>
      </c>
      <c r="AX46" s="211" t="s">
        <v>1324</v>
      </c>
      <c r="AY46" s="141"/>
      <c r="AZ46" s="141"/>
      <c r="BA46" s="142">
        <v>1</v>
      </c>
      <c r="BB46" s="142" t="s">
        <v>527</v>
      </c>
      <c r="BC46" s="142"/>
      <c r="BD46" s="142">
        <v>1</v>
      </c>
      <c r="BE46" s="143" t="s">
        <v>541</v>
      </c>
      <c r="BF46" s="144">
        <v>1</v>
      </c>
      <c r="BG46" s="145"/>
      <c r="BH46" s="212"/>
      <c r="BI46" s="213"/>
      <c r="BJ46" s="146">
        <v>0</v>
      </c>
      <c r="BK46" s="214">
        <v>0</v>
      </c>
      <c r="BL46" s="13">
        <v>0</v>
      </c>
      <c r="BM46" s="13">
        <v>0</v>
      </c>
      <c r="BN46" s="27" t="s">
        <v>1317</v>
      </c>
      <c r="BO46" s="13" t="s">
        <v>1317</v>
      </c>
      <c r="BP46" s="147">
        <v>1</v>
      </c>
      <c r="BQ46" s="148"/>
      <c r="BR46" s="149"/>
      <c r="BS46" s="138">
        <v>1000000000</v>
      </c>
      <c r="BT46" s="150">
        <v>0</v>
      </c>
      <c r="BU46" s="151">
        <v>0</v>
      </c>
      <c r="BV46" s="150">
        <v>0</v>
      </c>
      <c r="BW46" s="152">
        <v>0</v>
      </c>
      <c r="BX46" s="152">
        <v>0</v>
      </c>
      <c r="BY46" s="152">
        <v>0</v>
      </c>
      <c r="BZ46" s="150">
        <v>0</v>
      </c>
      <c r="CA46" s="150">
        <v>0</v>
      </c>
      <c r="CB46" s="150">
        <v>0</v>
      </c>
      <c r="CC46" s="151">
        <v>0</v>
      </c>
      <c r="CD46" s="150"/>
      <c r="CE46" s="150"/>
      <c r="CF46" s="153">
        <v>0</v>
      </c>
      <c r="CG46" s="154">
        <v>0</v>
      </c>
      <c r="CH46" s="148">
        <v>0</v>
      </c>
      <c r="CI46" s="155"/>
      <c r="CJ46" s="156" t="s">
        <v>1316</v>
      </c>
      <c r="CK46" s="157" t="s">
        <v>1316</v>
      </c>
      <c r="CL46" s="154">
        <v>0</v>
      </c>
      <c r="CM46" s="154">
        <v>0</v>
      </c>
      <c r="CN46" s="151">
        <v>0</v>
      </c>
      <c r="CO46" s="151">
        <v>0</v>
      </c>
      <c r="CP46" s="158"/>
      <c r="CQ46" s="151">
        <v>0</v>
      </c>
      <c r="CR46" s="199">
        <v>42992</v>
      </c>
      <c r="CS46" s="200">
        <v>43185</v>
      </c>
      <c r="CT46" s="201">
        <v>43255</v>
      </c>
      <c r="CU46" s="201">
        <v>42865</v>
      </c>
      <c r="CV46" s="201">
        <v>42915</v>
      </c>
      <c r="CW46" s="201">
        <v>42879</v>
      </c>
      <c r="CX46" s="201">
        <v>42921</v>
      </c>
      <c r="CY46" s="151">
        <v>1</v>
      </c>
      <c r="CZ46" s="150">
        <v>0</v>
      </c>
      <c r="DA46" s="151">
        <v>0.953125</v>
      </c>
      <c r="DB46" s="151">
        <v>0</v>
      </c>
      <c r="DC46" s="151">
        <v>0</v>
      </c>
      <c r="DD46" s="151">
        <v>0</v>
      </c>
      <c r="DE46" s="159">
        <v>0</v>
      </c>
      <c r="DF46" s="13" t="s">
        <v>1316</v>
      </c>
      <c r="DG46" s="85" t="s">
        <v>1316</v>
      </c>
      <c r="DH46" s="18" t="b">
        <v>0</v>
      </c>
      <c r="DI46" s="84"/>
      <c r="DJ46" s="84"/>
      <c r="DK46" s="215"/>
      <c r="DL46" s="194"/>
      <c r="DM46" s="216"/>
      <c r="DN46" s="151"/>
      <c r="DO46" s="84"/>
      <c r="DP46" s="84"/>
      <c r="DQ46" s="84"/>
      <c r="DR46" s="84"/>
      <c r="DS46" s="84"/>
      <c r="DT46" s="84"/>
      <c r="DU46" s="84"/>
      <c r="DV46" s="18"/>
      <c r="DW46" s="18"/>
      <c r="DX46" s="18"/>
      <c r="DY46" s="197"/>
      <c r="DZ46" s="197">
        <v>0</v>
      </c>
      <c r="EA46" s="197">
        <v>0</v>
      </c>
      <c r="EB46" s="197">
        <v>0</v>
      </c>
      <c r="EC46" s="197">
        <v>0</v>
      </c>
      <c r="ED46" s="197">
        <v>0</v>
      </c>
      <c r="EE46" s="197">
        <v>0</v>
      </c>
      <c r="EF46" s="197">
        <v>0</v>
      </c>
      <c r="EG46" s="219"/>
      <c r="EH46" s="224">
        <v>2</v>
      </c>
      <c r="EI46" s="222">
        <v>0</v>
      </c>
      <c r="EJ46" s="223">
        <v>1</v>
      </c>
      <c r="EK46" s="223">
        <v>1</v>
      </c>
      <c r="EL46" s="224">
        <v>1</v>
      </c>
      <c r="EM46" s="226">
        <v>2</v>
      </c>
      <c r="EN46" s="224">
        <v>1</v>
      </c>
      <c r="EO46" s="224">
        <v>1</v>
      </c>
      <c r="EP46" s="218">
        <v>1</v>
      </c>
      <c r="EQ46" s="218">
        <v>0</v>
      </c>
      <c r="ER46" s="218">
        <v>0</v>
      </c>
      <c r="ES46" s="218">
        <v>0</v>
      </c>
      <c r="ET46" s="218">
        <v>0</v>
      </c>
      <c r="EU46" s="218">
        <v>0</v>
      </c>
      <c r="EV46" s="218">
        <v>0</v>
      </c>
      <c r="EW46" s="218">
        <v>0</v>
      </c>
      <c r="EX46" s="218">
        <v>0</v>
      </c>
      <c r="EY46" s="218">
        <v>0</v>
      </c>
      <c r="EZ46" s="218">
        <v>0</v>
      </c>
      <c r="FA46" s="218">
        <v>0</v>
      </c>
      <c r="FB46" s="218">
        <v>0</v>
      </c>
      <c r="FC46" s="218">
        <v>0</v>
      </c>
      <c r="FD46" s="218">
        <v>0</v>
      </c>
      <c r="FE46" s="218">
        <v>0</v>
      </c>
      <c r="FF46" s="218">
        <v>0</v>
      </c>
      <c r="FG46" s="218">
        <v>0</v>
      </c>
      <c r="FH46" s="218">
        <v>0</v>
      </c>
      <c r="FI46" s="218">
        <v>0</v>
      </c>
      <c r="FJ46" s="218">
        <v>0</v>
      </c>
      <c r="FK46" s="218">
        <v>0</v>
      </c>
      <c r="FL46" s="218">
        <v>0</v>
      </c>
      <c r="FM46" s="218">
        <v>0</v>
      </c>
      <c r="FN46" s="218">
        <v>0</v>
      </c>
      <c r="FO46" s="218">
        <v>0</v>
      </c>
      <c r="FP46" s="218">
        <v>0</v>
      </c>
      <c r="FQ46" s="218">
        <v>0</v>
      </c>
      <c r="FR46" s="218">
        <v>0</v>
      </c>
      <c r="FS46" s="218">
        <v>0</v>
      </c>
      <c r="FT46" s="218">
        <v>0</v>
      </c>
      <c r="FU46" s="218">
        <v>0</v>
      </c>
      <c r="FV46" s="218">
        <v>0</v>
      </c>
      <c r="FW46" s="218">
        <v>0</v>
      </c>
      <c r="FX46" s="218">
        <v>0</v>
      </c>
      <c r="FY46" s="218">
        <v>0</v>
      </c>
      <c r="FZ46" s="218">
        <v>0</v>
      </c>
      <c r="GA46" s="218">
        <v>0</v>
      </c>
      <c r="GB46" s="218">
        <v>0</v>
      </c>
      <c r="GC46" s="218">
        <v>0</v>
      </c>
      <c r="GD46" s="218">
        <v>0</v>
      </c>
      <c r="GE46" s="247"/>
      <c r="GF46" s="218">
        <v>0</v>
      </c>
      <c r="GG46" s="218">
        <v>0</v>
      </c>
      <c r="GH46" s="218">
        <v>0</v>
      </c>
      <c r="GI46" s="218">
        <v>0</v>
      </c>
      <c r="GJ46" s="218">
        <v>0</v>
      </c>
      <c r="GK46" s="218">
        <v>0</v>
      </c>
      <c r="GL46" s="218">
        <v>0</v>
      </c>
      <c r="GM46" s="247"/>
      <c r="GN46" s="218">
        <v>0</v>
      </c>
      <c r="GO46" s="218">
        <v>0</v>
      </c>
      <c r="GP46" s="218">
        <v>0</v>
      </c>
      <c r="GQ46" s="218">
        <v>0</v>
      </c>
      <c r="GR46" s="218">
        <v>0</v>
      </c>
      <c r="GS46" s="218">
        <v>0</v>
      </c>
      <c r="GT46" s="218">
        <v>0</v>
      </c>
      <c r="GU46" s="218">
        <v>0</v>
      </c>
      <c r="GV46" s="218">
        <v>0</v>
      </c>
      <c r="GW46" s="218">
        <v>0</v>
      </c>
      <c r="GX46" s="218">
        <v>0</v>
      </c>
      <c r="GY46" s="218">
        <v>0</v>
      </c>
      <c r="GZ46" s="218">
        <v>0</v>
      </c>
      <c r="HA46" s="218">
        <v>0</v>
      </c>
      <c r="HB46" s="218">
        <v>0</v>
      </c>
      <c r="HC46" s="218">
        <v>0</v>
      </c>
      <c r="HD46" s="218">
        <v>0</v>
      </c>
      <c r="HE46" s="218">
        <v>0</v>
      </c>
      <c r="HF46" s="218">
        <v>0</v>
      </c>
      <c r="HG46" s="218">
        <v>0</v>
      </c>
      <c r="HH46" s="218">
        <v>0</v>
      </c>
      <c r="HI46" s="218">
        <v>0</v>
      </c>
      <c r="HJ46" s="218">
        <v>0</v>
      </c>
      <c r="HK46" s="218">
        <v>0</v>
      </c>
      <c r="HL46" s="218">
        <v>0</v>
      </c>
      <c r="HM46" s="218">
        <v>0</v>
      </c>
      <c r="HN46" s="218">
        <v>0</v>
      </c>
      <c r="HO46" s="218">
        <v>0</v>
      </c>
      <c r="HP46" s="218">
        <v>0</v>
      </c>
      <c r="HQ46" s="218">
        <v>0</v>
      </c>
      <c r="HR46" s="218">
        <v>0</v>
      </c>
      <c r="HS46" s="218">
        <v>0</v>
      </c>
      <c r="HT46" s="218">
        <v>0</v>
      </c>
      <c r="HU46" s="218">
        <v>0</v>
      </c>
      <c r="HV46" s="218">
        <v>0</v>
      </c>
      <c r="HW46" s="218">
        <v>0</v>
      </c>
      <c r="HX46" s="218">
        <v>0</v>
      </c>
      <c r="HY46" s="218">
        <v>0</v>
      </c>
      <c r="HZ46" s="218">
        <v>0</v>
      </c>
      <c r="IA46" s="218">
        <v>0</v>
      </c>
      <c r="IB46" s="218">
        <v>0</v>
      </c>
      <c r="IC46" s="218">
        <v>0</v>
      </c>
      <c r="ID46" s="218">
        <v>0</v>
      </c>
      <c r="IE46" s="218">
        <v>0</v>
      </c>
      <c r="IF46" s="218">
        <v>0</v>
      </c>
      <c r="IG46" s="218">
        <v>0</v>
      </c>
      <c r="IH46" s="218">
        <v>0</v>
      </c>
      <c r="II46" s="218">
        <v>0</v>
      </c>
      <c r="IJ46" s="247"/>
      <c r="IK46" s="218">
        <v>0</v>
      </c>
      <c r="IL46" s="218">
        <v>0</v>
      </c>
      <c r="IM46" s="247"/>
      <c r="IN46" s="247"/>
      <c r="IO46" s="247"/>
      <c r="IP46" s="247"/>
      <c r="IQ46" s="247"/>
      <c r="IR46" s="247"/>
      <c r="IS46" s="247"/>
      <c r="IT46" s="247"/>
      <c r="IU46" s="247"/>
      <c r="IV46" s="247"/>
      <c r="IW46" s="247"/>
      <c r="IX46" s="247"/>
      <c r="IY46" s="247"/>
      <c r="IZ46" s="247"/>
      <c r="JA46" s="247"/>
      <c r="JB46" s="247"/>
      <c r="JC46" s="247"/>
      <c r="JD46" s="247"/>
      <c r="JE46" s="247"/>
      <c r="JF46" s="247"/>
      <c r="JG46" s="247"/>
      <c r="JH46" s="247"/>
      <c r="JI46" s="247"/>
      <c r="JJ46" s="247"/>
      <c r="JK46" s="247"/>
      <c r="JL46" s="247"/>
      <c r="JM46" s="247"/>
      <c r="JN46" s="247"/>
      <c r="JO46" s="247"/>
      <c r="JP46" s="247"/>
      <c r="JQ46" s="247"/>
      <c r="JR46" s="247"/>
      <c r="JS46" s="247"/>
      <c r="JT46" s="247"/>
      <c r="JU46" s="247"/>
      <c r="JV46" s="247"/>
      <c r="JW46" s="247"/>
      <c r="JX46" s="247"/>
      <c r="JY46" s="247"/>
      <c r="JZ46" s="247"/>
      <c r="KA46" s="247"/>
      <c r="KB46" s="247"/>
      <c r="KC46" s="247"/>
      <c r="KD46" s="247"/>
      <c r="KE46" s="247"/>
      <c r="KF46" s="247"/>
      <c r="KG46" s="247"/>
      <c r="KH46" s="247"/>
      <c r="KI46" s="247"/>
      <c r="KJ46" s="247"/>
      <c r="KK46" s="247"/>
      <c r="KL46" s="247"/>
      <c r="KM46" s="247"/>
      <c r="KN46" s="247"/>
      <c r="KO46" s="247"/>
      <c r="KP46" s="247"/>
      <c r="KQ46" s="247"/>
      <c r="KR46" s="247"/>
      <c r="KS46" s="247"/>
      <c r="KT46" s="247"/>
      <c r="KU46" s="247"/>
      <c r="KV46" s="247"/>
      <c r="KW46" s="247"/>
      <c r="KX46" s="247"/>
      <c r="KY46" s="247"/>
      <c r="KZ46" s="247"/>
      <c r="LA46" s="247"/>
      <c r="LB46" s="247"/>
      <c r="LC46" s="247"/>
      <c r="LD46" s="247"/>
      <c r="LE46" s="247"/>
      <c r="LF46" s="247"/>
      <c r="LG46" s="247"/>
      <c r="LH46" s="247"/>
      <c r="LI46" s="247"/>
      <c r="LJ46" s="247"/>
      <c r="LK46" s="247"/>
      <c r="LL46" s="247"/>
      <c r="LM46" s="247"/>
      <c r="LN46" s="247"/>
      <c r="LO46" s="247"/>
      <c r="LP46" s="247"/>
      <c r="LQ46" s="247"/>
      <c r="LR46" s="247"/>
      <c r="LS46" s="247"/>
      <c r="LT46" s="247"/>
      <c r="LU46" s="247"/>
      <c r="LV46" s="247"/>
      <c r="LW46" s="247"/>
      <c r="LX46" s="247"/>
      <c r="LY46" s="247"/>
      <c r="LZ46" s="247"/>
      <c r="MA46" s="247"/>
      <c r="MB46" s="247"/>
      <c r="MC46" s="247"/>
      <c r="MD46" s="247"/>
      <c r="ME46" s="247"/>
      <c r="MF46" s="304"/>
      <c r="MG46" s="304"/>
      <c r="MH46" s="304"/>
      <c r="MI46" s="304"/>
      <c r="MJ46" s="304"/>
      <c r="MK46" s="304"/>
      <c r="ML46" s="304"/>
      <c r="MM46" s="304"/>
      <c r="MN46" s="304"/>
      <c r="MO46" s="304"/>
      <c r="MP46" s="304"/>
      <c r="MQ46" s="304"/>
      <c r="MR46" s="304"/>
      <c r="MS46" s="304"/>
      <c r="MT46" s="304"/>
      <c r="MU46" s="304"/>
      <c r="MV46" s="304"/>
      <c r="MW46" s="304"/>
      <c r="MX46" s="304"/>
      <c r="MY46" s="304"/>
      <c r="MZ46" s="304"/>
      <c r="NA46" s="304"/>
      <c r="NB46" s="304"/>
      <c r="NC46" s="304"/>
      <c r="ND46" s="304"/>
      <c r="NE46" s="304"/>
      <c r="NF46" s="304"/>
      <c r="NG46" s="304"/>
      <c r="NH46" s="304"/>
      <c r="NI46" s="304"/>
    </row>
    <row r="47" spans="1:373" x14ac:dyDescent="0.2">
      <c r="A47" s="132" t="s">
        <v>739</v>
      </c>
      <c r="B47" s="133" t="s">
        <v>954</v>
      </c>
      <c r="C47" s="134"/>
      <c r="D47" s="242" t="s">
        <v>1272</v>
      </c>
      <c r="E47" s="242">
        <v>0</v>
      </c>
      <c r="F47" s="243" t="s">
        <v>1273</v>
      </c>
      <c r="G47" s="243" t="s">
        <v>1242</v>
      </c>
      <c r="H47" s="243" t="s">
        <v>961</v>
      </c>
      <c r="I47" s="243">
        <v>0</v>
      </c>
      <c r="J47" s="243">
        <v>0</v>
      </c>
      <c r="K47" s="243">
        <v>0</v>
      </c>
      <c r="L47" s="243" t="s">
        <v>1243</v>
      </c>
      <c r="M47" s="243">
        <v>0</v>
      </c>
      <c r="N47" s="243" t="s">
        <v>1218</v>
      </c>
      <c r="O47" s="243">
        <v>0</v>
      </c>
      <c r="P47" s="243">
        <v>0</v>
      </c>
      <c r="Q47" s="243">
        <v>0</v>
      </c>
      <c r="R47" s="135"/>
      <c r="S47" s="135"/>
      <c r="T47" s="135"/>
      <c r="U47" s="135"/>
      <c r="V47" s="135"/>
      <c r="W47" s="135">
        <v>0</v>
      </c>
      <c r="X47" s="135">
        <v>0</v>
      </c>
      <c r="Y47" s="135">
        <v>0</v>
      </c>
      <c r="Z47" s="136">
        <v>325.8</v>
      </c>
      <c r="AA47" s="136">
        <v>749.11</v>
      </c>
      <c r="AB47" s="136">
        <v>0</v>
      </c>
      <c r="AC47" s="137">
        <v>0</v>
      </c>
      <c r="AD47" s="137">
        <v>0</v>
      </c>
      <c r="AE47" s="138">
        <v>10</v>
      </c>
      <c r="AF47" s="138">
        <v>8</v>
      </c>
      <c r="AG47" s="138">
        <v>2</v>
      </c>
      <c r="AH47" s="139">
        <v>1</v>
      </c>
      <c r="AI47" s="139" t="s">
        <v>1316</v>
      </c>
      <c r="AJ47" s="138" t="s">
        <v>3647</v>
      </c>
      <c r="AK47" s="195" t="s">
        <v>1316</v>
      </c>
      <c r="AL47" s="138" t="s">
        <v>1316</v>
      </c>
      <c r="AM47" s="27" t="s">
        <v>1316</v>
      </c>
      <c r="AN47" s="138">
        <v>0.09</v>
      </c>
      <c r="AO47" s="140">
        <v>0</v>
      </c>
      <c r="AP47" s="140">
        <v>22.222222222222221</v>
      </c>
      <c r="AQ47" s="140">
        <v>2.7777777777777777</v>
      </c>
      <c r="AR47" s="138">
        <v>0</v>
      </c>
      <c r="AS47" s="138">
        <v>0</v>
      </c>
      <c r="AT47" s="198"/>
      <c r="AU47" s="198"/>
      <c r="AV47" s="198"/>
      <c r="AW47" s="211" t="s">
        <v>790</v>
      </c>
      <c r="AX47" s="211" t="s">
        <v>1324</v>
      </c>
      <c r="AY47" s="141"/>
      <c r="AZ47" s="141"/>
      <c r="BA47" s="142">
        <v>1</v>
      </c>
      <c r="BB47" s="142" t="s">
        <v>527</v>
      </c>
      <c r="BC47" s="142"/>
      <c r="BD47" s="142">
        <v>1</v>
      </c>
      <c r="BE47" s="143" t="s">
        <v>541</v>
      </c>
      <c r="BF47" s="144">
        <v>1</v>
      </c>
      <c r="BG47" s="145"/>
      <c r="BH47" s="212"/>
      <c r="BI47" s="213"/>
      <c r="BJ47" s="146">
        <v>0</v>
      </c>
      <c r="BK47" s="214">
        <v>2</v>
      </c>
      <c r="BL47" s="13">
        <v>0</v>
      </c>
      <c r="BM47" s="13">
        <v>0</v>
      </c>
      <c r="BN47" s="27" t="s">
        <v>1317</v>
      </c>
      <c r="BO47" s="13" t="s">
        <v>1317</v>
      </c>
      <c r="BP47" s="147">
        <v>35</v>
      </c>
      <c r="BQ47" s="148"/>
      <c r="BR47" s="149"/>
      <c r="BS47" s="138">
        <v>1000000000</v>
      </c>
      <c r="BT47" s="150">
        <v>8</v>
      </c>
      <c r="BU47" s="151">
        <v>0</v>
      </c>
      <c r="BV47" s="150">
        <v>0</v>
      </c>
      <c r="BW47" s="152">
        <v>0</v>
      </c>
      <c r="BX47" s="152">
        <v>0</v>
      </c>
      <c r="BY47" s="152">
        <v>0</v>
      </c>
      <c r="BZ47" s="150">
        <v>0</v>
      </c>
      <c r="CA47" s="150">
        <v>0</v>
      </c>
      <c r="CB47" s="150">
        <v>8</v>
      </c>
      <c r="CC47" s="151">
        <v>0</v>
      </c>
      <c r="CD47" s="150"/>
      <c r="CE47" s="150"/>
      <c r="CF47" s="153">
        <v>0</v>
      </c>
      <c r="CG47" s="154">
        <v>0</v>
      </c>
      <c r="CH47" s="148">
        <v>8</v>
      </c>
      <c r="CI47" s="155"/>
      <c r="CJ47" s="156" t="s">
        <v>1316</v>
      </c>
      <c r="CK47" s="157" t="s">
        <v>1316</v>
      </c>
      <c r="CL47" s="154">
        <v>0</v>
      </c>
      <c r="CM47" s="154">
        <v>0</v>
      </c>
      <c r="CN47" s="151">
        <v>0</v>
      </c>
      <c r="CO47" s="151">
        <v>0</v>
      </c>
      <c r="CP47" s="158"/>
      <c r="CQ47" s="151">
        <v>0</v>
      </c>
      <c r="CR47" s="199">
        <v>42887</v>
      </c>
      <c r="CS47" s="200">
        <v>43185</v>
      </c>
      <c r="CT47" s="201">
        <v>43255</v>
      </c>
      <c r="CU47" s="201">
        <v>0</v>
      </c>
      <c r="CV47" s="201">
        <v>0</v>
      </c>
      <c r="CW47" s="201" t="s">
        <v>1316</v>
      </c>
      <c r="CX47" s="201" t="s">
        <v>1316</v>
      </c>
      <c r="CY47" s="151">
        <v>5.1835639276094962E-2</v>
      </c>
      <c r="CZ47" s="150">
        <v>0</v>
      </c>
      <c r="DA47" s="151">
        <v>0</v>
      </c>
      <c r="DB47" s="151">
        <v>0</v>
      </c>
      <c r="DC47" s="151">
        <v>0</v>
      </c>
      <c r="DD47" s="151">
        <v>0</v>
      </c>
      <c r="DE47" s="159">
        <v>0.953125</v>
      </c>
      <c r="DF47" s="13" t="s">
        <v>1316</v>
      </c>
      <c r="DG47" s="85" t="s">
        <v>1316</v>
      </c>
      <c r="DH47" s="18" t="b">
        <v>0</v>
      </c>
      <c r="DI47" s="84"/>
      <c r="DJ47" s="84"/>
      <c r="DK47" s="215"/>
      <c r="DL47" s="194"/>
      <c r="DM47" s="216"/>
      <c r="DN47" s="151"/>
      <c r="DO47" s="84"/>
      <c r="DP47" s="84"/>
      <c r="DQ47" s="84"/>
      <c r="DR47" s="84"/>
      <c r="DS47" s="84"/>
      <c r="DT47" s="84"/>
      <c r="DU47" s="84"/>
      <c r="DV47" s="18"/>
      <c r="DW47" s="18"/>
      <c r="DX47" s="18"/>
      <c r="DY47" s="197"/>
      <c r="DZ47" s="197">
        <v>0</v>
      </c>
      <c r="EA47" s="197">
        <v>0</v>
      </c>
      <c r="EB47" s="197">
        <v>0</v>
      </c>
      <c r="EC47" s="197">
        <v>0</v>
      </c>
      <c r="ED47" s="197">
        <v>0</v>
      </c>
      <c r="EE47" s="197">
        <v>0</v>
      </c>
      <c r="EF47" s="197">
        <v>0</v>
      </c>
      <c r="EG47" s="221"/>
      <c r="EH47" s="252">
        <v>62</v>
      </c>
      <c r="EI47" s="252">
        <v>60</v>
      </c>
      <c r="EJ47" s="252">
        <v>49</v>
      </c>
      <c r="EK47" s="220">
        <v>44</v>
      </c>
      <c r="EL47" s="220">
        <v>42</v>
      </c>
      <c r="EM47" s="220">
        <v>9</v>
      </c>
      <c r="EN47" s="220">
        <v>1</v>
      </c>
      <c r="EO47" s="220">
        <v>1</v>
      </c>
      <c r="EP47" s="220">
        <v>1</v>
      </c>
      <c r="EQ47" s="220">
        <v>0</v>
      </c>
      <c r="ER47" s="220">
        <v>0</v>
      </c>
      <c r="ES47" s="220">
        <v>0</v>
      </c>
      <c r="ET47" s="220">
        <v>0</v>
      </c>
      <c r="EU47" s="220">
        <v>0</v>
      </c>
      <c r="EV47" s="220">
        <v>0</v>
      </c>
      <c r="EW47" s="220">
        <v>8</v>
      </c>
      <c r="EX47" s="220">
        <v>8</v>
      </c>
      <c r="EY47" s="220">
        <v>8</v>
      </c>
      <c r="EZ47" s="220">
        <v>8</v>
      </c>
      <c r="FA47" s="220">
        <v>8</v>
      </c>
      <c r="FB47" s="220">
        <v>8</v>
      </c>
      <c r="FC47" s="220">
        <v>8</v>
      </c>
      <c r="FD47" s="220">
        <v>8</v>
      </c>
      <c r="FE47" s="220">
        <v>8</v>
      </c>
      <c r="FF47" s="220">
        <v>8</v>
      </c>
      <c r="FG47" s="220">
        <v>8</v>
      </c>
      <c r="FH47" s="220">
        <v>8</v>
      </c>
      <c r="FI47" s="220">
        <v>8</v>
      </c>
      <c r="FJ47" s="220">
        <v>8</v>
      </c>
      <c r="FK47" s="220">
        <v>8</v>
      </c>
      <c r="FL47" s="220">
        <v>8</v>
      </c>
      <c r="FM47" s="220">
        <v>8</v>
      </c>
      <c r="FN47" s="220">
        <v>8</v>
      </c>
      <c r="FO47" s="220">
        <v>8</v>
      </c>
      <c r="FP47" s="220">
        <v>8</v>
      </c>
      <c r="FQ47" s="220">
        <v>8</v>
      </c>
      <c r="FR47" s="220">
        <v>8</v>
      </c>
      <c r="FS47" s="220">
        <v>8</v>
      </c>
      <c r="FT47" s="220">
        <v>8</v>
      </c>
      <c r="FU47" s="220">
        <v>8</v>
      </c>
      <c r="FV47" s="220">
        <v>8</v>
      </c>
      <c r="FW47" s="220">
        <v>8</v>
      </c>
      <c r="FX47" s="220">
        <v>8</v>
      </c>
      <c r="FY47" s="220">
        <v>8</v>
      </c>
      <c r="FZ47" s="220">
        <v>8</v>
      </c>
      <c r="GA47" s="220">
        <v>8</v>
      </c>
      <c r="GB47" s="220">
        <v>8</v>
      </c>
      <c r="GC47" s="220">
        <v>8</v>
      </c>
      <c r="GD47" s="220">
        <v>8</v>
      </c>
      <c r="GE47" s="251"/>
      <c r="GF47" s="220">
        <v>8</v>
      </c>
      <c r="GG47" s="220">
        <v>8</v>
      </c>
      <c r="GH47" s="220">
        <v>8</v>
      </c>
      <c r="GI47" s="220">
        <v>8</v>
      </c>
      <c r="GJ47" s="220">
        <v>8</v>
      </c>
      <c r="GK47" s="220">
        <v>8</v>
      </c>
      <c r="GL47" s="220">
        <v>8</v>
      </c>
      <c r="GM47" s="251"/>
      <c r="GN47" s="220">
        <v>8</v>
      </c>
      <c r="GO47" s="220">
        <v>8</v>
      </c>
      <c r="GP47" s="220">
        <v>8</v>
      </c>
      <c r="GQ47" s="220">
        <v>8</v>
      </c>
      <c r="GR47" s="220">
        <v>9</v>
      </c>
      <c r="GS47" s="220">
        <v>9</v>
      </c>
      <c r="GT47" s="220">
        <v>9</v>
      </c>
      <c r="GU47" s="220">
        <v>9</v>
      </c>
      <c r="GV47" s="220">
        <v>9</v>
      </c>
      <c r="GW47" s="220">
        <v>9</v>
      </c>
      <c r="GX47" s="220">
        <v>9</v>
      </c>
      <c r="GY47" s="220">
        <v>9</v>
      </c>
      <c r="GZ47" s="220">
        <v>9</v>
      </c>
      <c r="HA47" s="220">
        <v>9</v>
      </c>
      <c r="HB47" s="220">
        <v>9</v>
      </c>
      <c r="HC47" s="220">
        <v>9</v>
      </c>
      <c r="HD47" s="220">
        <v>9</v>
      </c>
      <c r="HE47" s="220">
        <v>9</v>
      </c>
      <c r="HF47" s="220">
        <v>9</v>
      </c>
      <c r="HG47" s="220">
        <v>9</v>
      </c>
      <c r="HH47" s="220">
        <v>9</v>
      </c>
      <c r="HI47" s="220">
        <v>9</v>
      </c>
      <c r="HJ47" s="220">
        <v>9</v>
      </c>
      <c r="HK47" s="220">
        <v>9</v>
      </c>
      <c r="HL47" s="220">
        <v>9</v>
      </c>
      <c r="HM47" s="220">
        <v>9</v>
      </c>
      <c r="HN47" s="220">
        <v>9</v>
      </c>
      <c r="HO47" s="220">
        <v>9</v>
      </c>
      <c r="HP47" s="220">
        <v>9</v>
      </c>
      <c r="HQ47" s="220">
        <v>9</v>
      </c>
      <c r="HR47" s="220">
        <v>9</v>
      </c>
      <c r="HS47" s="220">
        <v>9</v>
      </c>
      <c r="HT47" s="220">
        <v>9</v>
      </c>
      <c r="HU47" s="220">
        <v>9</v>
      </c>
      <c r="HV47" s="220">
        <v>9</v>
      </c>
      <c r="HW47" s="220">
        <v>9</v>
      </c>
      <c r="HX47" s="220">
        <v>9</v>
      </c>
      <c r="HY47" s="220">
        <v>9</v>
      </c>
      <c r="HZ47" s="220">
        <v>9</v>
      </c>
      <c r="IA47" s="220">
        <v>9</v>
      </c>
      <c r="IB47" s="220">
        <v>9</v>
      </c>
      <c r="IC47" s="220">
        <v>9</v>
      </c>
      <c r="ID47" s="220">
        <v>9</v>
      </c>
      <c r="IE47" s="220">
        <v>9</v>
      </c>
      <c r="IF47" s="220">
        <v>9</v>
      </c>
      <c r="IG47" s="220">
        <v>9</v>
      </c>
      <c r="IH47" s="220">
        <v>9</v>
      </c>
      <c r="II47" s="220">
        <v>9</v>
      </c>
      <c r="IJ47" s="251"/>
      <c r="IK47" s="220">
        <v>8</v>
      </c>
      <c r="IL47" s="220">
        <v>8</v>
      </c>
      <c r="IM47" s="251"/>
      <c r="IN47" s="251"/>
      <c r="IO47" s="251"/>
      <c r="IP47" s="251"/>
      <c r="IQ47" s="251"/>
      <c r="IR47" s="251"/>
      <c r="IS47" s="251"/>
      <c r="IT47" s="251"/>
      <c r="IU47" s="251"/>
      <c r="IV47" s="251"/>
      <c r="IW47" s="251"/>
      <c r="IX47" s="251"/>
      <c r="IY47" s="251"/>
      <c r="IZ47" s="251"/>
      <c r="JA47" s="251"/>
      <c r="JB47" s="251"/>
      <c r="JC47" s="251"/>
      <c r="JD47" s="251"/>
      <c r="JE47" s="251"/>
      <c r="JF47" s="251"/>
      <c r="JG47" s="251"/>
      <c r="JH47" s="251"/>
      <c r="JI47" s="251"/>
      <c r="JJ47" s="251"/>
      <c r="JK47" s="251"/>
      <c r="JL47" s="251"/>
      <c r="JM47" s="251"/>
      <c r="JN47" s="251"/>
      <c r="JO47" s="251"/>
      <c r="JP47" s="251"/>
      <c r="JQ47" s="251"/>
      <c r="JR47" s="251"/>
      <c r="JS47" s="251"/>
      <c r="JT47" s="251"/>
      <c r="JU47" s="251"/>
      <c r="JV47" s="251"/>
      <c r="JW47" s="251"/>
      <c r="JX47" s="251"/>
      <c r="JY47" s="251"/>
      <c r="JZ47" s="251"/>
      <c r="KA47" s="251"/>
      <c r="KB47" s="251"/>
      <c r="KC47" s="251"/>
      <c r="KD47" s="251"/>
      <c r="KE47" s="251"/>
      <c r="KF47" s="251"/>
      <c r="KG47" s="251"/>
      <c r="KH47" s="251"/>
      <c r="KI47" s="251"/>
      <c r="KJ47" s="251"/>
      <c r="KK47" s="251"/>
      <c r="KL47" s="251"/>
      <c r="KM47" s="251"/>
      <c r="KN47" s="251"/>
      <c r="KO47" s="251"/>
      <c r="KP47" s="251"/>
      <c r="KQ47" s="251"/>
      <c r="KR47" s="251"/>
      <c r="KS47" s="251"/>
      <c r="KT47" s="251"/>
      <c r="KU47" s="251"/>
      <c r="KV47" s="251"/>
      <c r="KW47" s="251"/>
      <c r="KX47" s="251"/>
      <c r="KY47" s="251"/>
      <c r="KZ47" s="251"/>
      <c r="LA47" s="251"/>
      <c r="LB47" s="251"/>
      <c r="LC47" s="251"/>
      <c r="LD47" s="251"/>
      <c r="LE47" s="251"/>
      <c r="LF47" s="251"/>
      <c r="LG47" s="251"/>
      <c r="LH47" s="251"/>
      <c r="LI47" s="251"/>
      <c r="LJ47" s="251"/>
      <c r="LK47" s="251"/>
      <c r="LL47" s="251"/>
      <c r="LM47" s="251"/>
      <c r="LN47" s="251"/>
      <c r="LO47" s="251"/>
      <c r="LP47" s="251"/>
      <c r="LQ47" s="251"/>
      <c r="LR47" s="251"/>
      <c r="LS47" s="251"/>
      <c r="LT47" s="251"/>
      <c r="LU47" s="251"/>
      <c r="LV47" s="251"/>
      <c r="LW47" s="251"/>
      <c r="LX47" s="251"/>
      <c r="LY47" s="251"/>
      <c r="LZ47" s="251"/>
      <c r="MA47" s="251"/>
      <c r="MB47" s="251"/>
      <c r="MC47" s="251"/>
      <c r="MD47" s="251"/>
      <c r="ME47" s="251"/>
      <c r="MF47" s="304"/>
      <c r="MG47" s="304"/>
      <c r="MH47" s="304"/>
      <c r="MI47" s="304"/>
      <c r="MJ47" s="304"/>
      <c r="MK47" s="304"/>
      <c r="ML47" s="304"/>
      <c r="MM47" s="304"/>
      <c r="MN47" s="304"/>
      <c r="MO47" s="304"/>
      <c r="MP47" s="304"/>
      <c r="MQ47" s="304"/>
      <c r="MR47" s="304"/>
      <c r="MS47" s="304"/>
      <c r="MT47" s="304"/>
      <c r="MU47" s="304"/>
      <c r="MV47" s="304"/>
      <c r="MW47" s="304"/>
      <c r="MX47" s="304"/>
      <c r="MY47" s="304"/>
      <c r="MZ47" s="304"/>
      <c r="NA47" s="304"/>
      <c r="NB47" s="304"/>
      <c r="NC47" s="304"/>
      <c r="ND47" s="304"/>
      <c r="NE47" s="304"/>
      <c r="NF47" s="304"/>
      <c r="NG47" s="304"/>
      <c r="NH47" s="304"/>
      <c r="NI47" s="304"/>
    </row>
    <row r="48" spans="1:373" x14ac:dyDescent="0.2">
      <c r="A48" s="132" t="s">
        <v>739</v>
      </c>
      <c r="B48" s="133" t="s">
        <v>955</v>
      </c>
      <c r="C48" s="134"/>
      <c r="D48" s="242" t="s">
        <v>1268</v>
      </c>
      <c r="E48" s="242">
        <v>0</v>
      </c>
      <c r="F48" s="243" t="s">
        <v>1269</v>
      </c>
      <c r="G48" s="243" t="s">
        <v>1242</v>
      </c>
      <c r="H48" s="243" t="s">
        <v>961</v>
      </c>
      <c r="I48" s="243">
        <v>0</v>
      </c>
      <c r="J48" s="243">
        <v>0</v>
      </c>
      <c r="K48" s="243">
        <v>0</v>
      </c>
      <c r="L48" s="243" t="s">
        <v>1243</v>
      </c>
      <c r="M48" s="243">
        <v>0</v>
      </c>
      <c r="N48" s="243" t="s">
        <v>1218</v>
      </c>
      <c r="O48" s="243">
        <v>0</v>
      </c>
      <c r="P48" s="243">
        <v>0</v>
      </c>
      <c r="Q48" s="243">
        <v>0</v>
      </c>
      <c r="R48" s="135"/>
      <c r="S48" s="135"/>
      <c r="T48" s="135"/>
      <c r="U48" s="135"/>
      <c r="V48" s="135"/>
      <c r="W48" s="135">
        <v>0</v>
      </c>
      <c r="X48" s="135">
        <v>0</v>
      </c>
      <c r="Y48" s="135">
        <v>0</v>
      </c>
      <c r="Z48" s="136">
        <v>372.8</v>
      </c>
      <c r="AA48" s="136">
        <v>826.25</v>
      </c>
      <c r="AB48" s="136">
        <v>0</v>
      </c>
      <c r="AC48" s="137">
        <v>0</v>
      </c>
      <c r="AD48" s="137">
        <v>0</v>
      </c>
      <c r="AE48" s="138">
        <v>10</v>
      </c>
      <c r="AF48" s="138">
        <v>8</v>
      </c>
      <c r="AG48" s="138">
        <v>2</v>
      </c>
      <c r="AH48" s="139">
        <v>1</v>
      </c>
      <c r="AI48" s="139" t="s">
        <v>1387</v>
      </c>
      <c r="AJ48" s="138" t="s">
        <v>3648</v>
      </c>
      <c r="AK48" s="195" t="s">
        <v>3627</v>
      </c>
      <c r="AL48" s="138" t="s">
        <v>1316</v>
      </c>
      <c r="AM48" s="27" t="s">
        <v>1316</v>
      </c>
      <c r="AN48" s="138">
        <v>12.5</v>
      </c>
      <c r="AO48" s="140">
        <v>3.6</v>
      </c>
      <c r="AP48" s="140">
        <v>3.14</v>
      </c>
      <c r="AQ48" s="140">
        <v>0.02</v>
      </c>
      <c r="AR48" s="138">
        <v>0</v>
      </c>
      <c r="AS48" s="138">
        <v>0</v>
      </c>
      <c r="AT48" s="198"/>
      <c r="AU48" s="198"/>
      <c r="AV48" s="198"/>
      <c r="AW48" s="211" t="s">
        <v>790</v>
      </c>
      <c r="AX48" s="211" t="s">
        <v>1324</v>
      </c>
      <c r="AY48" s="141"/>
      <c r="AZ48" s="141"/>
      <c r="BA48" s="142">
        <v>1</v>
      </c>
      <c r="BB48" s="142" t="s">
        <v>527</v>
      </c>
      <c r="BC48" s="142"/>
      <c r="BD48" s="142">
        <v>1</v>
      </c>
      <c r="BE48" s="143" t="s">
        <v>541</v>
      </c>
      <c r="BF48" s="144">
        <v>1</v>
      </c>
      <c r="BG48" s="145"/>
      <c r="BH48" s="212"/>
      <c r="BI48" s="213"/>
      <c r="BJ48" s="146">
        <v>180</v>
      </c>
      <c r="BK48" s="214">
        <v>188</v>
      </c>
      <c r="BL48" s="13">
        <v>120</v>
      </c>
      <c r="BM48" s="13">
        <v>59</v>
      </c>
      <c r="BN48" s="27" t="s">
        <v>1393</v>
      </c>
      <c r="BO48" s="13" t="s">
        <v>1396</v>
      </c>
      <c r="BP48" s="147">
        <v>100</v>
      </c>
      <c r="BQ48" s="148"/>
      <c r="BR48" s="149"/>
      <c r="BS48" s="138">
        <v>1000000000</v>
      </c>
      <c r="BT48" s="150">
        <v>50</v>
      </c>
      <c r="BU48" s="151">
        <v>0.72</v>
      </c>
      <c r="BV48" s="150">
        <v>107</v>
      </c>
      <c r="BW48" s="152">
        <v>0</v>
      </c>
      <c r="BX48" s="152">
        <v>0</v>
      </c>
      <c r="BY48" s="152">
        <v>0</v>
      </c>
      <c r="BZ48" s="150">
        <v>0</v>
      </c>
      <c r="CA48" s="150">
        <v>0</v>
      </c>
      <c r="CB48" s="150">
        <v>157</v>
      </c>
      <c r="CC48" s="151">
        <v>0.13</v>
      </c>
      <c r="CD48" s="150"/>
      <c r="CE48" s="150"/>
      <c r="CF48" s="153">
        <v>23</v>
      </c>
      <c r="CG48" s="154">
        <v>36</v>
      </c>
      <c r="CH48" s="148">
        <v>10</v>
      </c>
      <c r="CI48" s="155"/>
      <c r="CJ48" s="156" t="s">
        <v>1316</v>
      </c>
      <c r="CK48" s="157" t="s">
        <v>1316</v>
      </c>
      <c r="CL48" s="154">
        <v>4081.0499999999997</v>
      </c>
      <c r="CM48" s="154">
        <v>0</v>
      </c>
      <c r="CN48" s="151">
        <v>0</v>
      </c>
      <c r="CO48" s="151">
        <v>5.8384120171673821</v>
      </c>
      <c r="CP48" s="158"/>
      <c r="CQ48" s="151">
        <v>0.69</v>
      </c>
      <c r="CR48" s="199">
        <v>43133</v>
      </c>
      <c r="CS48" s="200">
        <v>43185</v>
      </c>
      <c r="CT48" s="201">
        <v>43255</v>
      </c>
      <c r="CU48" s="201">
        <v>43195</v>
      </c>
      <c r="CV48" s="201">
        <v>43179</v>
      </c>
      <c r="CW48" s="201">
        <v>43209</v>
      </c>
      <c r="CX48" s="201">
        <v>43251</v>
      </c>
      <c r="CY48" s="151">
        <v>0.34979024830767497</v>
      </c>
      <c r="CZ48" s="150">
        <v>0</v>
      </c>
      <c r="DA48" s="151">
        <v>0</v>
      </c>
      <c r="DB48" s="151">
        <v>0.421875</v>
      </c>
      <c r="DC48" s="151">
        <v>0.53125</v>
      </c>
      <c r="DD48" s="151">
        <v>0</v>
      </c>
      <c r="DE48" s="159">
        <v>0</v>
      </c>
      <c r="DF48" s="13" t="s">
        <v>1316</v>
      </c>
      <c r="DG48" s="85" t="s">
        <v>1394</v>
      </c>
      <c r="DH48" s="18" t="b">
        <v>0</v>
      </c>
      <c r="DI48" s="84"/>
      <c r="DJ48" s="84"/>
      <c r="DK48" s="215"/>
      <c r="DL48" s="194"/>
      <c r="DM48" s="216"/>
      <c r="DN48" s="151"/>
      <c r="DO48" s="84"/>
      <c r="DP48" s="84"/>
      <c r="DQ48" s="84"/>
      <c r="DR48" s="84"/>
      <c r="DS48" s="84"/>
      <c r="DT48" s="84"/>
      <c r="DU48" s="84"/>
      <c r="DV48" s="18"/>
      <c r="DW48" s="18"/>
      <c r="DX48" s="18"/>
      <c r="DY48" s="197"/>
      <c r="DZ48" s="197">
        <v>0</v>
      </c>
      <c r="EA48" s="197">
        <v>24</v>
      </c>
      <c r="EB48" s="197">
        <v>0</v>
      </c>
      <c r="EC48" s="197">
        <v>0</v>
      </c>
      <c r="ED48" s="197">
        <v>0</v>
      </c>
      <c r="EE48" s="197">
        <v>0</v>
      </c>
      <c r="EF48" s="197">
        <v>83</v>
      </c>
      <c r="EG48" s="219"/>
      <c r="EH48" s="225">
        <v>115</v>
      </c>
      <c r="EI48" s="225">
        <v>102</v>
      </c>
      <c r="EJ48" s="225">
        <v>98</v>
      </c>
      <c r="EK48" s="225">
        <v>85</v>
      </c>
      <c r="EL48" s="225">
        <v>85</v>
      </c>
      <c r="EM48" s="225">
        <v>78</v>
      </c>
      <c r="EN48" s="224">
        <v>57</v>
      </c>
      <c r="EO48" s="223">
        <v>9</v>
      </c>
      <c r="EP48" s="223">
        <v>7</v>
      </c>
      <c r="EQ48" s="223">
        <v>1</v>
      </c>
      <c r="ER48" s="223">
        <v>4</v>
      </c>
      <c r="ES48" s="223">
        <v>1</v>
      </c>
      <c r="ET48" s="224">
        <v>64</v>
      </c>
      <c r="EU48" s="223">
        <v>52</v>
      </c>
      <c r="EV48" s="223">
        <v>42</v>
      </c>
      <c r="EW48" s="223">
        <v>26</v>
      </c>
      <c r="EX48" s="223">
        <v>26</v>
      </c>
      <c r="EY48" s="223">
        <v>26</v>
      </c>
      <c r="EZ48" s="223">
        <v>26</v>
      </c>
      <c r="FA48" s="223">
        <v>26</v>
      </c>
      <c r="FB48" s="223">
        <v>26</v>
      </c>
      <c r="FC48" s="223">
        <v>26</v>
      </c>
      <c r="FD48" s="223">
        <v>25</v>
      </c>
      <c r="FE48" s="223">
        <v>25</v>
      </c>
      <c r="FF48" s="223">
        <v>25</v>
      </c>
      <c r="FG48" s="223">
        <v>25</v>
      </c>
      <c r="FH48" s="223">
        <v>24</v>
      </c>
      <c r="FI48" s="223">
        <v>24</v>
      </c>
      <c r="FJ48" s="223">
        <v>23</v>
      </c>
      <c r="FK48" s="223">
        <v>23</v>
      </c>
      <c r="FL48" s="223">
        <v>23</v>
      </c>
      <c r="FM48" s="223">
        <v>23</v>
      </c>
      <c r="FN48" s="223">
        <v>23</v>
      </c>
      <c r="FO48" s="223">
        <v>23</v>
      </c>
      <c r="FP48" s="223">
        <v>23</v>
      </c>
      <c r="FQ48" s="223">
        <v>22</v>
      </c>
      <c r="FR48" s="223">
        <v>21</v>
      </c>
      <c r="FS48" s="223">
        <v>21</v>
      </c>
      <c r="FT48" s="223">
        <v>21</v>
      </c>
      <c r="FU48" s="223">
        <v>21</v>
      </c>
      <c r="FV48" s="223">
        <v>21</v>
      </c>
      <c r="FW48" s="223">
        <v>21</v>
      </c>
      <c r="FX48" s="223">
        <v>41</v>
      </c>
      <c r="FY48" s="223">
        <v>41</v>
      </c>
      <c r="FZ48" s="223">
        <v>41</v>
      </c>
      <c r="GA48" s="223">
        <v>41</v>
      </c>
      <c r="GB48" s="223">
        <v>38</v>
      </c>
      <c r="GC48" s="223">
        <v>38</v>
      </c>
      <c r="GD48" s="223">
        <v>37</v>
      </c>
      <c r="GE48" s="247"/>
      <c r="GF48" s="223">
        <v>36</v>
      </c>
      <c r="GG48" s="223">
        <v>36</v>
      </c>
      <c r="GH48" s="223">
        <v>36</v>
      </c>
      <c r="GI48" s="223">
        <v>34</v>
      </c>
      <c r="GJ48" s="223">
        <v>34</v>
      </c>
      <c r="GK48" s="223">
        <v>34</v>
      </c>
      <c r="GL48" s="223">
        <v>34</v>
      </c>
      <c r="GM48" s="247"/>
      <c r="GN48" s="223">
        <v>33</v>
      </c>
      <c r="GO48" s="223">
        <v>32</v>
      </c>
      <c r="GP48" s="223">
        <v>32</v>
      </c>
      <c r="GQ48" s="223">
        <v>32</v>
      </c>
      <c r="GR48" s="223">
        <v>32</v>
      </c>
      <c r="GS48" s="223">
        <v>29</v>
      </c>
      <c r="GT48" s="223">
        <v>29</v>
      </c>
      <c r="GU48" s="223">
        <v>22</v>
      </c>
      <c r="GV48" s="223">
        <v>22</v>
      </c>
      <c r="GW48" s="223">
        <v>22</v>
      </c>
      <c r="GX48" s="223">
        <v>22</v>
      </c>
      <c r="GY48" s="223">
        <v>22</v>
      </c>
      <c r="GZ48" s="223">
        <v>21</v>
      </c>
      <c r="HA48" s="224">
        <v>75</v>
      </c>
      <c r="HB48" s="224">
        <v>71</v>
      </c>
      <c r="HC48" s="224">
        <v>71</v>
      </c>
      <c r="HD48" s="224">
        <v>71</v>
      </c>
      <c r="HE48" s="224">
        <v>71</v>
      </c>
      <c r="HF48" s="224">
        <v>71</v>
      </c>
      <c r="HG48" s="224">
        <v>71</v>
      </c>
      <c r="HH48" s="224">
        <v>71</v>
      </c>
      <c r="HI48" s="224">
        <v>71</v>
      </c>
      <c r="HJ48" s="224">
        <v>71</v>
      </c>
      <c r="HK48" s="224">
        <v>71</v>
      </c>
      <c r="HL48" s="224">
        <v>71</v>
      </c>
      <c r="HM48" s="224">
        <v>70</v>
      </c>
      <c r="HN48" s="224">
        <v>70</v>
      </c>
      <c r="HO48" s="224">
        <v>70</v>
      </c>
      <c r="HP48" s="224">
        <v>70</v>
      </c>
      <c r="HQ48" s="224">
        <v>69</v>
      </c>
      <c r="HR48" s="224">
        <v>69</v>
      </c>
      <c r="HS48" s="224">
        <v>69</v>
      </c>
      <c r="HT48" s="224">
        <v>70</v>
      </c>
      <c r="HU48" s="224">
        <v>66</v>
      </c>
      <c r="HV48" s="224">
        <v>66</v>
      </c>
      <c r="HW48" s="224">
        <v>66</v>
      </c>
      <c r="HX48" s="224">
        <v>66</v>
      </c>
      <c r="HY48" s="224">
        <v>66</v>
      </c>
      <c r="HZ48" s="224">
        <v>65</v>
      </c>
      <c r="IA48" s="224">
        <v>65</v>
      </c>
      <c r="IB48" s="224">
        <v>64</v>
      </c>
      <c r="IC48" s="224">
        <v>61</v>
      </c>
      <c r="ID48" s="224">
        <v>61</v>
      </c>
      <c r="IE48" s="224">
        <v>61</v>
      </c>
      <c r="IF48" s="224">
        <v>61</v>
      </c>
      <c r="IG48" s="224">
        <v>61</v>
      </c>
      <c r="IH48" s="224">
        <v>61</v>
      </c>
      <c r="II48" s="223">
        <v>50</v>
      </c>
      <c r="IJ48" s="247"/>
      <c r="IK48" s="223">
        <v>50</v>
      </c>
      <c r="IL48" s="223">
        <v>50</v>
      </c>
      <c r="IM48" s="247"/>
      <c r="IN48" s="247"/>
      <c r="IO48" s="247"/>
      <c r="IP48" s="247"/>
      <c r="IQ48" s="247"/>
      <c r="IR48" s="247"/>
      <c r="IS48" s="247"/>
      <c r="IT48" s="247"/>
      <c r="IU48" s="247"/>
      <c r="IV48" s="247"/>
      <c r="IW48" s="247"/>
      <c r="IX48" s="247"/>
      <c r="IY48" s="247"/>
      <c r="IZ48" s="247"/>
      <c r="JA48" s="247"/>
      <c r="JB48" s="247"/>
      <c r="JC48" s="247"/>
      <c r="JD48" s="247"/>
      <c r="JE48" s="247"/>
      <c r="JF48" s="247"/>
      <c r="JG48" s="247"/>
      <c r="JH48" s="247"/>
      <c r="JI48" s="247"/>
      <c r="JJ48" s="247"/>
      <c r="JK48" s="247"/>
      <c r="JL48" s="247"/>
      <c r="JM48" s="247"/>
      <c r="JN48" s="247"/>
      <c r="JO48" s="247"/>
      <c r="JP48" s="247"/>
      <c r="JQ48" s="247"/>
      <c r="JR48" s="247"/>
      <c r="JS48" s="247"/>
      <c r="JT48" s="247"/>
      <c r="JU48" s="247"/>
      <c r="JV48" s="247"/>
      <c r="JW48" s="247"/>
      <c r="JX48" s="247"/>
      <c r="JY48" s="247"/>
      <c r="JZ48" s="247"/>
      <c r="KA48" s="247"/>
      <c r="KB48" s="247"/>
      <c r="KC48" s="247"/>
      <c r="KD48" s="247"/>
      <c r="KE48" s="247"/>
      <c r="KF48" s="247"/>
      <c r="KG48" s="247"/>
      <c r="KH48" s="247"/>
      <c r="KI48" s="247"/>
      <c r="KJ48" s="247"/>
      <c r="KK48" s="247"/>
      <c r="KL48" s="247"/>
      <c r="KM48" s="247"/>
      <c r="KN48" s="247"/>
      <c r="KO48" s="247"/>
      <c r="KP48" s="247"/>
      <c r="KQ48" s="247"/>
      <c r="KR48" s="247"/>
      <c r="KS48" s="247"/>
      <c r="KT48" s="247"/>
      <c r="KU48" s="247"/>
      <c r="KV48" s="247"/>
      <c r="KW48" s="247"/>
      <c r="KX48" s="247"/>
      <c r="KY48" s="247"/>
      <c r="KZ48" s="247"/>
      <c r="LA48" s="247"/>
      <c r="LB48" s="247"/>
      <c r="LC48" s="247"/>
      <c r="LD48" s="247"/>
      <c r="LE48" s="247"/>
      <c r="LF48" s="247"/>
      <c r="LG48" s="247"/>
      <c r="LH48" s="247"/>
      <c r="LI48" s="247"/>
      <c r="LJ48" s="247"/>
      <c r="LK48" s="247"/>
      <c r="LL48" s="247"/>
      <c r="LM48" s="247"/>
      <c r="LN48" s="247"/>
      <c r="LO48" s="247"/>
      <c r="LP48" s="247"/>
      <c r="LQ48" s="247"/>
      <c r="LR48" s="247"/>
      <c r="LS48" s="247"/>
      <c r="LT48" s="247"/>
      <c r="LU48" s="247"/>
      <c r="LV48" s="247"/>
      <c r="LW48" s="247"/>
      <c r="LX48" s="247"/>
      <c r="LY48" s="247"/>
      <c r="LZ48" s="247"/>
      <c r="MA48" s="247"/>
      <c r="MB48" s="247"/>
      <c r="MC48" s="247"/>
      <c r="MD48" s="247"/>
      <c r="ME48" s="247"/>
      <c r="MF48" s="304"/>
      <c r="MG48" s="304"/>
      <c r="MH48" s="304"/>
      <c r="MI48" s="304"/>
      <c r="MJ48" s="304"/>
      <c r="MK48" s="304"/>
      <c r="ML48" s="304"/>
      <c r="MM48" s="304"/>
      <c r="MN48" s="304"/>
      <c r="MO48" s="304"/>
      <c r="MP48" s="304"/>
      <c r="MQ48" s="304"/>
      <c r="MR48" s="304"/>
      <c r="MS48" s="304"/>
      <c r="MT48" s="304"/>
      <c r="MU48" s="304"/>
      <c r="MV48" s="304"/>
      <c r="MW48" s="304"/>
      <c r="MX48" s="304"/>
      <c r="MY48" s="304"/>
      <c r="MZ48" s="304"/>
      <c r="NA48" s="304"/>
      <c r="NB48" s="304"/>
      <c r="NC48" s="304"/>
      <c r="ND48" s="304"/>
      <c r="NE48" s="304"/>
      <c r="NF48" s="304"/>
      <c r="NG48" s="304"/>
      <c r="NH48" s="304"/>
      <c r="NI48" s="304"/>
    </row>
    <row r="49" spans="1:373" x14ac:dyDescent="0.2">
      <c r="A49" s="132" t="s">
        <v>739</v>
      </c>
      <c r="B49" s="133" t="s">
        <v>956</v>
      </c>
      <c r="C49" s="134"/>
      <c r="D49" s="242" t="s">
        <v>1270</v>
      </c>
      <c r="E49" s="242">
        <v>0</v>
      </c>
      <c r="F49" s="243" t="s">
        <v>1271</v>
      </c>
      <c r="G49" s="243" t="s">
        <v>1242</v>
      </c>
      <c r="H49" s="243" t="s">
        <v>961</v>
      </c>
      <c r="I49" s="243">
        <v>0</v>
      </c>
      <c r="J49" s="243">
        <v>0</v>
      </c>
      <c r="K49" s="243">
        <v>0</v>
      </c>
      <c r="L49" s="243" t="s">
        <v>1243</v>
      </c>
      <c r="M49" s="243">
        <v>0</v>
      </c>
      <c r="N49" s="243" t="s">
        <v>1218</v>
      </c>
      <c r="O49" s="243">
        <v>0</v>
      </c>
      <c r="P49" s="243">
        <v>0</v>
      </c>
      <c r="Q49" s="243">
        <v>0</v>
      </c>
      <c r="R49" s="135"/>
      <c r="S49" s="135"/>
      <c r="T49" s="135"/>
      <c r="U49" s="135"/>
      <c r="V49" s="135"/>
      <c r="W49" s="135">
        <v>0</v>
      </c>
      <c r="X49" s="135">
        <v>0</v>
      </c>
      <c r="Y49" s="135">
        <v>0</v>
      </c>
      <c r="Z49" s="136">
        <v>572.1</v>
      </c>
      <c r="AA49" s="136">
        <v>1107.47</v>
      </c>
      <c r="AB49" s="136">
        <v>0</v>
      </c>
      <c r="AC49" s="137">
        <v>0</v>
      </c>
      <c r="AD49" s="137">
        <v>0</v>
      </c>
      <c r="AE49" s="138">
        <v>10</v>
      </c>
      <c r="AF49" s="138">
        <v>8</v>
      </c>
      <c r="AG49" s="138">
        <v>2</v>
      </c>
      <c r="AH49" s="139">
        <v>1</v>
      </c>
      <c r="AI49" s="139" t="s">
        <v>1387</v>
      </c>
      <c r="AJ49" s="138" t="s">
        <v>3632</v>
      </c>
      <c r="AK49" s="195" t="s">
        <v>1389</v>
      </c>
      <c r="AL49" s="138" t="s">
        <v>1316</v>
      </c>
      <c r="AM49" s="27" t="s">
        <v>1391</v>
      </c>
      <c r="AN49" s="138">
        <v>5.18</v>
      </c>
      <c r="AO49" s="140">
        <v>1.4478764478764479</v>
      </c>
      <c r="AP49" s="140">
        <v>1.5444015444015444</v>
      </c>
      <c r="AQ49" s="140">
        <v>4.8262548262548263E-2</v>
      </c>
      <c r="AR49" s="138">
        <v>0</v>
      </c>
      <c r="AS49" s="138">
        <v>0</v>
      </c>
      <c r="AT49" s="198"/>
      <c r="AU49" s="198"/>
      <c r="AV49" s="198"/>
      <c r="AW49" s="211" t="s">
        <v>790</v>
      </c>
      <c r="AX49" s="211" t="s">
        <v>1324</v>
      </c>
      <c r="AY49" s="141"/>
      <c r="AZ49" s="141"/>
      <c r="BA49" s="142">
        <v>1</v>
      </c>
      <c r="BB49" s="142" t="s">
        <v>527</v>
      </c>
      <c r="BC49" s="142"/>
      <c r="BD49" s="142">
        <v>1</v>
      </c>
      <c r="BE49" s="143" t="s">
        <v>541</v>
      </c>
      <c r="BF49" s="144">
        <v>1</v>
      </c>
      <c r="BG49" s="145"/>
      <c r="BH49" s="212"/>
      <c r="BI49" s="213"/>
      <c r="BJ49" s="146">
        <v>30</v>
      </c>
      <c r="BK49" s="214">
        <v>78</v>
      </c>
      <c r="BL49" s="13">
        <v>20</v>
      </c>
      <c r="BM49" s="13">
        <v>10</v>
      </c>
      <c r="BN49" s="27" t="s">
        <v>1392</v>
      </c>
      <c r="BO49" s="13" t="s">
        <v>1395</v>
      </c>
      <c r="BP49" s="147">
        <v>26</v>
      </c>
      <c r="BQ49" s="148"/>
      <c r="BR49" s="149"/>
      <c r="BS49" s="138">
        <v>1000000000</v>
      </c>
      <c r="BT49" s="150">
        <v>19</v>
      </c>
      <c r="BU49" s="151">
        <v>0.37</v>
      </c>
      <c r="BV49" s="150">
        <v>13</v>
      </c>
      <c r="BW49" s="152">
        <v>0</v>
      </c>
      <c r="BX49" s="152">
        <v>0</v>
      </c>
      <c r="BY49" s="152">
        <v>0</v>
      </c>
      <c r="BZ49" s="150">
        <v>0</v>
      </c>
      <c r="CA49" s="150">
        <v>0</v>
      </c>
      <c r="CB49" s="150">
        <v>32</v>
      </c>
      <c r="CC49" s="151">
        <v>-7.0000000000000007E-2</v>
      </c>
      <c r="CD49" s="150"/>
      <c r="CE49" s="150"/>
      <c r="CF49" s="153">
        <v>0</v>
      </c>
      <c r="CG49" s="154">
        <v>6</v>
      </c>
      <c r="CH49" s="148">
        <v>2</v>
      </c>
      <c r="CI49" s="155"/>
      <c r="CJ49" s="156" t="s">
        <v>1316</v>
      </c>
      <c r="CK49" s="157" t="s">
        <v>1316</v>
      </c>
      <c r="CL49" s="154">
        <v>0</v>
      </c>
      <c r="CM49" s="154">
        <v>0</v>
      </c>
      <c r="CN49" s="151">
        <v>0</v>
      </c>
      <c r="CO49" s="151">
        <v>4.4918300996329315</v>
      </c>
      <c r="CP49" s="158"/>
      <c r="CQ49" s="151">
        <v>0</v>
      </c>
      <c r="CR49" s="199">
        <v>42970</v>
      </c>
      <c r="CS49" s="200">
        <v>43185</v>
      </c>
      <c r="CT49" s="201">
        <v>43255</v>
      </c>
      <c r="CU49" s="201">
        <v>43180</v>
      </c>
      <c r="CV49" s="201">
        <v>43179</v>
      </c>
      <c r="CW49" s="201">
        <v>43194</v>
      </c>
      <c r="CX49" s="201">
        <v>43236</v>
      </c>
      <c r="CY49" s="151">
        <v>0.66113711462318936</v>
      </c>
      <c r="CZ49" s="150">
        <v>0</v>
      </c>
      <c r="DA49" s="151">
        <v>0</v>
      </c>
      <c r="DB49" s="151">
        <v>0.375</v>
      </c>
      <c r="DC49" s="151">
        <v>0.28125</v>
      </c>
      <c r="DD49" s="151">
        <v>0.296875</v>
      </c>
      <c r="DE49" s="159">
        <v>0</v>
      </c>
      <c r="DF49" s="13" t="s">
        <v>1316</v>
      </c>
      <c r="DG49" s="85" t="s">
        <v>1316</v>
      </c>
      <c r="DH49" s="18" t="b">
        <v>0</v>
      </c>
      <c r="DI49" s="84"/>
      <c r="DJ49" s="84"/>
      <c r="DK49" s="215"/>
      <c r="DL49" s="194"/>
      <c r="DM49" s="216"/>
      <c r="DN49" s="151"/>
      <c r="DO49" s="84"/>
      <c r="DP49" s="84"/>
      <c r="DQ49" s="84"/>
      <c r="DR49" s="84"/>
      <c r="DS49" s="84"/>
      <c r="DT49" s="84"/>
      <c r="DU49" s="84"/>
      <c r="DV49" s="18"/>
      <c r="DW49" s="18"/>
      <c r="DX49" s="18"/>
      <c r="DY49" s="197"/>
      <c r="DZ49" s="197">
        <v>0</v>
      </c>
      <c r="EA49" s="197">
        <v>13</v>
      </c>
      <c r="EB49" s="197">
        <v>0</v>
      </c>
      <c r="EC49" s="197">
        <v>0</v>
      </c>
      <c r="ED49" s="197">
        <v>0</v>
      </c>
      <c r="EE49" s="197">
        <v>0</v>
      </c>
      <c r="EF49" s="197">
        <v>0</v>
      </c>
      <c r="EG49" s="221"/>
      <c r="EH49" s="252">
        <v>51</v>
      </c>
      <c r="EI49" s="252">
        <v>41</v>
      </c>
      <c r="EJ49" s="252">
        <v>37</v>
      </c>
      <c r="EK49" s="252">
        <v>34</v>
      </c>
      <c r="EL49" s="248">
        <v>29</v>
      </c>
      <c r="EM49" s="249">
        <v>4</v>
      </c>
      <c r="EN49" s="249">
        <v>3</v>
      </c>
      <c r="EO49" s="249">
        <v>5</v>
      </c>
      <c r="EP49" s="249">
        <v>5</v>
      </c>
      <c r="EQ49" s="253">
        <v>0</v>
      </c>
      <c r="ER49" s="249">
        <v>3</v>
      </c>
      <c r="ES49" s="249">
        <v>3</v>
      </c>
      <c r="ET49" s="248">
        <v>30</v>
      </c>
      <c r="EU49" s="250">
        <v>17</v>
      </c>
      <c r="EV49" s="250">
        <v>17</v>
      </c>
      <c r="EW49" s="249">
        <v>6</v>
      </c>
      <c r="EX49" s="249">
        <v>6</v>
      </c>
      <c r="EY49" s="249">
        <v>6</v>
      </c>
      <c r="EZ49" s="249">
        <v>6</v>
      </c>
      <c r="FA49" s="249">
        <v>6</v>
      </c>
      <c r="FB49" s="249">
        <v>6</v>
      </c>
      <c r="FC49" s="249">
        <v>6</v>
      </c>
      <c r="FD49" s="249">
        <v>4</v>
      </c>
      <c r="FE49" s="249">
        <v>4</v>
      </c>
      <c r="FF49" s="249">
        <v>4</v>
      </c>
      <c r="FG49" s="249">
        <v>4</v>
      </c>
      <c r="FH49" s="249">
        <v>4</v>
      </c>
      <c r="FI49" s="249">
        <v>4</v>
      </c>
      <c r="FJ49" s="249">
        <v>4</v>
      </c>
      <c r="FK49" s="249">
        <v>4</v>
      </c>
      <c r="FL49" s="249">
        <v>4</v>
      </c>
      <c r="FM49" s="249">
        <v>4</v>
      </c>
      <c r="FN49" s="249">
        <v>4</v>
      </c>
      <c r="FO49" s="249">
        <v>4</v>
      </c>
      <c r="FP49" s="249">
        <v>4</v>
      </c>
      <c r="FQ49" s="249">
        <v>4</v>
      </c>
      <c r="FR49" s="249">
        <v>4</v>
      </c>
      <c r="FS49" s="249">
        <v>4</v>
      </c>
      <c r="FT49" s="249">
        <v>4</v>
      </c>
      <c r="FU49" s="249">
        <v>4</v>
      </c>
      <c r="FV49" s="249">
        <v>4</v>
      </c>
      <c r="FW49" s="249">
        <v>4</v>
      </c>
      <c r="FX49" s="249">
        <v>4</v>
      </c>
      <c r="FY49" s="249">
        <v>4</v>
      </c>
      <c r="FZ49" s="249">
        <v>4</v>
      </c>
      <c r="GA49" s="249">
        <v>4</v>
      </c>
      <c r="GB49" s="249">
        <v>4</v>
      </c>
      <c r="GC49" s="249">
        <v>4</v>
      </c>
      <c r="GD49" s="249">
        <v>4</v>
      </c>
      <c r="GE49" s="221"/>
      <c r="GF49" s="249">
        <v>4</v>
      </c>
      <c r="GG49" s="249">
        <v>4</v>
      </c>
      <c r="GH49" s="249">
        <v>4</v>
      </c>
      <c r="GI49" s="249">
        <v>4</v>
      </c>
      <c r="GJ49" s="249">
        <v>4</v>
      </c>
      <c r="GK49" s="249">
        <v>4</v>
      </c>
      <c r="GL49" s="249">
        <v>4</v>
      </c>
      <c r="GM49" s="221"/>
      <c r="GN49" s="249">
        <v>3</v>
      </c>
      <c r="GO49" s="249">
        <v>2</v>
      </c>
      <c r="GP49" s="249">
        <v>2</v>
      </c>
      <c r="GQ49" s="249">
        <v>2</v>
      </c>
      <c r="GR49" s="249">
        <v>2</v>
      </c>
      <c r="GS49" s="249">
        <v>1</v>
      </c>
      <c r="GT49" s="249">
        <v>1</v>
      </c>
      <c r="GU49" s="249">
        <v>1</v>
      </c>
      <c r="GV49" s="249">
        <v>1</v>
      </c>
      <c r="GW49" s="249">
        <v>1</v>
      </c>
      <c r="GX49" s="249">
        <v>1</v>
      </c>
      <c r="GY49" s="249">
        <v>1</v>
      </c>
      <c r="GZ49" s="249">
        <v>1</v>
      </c>
      <c r="HA49" s="248">
        <v>27</v>
      </c>
      <c r="HB49" s="248">
        <v>21</v>
      </c>
      <c r="HC49" s="248">
        <v>21</v>
      </c>
      <c r="HD49" s="248">
        <v>21</v>
      </c>
      <c r="HE49" s="248">
        <v>21</v>
      </c>
      <c r="HF49" s="248">
        <v>21</v>
      </c>
      <c r="HG49" s="248">
        <v>21</v>
      </c>
      <c r="HH49" s="248">
        <v>21</v>
      </c>
      <c r="HI49" s="248">
        <v>21</v>
      </c>
      <c r="HJ49" s="248">
        <v>21</v>
      </c>
      <c r="HK49" s="248">
        <v>21</v>
      </c>
      <c r="HL49" s="248">
        <v>21</v>
      </c>
      <c r="HM49" s="248">
        <v>21</v>
      </c>
      <c r="HN49" s="248">
        <v>21</v>
      </c>
      <c r="HO49" s="248">
        <v>21</v>
      </c>
      <c r="HP49" s="248">
        <v>21</v>
      </c>
      <c r="HQ49" s="248">
        <v>21</v>
      </c>
      <c r="HR49" s="248">
        <v>21</v>
      </c>
      <c r="HS49" s="248">
        <v>21</v>
      </c>
      <c r="HT49" s="250">
        <v>20</v>
      </c>
      <c r="HU49" s="250">
        <v>20</v>
      </c>
      <c r="HV49" s="250">
        <v>20</v>
      </c>
      <c r="HW49" s="250">
        <v>20</v>
      </c>
      <c r="HX49" s="250">
        <v>20</v>
      </c>
      <c r="HY49" s="250">
        <v>20</v>
      </c>
      <c r="HZ49" s="250">
        <v>20</v>
      </c>
      <c r="IA49" s="250">
        <v>19</v>
      </c>
      <c r="IB49" s="250">
        <v>19</v>
      </c>
      <c r="IC49" s="250">
        <v>19</v>
      </c>
      <c r="ID49" s="250">
        <v>19</v>
      </c>
      <c r="IE49" s="250">
        <v>19</v>
      </c>
      <c r="IF49" s="250">
        <v>19</v>
      </c>
      <c r="IG49" s="250">
        <v>19</v>
      </c>
      <c r="IH49" s="250">
        <v>19</v>
      </c>
      <c r="II49" s="250">
        <v>19</v>
      </c>
      <c r="IJ49" s="221"/>
      <c r="IK49" s="250">
        <v>19</v>
      </c>
      <c r="IL49" s="250">
        <v>19</v>
      </c>
      <c r="IM49" s="221"/>
      <c r="IN49" s="221"/>
      <c r="IO49" s="221"/>
      <c r="IP49" s="221"/>
      <c r="IQ49" s="221"/>
      <c r="IR49" s="221"/>
      <c r="IS49" s="221"/>
      <c r="IT49" s="221"/>
      <c r="IU49" s="221"/>
      <c r="IV49" s="221"/>
      <c r="IW49" s="221"/>
      <c r="IX49" s="221"/>
      <c r="IY49" s="221"/>
      <c r="IZ49" s="221"/>
      <c r="JA49" s="221"/>
      <c r="JB49" s="221"/>
      <c r="JC49" s="221"/>
      <c r="JD49" s="221"/>
      <c r="JE49" s="221"/>
      <c r="JF49" s="221"/>
      <c r="JG49" s="221"/>
      <c r="JH49" s="221"/>
      <c r="JI49" s="221"/>
      <c r="JJ49" s="221"/>
      <c r="JK49" s="221"/>
      <c r="JL49" s="221"/>
      <c r="JM49" s="221"/>
      <c r="JN49" s="221"/>
      <c r="JO49" s="221"/>
      <c r="JP49" s="221"/>
      <c r="JQ49" s="221"/>
      <c r="JR49" s="221"/>
      <c r="JS49" s="221"/>
      <c r="JT49" s="221"/>
      <c r="JU49" s="221"/>
      <c r="JV49" s="221"/>
      <c r="JW49" s="221"/>
      <c r="JX49" s="221"/>
      <c r="JY49" s="221"/>
      <c r="JZ49" s="221"/>
      <c r="KA49" s="221"/>
      <c r="KB49" s="221"/>
      <c r="KC49" s="221"/>
      <c r="KD49" s="221"/>
      <c r="KE49" s="221"/>
      <c r="KF49" s="221"/>
      <c r="KG49" s="221"/>
      <c r="KH49" s="221"/>
      <c r="KI49" s="221"/>
      <c r="KJ49" s="221"/>
      <c r="KK49" s="221"/>
      <c r="KL49" s="221"/>
      <c r="KM49" s="221"/>
      <c r="KN49" s="221"/>
      <c r="KO49" s="221"/>
      <c r="KP49" s="221"/>
      <c r="KQ49" s="221"/>
      <c r="KR49" s="221"/>
      <c r="KS49" s="221"/>
      <c r="KT49" s="221"/>
      <c r="KU49" s="221"/>
      <c r="KV49" s="221"/>
      <c r="KW49" s="221"/>
      <c r="KX49" s="221"/>
      <c r="KY49" s="221"/>
      <c r="KZ49" s="221"/>
      <c r="LA49" s="221"/>
      <c r="LB49" s="221"/>
      <c r="LC49" s="221"/>
      <c r="LD49" s="221"/>
      <c r="LE49" s="221"/>
      <c r="LF49" s="221"/>
      <c r="LG49" s="221"/>
      <c r="LH49" s="221"/>
      <c r="LI49" s="221"/>
      <c r="LJ49" s="221"/>
      <c r="LK49" s="221"/>
      <c r="LL49" s="221"/>
      <c r="LM49" s="221"/>
      <c r="LN49" s="221"/>
      <c r="LO49" s="221"/>
      <c r="LP49" s="221"/>
      <c r="LQ49" s="221"/>
      <c r="LR49" s="221"/>
      <c r="LS49" s="221"/>
      <c r="LT49" s="221"/>
      <c r="LU49" s="221"/>
      <c r="LV49" s="221"/>
      <c r="LW49" s="221"/>
      <c r="LX49" s="221"/>
      <c r="LY49" s="221"/>
      <c r="LZ49" s="221"/>
      <c r="MA49" s="221"/>
      <c r="MB49" s="221"/>
      <c r="MC49" s="221"/>
      <c r="MD49" s="221"/>
      <c r="ME49" s="221"/>
      <c r="MF49" s="305"/>
      <c r="MG49" s="305"/>
      <c r="MH49" s="305"/>
      <c r="MI49" s="305"/>
      <c r="MJ49" s="305"/>
      <c r="MK49" s="305"/>
      <c r="ML49" s="305"/>
      <c r="MM49" s="305"/>
      <c r="MN49" s="305"/>
      <c r="MO49" s="305"/>
      <c r="MP49" s="305"/>
      <c r="MQ49" s="305"/>
      <c r="MR49" s="305"/>
      <c r="MS49" s="305"/>
      <c r="MT49" s="305"/>
      <c r="MU49" s="305"/>
      <c r="MV49" s="305"/>
      <c r="MW49" s="305"/>
      <c r="MX49" s="305"/>
      <c r="MY49" s="305"/>
      <c r="MZ49" s="305"/>
      <c r="NA49" s="305"/>
      <c r="NB49" s="305"/>
      <c r="NC49" s="305"/>
      <c r="ND49" s="305"/>
      <c r="NE49" s="305"/>
      <c r="NF49" s="305"/>
      <c r="NG49" s="305"/>
      <c r="NH49" s="305"/>
      <c r="NI49" s="305"/>
    </row>
    <row r="50" spans="1:373" x14ac:dyDescent="0.2">
      <c r="A50" s="132" t="s">
        <v>739</v>
      </c>
      <c r="B50" s="133" t="s">
        <v>1339</v>
      </c>
      <c r="C50" s="134"/>
      <c r="D50" s="242" t="s">
        <v>1358</v>
      </c>
      <c r="E50" s="242">
        <v>0</v>
      </c>
      <c r="F50" s="243" t="s">
        <v>1376</v>
      </c>
      <c r="G50" s="243" t="s">
        <v>960</v>
      </c>
      <c r="H50" s="243" t="s">
        <v>961</v>
      </c>
      <c r="I50" s="243">
        <v>0</v>
      </c>
      <c r="J50" s="243">
        <v>0</v>
      </c>
      <c r="K50" s="243">
        <v>0</v>
      </c>
      <c r="L50" s="243" t="s">
        <v>1219</v>
      </c>
      <c r="M50" s="243">
        <v>0</v>
      </c>
      <c r="N50" s="243" t="s">
        <v>1217</v>
      </c>
      <c r="O50" s="243">
        <v>0</v>
      </c>
      <c r="P50" s="243">
        <v>0</v>
      </c>
      <c r="Q50" s="243">
        <v>0</v>
      </c>
      <c r="R50" s="135"/>
      <c r="S50" s="135"/>
      <c r="T50" s="135"/>
      <c r="U50" s="135"/>
      <c r="V50" s="135"/>
      <c r="W50" s="135">
        <v>0</v>
      </c>
      <c r="X50" s="135">
        <v>0</v>
      </c>
      <c r="Y50" s="135">
        <v>0</v>
      </c>
      <c r="Z50" s="136">
        <v>205.64</v>
      </c>
      <c r="AA50" s="136">
        <v>388.65</v>
      </c>
      <c r="AB50" s="136">
        <v>0</v>
      </c>
      <c r="AC50" s="137">
        <v>0</v>
      </c>
      <c r="AD50" s="137">
        <v>0</v>
      </c>
      <c r="AE50" s="138">
        <v>10</v>
      </c>
      <c r="AF50" s="138">
        <v>8</v>
      </c>
      <c r="AG50" s="138">
        <v>2</v>
      </c>
      <c r="AH50" s="139">
        <v>1</v>
      </c>
      <c r="AI50" s="139" t="s">
        <v>1316</v>
      </c>
      <c r="AJ50" s="138" t="s">
        <v>3629</v>
      </c>
      <c r="AK50" s="195" t="s">
        <v>1316</v>
      </c>
      <c r="AL50" s="138" t="s">
        <v>1316</v>
      </c>
      <c r="AM50" s="27" t="s">
        <v>1316</v>
      </c>
      <c r="AN50" s="138">
        <v>0</v>
      </c>
      <c r="AO50" s="140">
        <v>0</v>
      </c>
      <c r="AP50" s="140">
        <v>0</v>
      </c>
      <c r="AQ50" s="140">
        <v>0</v>
      </c>
      <c r="AR50" s="138">
        <v>0</v>
      </c>
      <c r="AS50" s="138">
        <v>0</v>
      </c>
      <c r="AT50" s="198"/>
      <c r="AU50" s="198"/>
      <c r="AV50" s="198"/>
      <c r="AW50" s="211" t="s">
        <v>790</v>
      </c>
      <c r="AX50" s="211" t="s">
        <v>1324</v>
      </c>
      <c r="AY50" s="141"/>
      <c r="AZ50" s="141"/>
      <c r="BA50" s="142">
        <v>1</v>
      </c>
      <c r="BB50" s="142" t="s">
        <v>527</v>
      </c>
      <c r="BC50" s="142"/>
      <c r="BD50" s="142">
        <v>1</v>
      </c>
      <c r="BE50" s="143" t="s">
        <v>541</v>
      </c>
      <c r="BF50" s="144">
        <v>1</v>
      </c>
      <c r="BG50" s="145"/>
      <c r="BH50" s="212"/>
      <c r="BI50" s="213"/>
      <c r="BJ50" s="146">
        <v>0</v>
      </c>
      <c r="BK50" s="214">
        <v>0</v>
      </c>
      <c r="BL50" s="13">
        <v>0</v>
      </c>
      <c r="BM50" s="13">
        <v>0</v>
      </c>
      <c r="BN50" s="27" t="s">
        <v>1317</v>
      </c>
      <c r="BO50" s="13" t="s">
        <v>1317</v>
      </c>
      <c r="BP50" s="147">
        <v>2</v>
      </c>
      <c r="BQ50" s="148"/>
      <c r="BR50" s="149"/>
      <c r="BS50" s="138">
        <v>1000000000</v>
      </c>
      <c r="BT50" s="150">
        <v>0</v>
      </c>
      <c r="BU50" s="151">
        <v>0</v>
      </c>
      <c r="BV50" s="150">
        <v>0</v>
      </c>
      <c r="BW50" s="152">
        <v>0</v>
      </c>
      <c r="BX50" s="152">
        <v>0</v>
      </c>
      <c r="BY50" s="152">
        <v>0</v>
      </c>
      <c r="BZ50" s="150">
        <v>0</v>
      </c>
      <c r="CA50" s="150">
        <v>0</v>
      </c>
      <c r="CB50" s="150">
        <v>0</v>
      </c>
      <c r="CC50" s="151">
        <v>0</v>
      </c>
      <c r="CD50" s="150"/>
      <c r="CE50" s="150"/>
      <c r="CF50" s="153">
        <v>0</v>
      </c>
      <c r="CG50" s="154">
        <v>0</v>
      </c>
      <c r="CH50" s="148">
        <v>0</v>
      </c>
      <c r="CI50" s="155"/>
      <c r="CJ50" s="156" t="s">
        <v>1316</v>
      </c>
      <c r="CK50" s="157" t="s">
        <v>1316</v>
      </c>
      <c r="CL50" s="154">
        <v>0</v>
      </c>
      <c r="CM50" s="154">
        <v>0</v>
      </c>
      <c r="CN50" s="151">
        <v>0</v>
      </c>
      <c r="CO50" s="151">
        <v>0</v>
      </c>
      <c r="CP50" s="158"/>
      <c r="CQ50" s="151">
        <v>0</v>
      </c>
      <c r="CR50" s="199">
        <v>42895</v>
      </c>
      <c r="CS50" s="200">
        <v>43185</v>
      </c>
      <c r="CT50" s="201">
        <v>43255</v>
      </c>
      <c r="CU50" s="201">
        <v>0</v>
      </c>
      <c r="CV50" s="201">
        <v>0</v>
      </c>
      <c r="CW50" s="201" t="s">
        <v>1316</v>
      </c>
      <c r="CX50" s="201" t="s">
        <v>1316</v>
      </c>
      <c r="CY50" s="151">
        <v>1</v>
      </c>
      <c r="CZ50" s="150">
        <v>0</v>
      </c>
      <c r="DA50" s="151">
        <v>0.953125</v>
      </c>
      <c r="DB50" s="151">
        <v>0</v>
      </c>
      <c r="DC50" s="151">
        <v>0</v>
      </c>
      <c r="DD50" s="151">
        <v>0</v>
      </c>
      <c r="DE50" s="159">
        <v>0</v>
      </c>
      <c r="DF50" s="13" t="s">
        <v>1316</v>
      </c>
      <c r="DG50" s="85" t="s">
        <v>1316</v>
      </c>
      <c r="DH50" s="18" t="b">
        <v>0</v>
      </c>
      <c r="DI50" s="84"/>
      <c r="DJ50" s="84"/>
      <c r="DK50" s="215"/>
      <c r="DL50" s="194"/>
      <c r="DM50" s="216"/>
      <c r="DN50" s="151"/>
      <c r="DO50" s="84"/>
      <c r="DP50" s="84"/>
      <c r="DQ50" s="84"/>
      <c r="DR50" s="84"/>
      <c r="DS50" s="84"/>
      <c r="DT50" s="84"/>
      <c r="DU50" s="84"/>
      <c r="DV50" s="18"/>
      <c r="DW50" s="18"/>
      <c r="DX50" s="18"/>
      <c r="DY50" s="197"/>
      <c r="DZ50" s="197">
        <v>0</v>
      </c>
      <c r="EA50" s="197">
        <v>0</v>
      </c>
      <c r="EB50" s="197">
        <v>0</v>
      </c>
      <c r="EC50" s="197">
        <v>0</v>
      </c>
      <c r="ED50" s="197">
        <v>0</v>
      </c>
      <c r="EE50" s="197">
        <v>0</v>
      </c>
      <c r="EF50" s="197">
        <v>0</v>
      </c>
      <c r="EG50" s="219"/>
      <c r="EH50" s="224">
        <v>2</v>
      </c>
      <c r="EI50" s="224">
        <v>2</v>
      </c>
      <c r="EJ50" s="224">
        <v>2</v>
      </c>
      <c r="EK50" s="224">
        <v>2</v>
      </c>
      <c r="EL50" s="224">
        <v>2</v>
      </c>
      <c r="EM50" s="218">
        <v>0</v>
      </c>
      <c r="EN50" s="218">
        <v>0</v>
      </c>
      <c r="EO50" s="218">
        <v>0</v>
      </c>
      <c r="EP50" s="218">
        <v>0</v>
      </c>
      <c r="EQ50" s="218">
        <v>0</v>
      </c>
      <c r="ER50" s="218">
        <v>0</v>
      </c>
      <c r="ES50" s="218">
        <v>0</v>
      </c>
      <c r="ET50" s="218">
        <v>0</v>
      </c>
      <c r="EU50" s="218">
        <v>0</v>
      </c>
      <c r="EV50" s="218">
        <v>0</v>
      </c>
      <c r="EW50" s="218">
        <v>0</v>
      </c>
      <c r="EX50" s="218">
        <v>0</v>
      </c>
      <c r="EY50" s="218">
        <v>0</v>
      </c>
      <c r="EZ50" s="218">
        <v>0</v>
      </c>
      <c r="FA50" s="218">
        <v>0</v>
      </c>
      <c r="FB50" s="218">
        <v>0</v>
      </c>
      <c r="FC50" s="218">
        <v>0</v>
      </c>
      <c r="FD50" s="218">
        <v>0</v>
      </c>
      <c r="FE50" s="218">
        <v>0</v>
      </c>
      <c r="FF50" s="218">
        <v>0</v>
      </c>
      <c r="FG50" s="218">
        <v>0</v>
      </c>
      <c r="FH50" s="218">
        <v>0</v>
      </c>
      <c r="FI50" s="218">
        <v>0</v>
      </c>
      <c r="FJ50" s="218">
        <v>0</v>
      </c>
      <c r="FK50" s="218">
        <v>0</v>
      </c>
      <c r="FL50" s="218">
        <v>0</v>
      </c>
      <c r="FM50" s="218">
        <v>0</v>
      </c>
      <c r="FN50" s="218">
        <v>0</v>
      </c>
      <c r="FO50" s="218">
        <v>0</v>
      </c>
      <c r="FP50" s="218">
        <v>0</v>
      </c>
      <c r="FQ50" s="218">
        <v>0</v>
      </c>
      <c r="FR50" s="218">
        <v>0</v>
      </c>
      <c r="FS50" s="218">
        <v>0</v>
      </c>
      <c r="FT50" s="218">
        <v>0</v>
      </c>
      <c r="FU50" s="218">
        <v>0</v>
      </c>
      <c r="FV50" s="218">
        <v>0</v>
      </c>
      <c r="FW50" s="218">
        <v>0</v>
      </c>
      <c r="FX50" s="218">
        <v>0</v>
      </c>
      <c r="FY50" s="218">
        <v>0</v>
      </c>
      <c r="FZ50" s="218">
        <v>0</v>
      </c>
      <c r="GA50" s="218">
        <v>0</v>
      </c>
      <c r="GB50" s="218">
        <v>0</v>
      </c>
      <c r="GC50" s="218">
        <v>0</v>
      </c>
      <c r="GD50" s="218">
        <v>0</v>
      </c>
      <c r="GE50" s="219"/>
      <c r="GF50" s="218">
        <v>0</v>
      </c>
      <c r="GG50" s="218">
        <v>0</v>
      </c>
      <c r="GH50" s="218">
        <v>0</v>
      </c>
      <c r="GI50" s="218">
        <v>0</v>
      </c>
      <c r="GJ50" s="218">
        <v>0</v>
      </c>
      <c r="GK50" s="218">
        <v>0</v>
      </c>
      <c r="GL50" s="218">
        <v>0</v>
      </c>
      <c r="GM50" s="219"/>
      <c r="GN50" s="218">
        <v>0</v>
      </c>
      <c r="GO50" s="218">
        <v>0</v>
      </c>
      <c r="GP50" s="218">
        <v>0</v>
      </c>
      <c r="GQ50" s="218">
        <v>0</v>
      </c>
      <c r="GR50" s="218">
        <v>0</v>
      </c>
      <c r="GS50" s="218">
        <v>0</v>
      </c>
      <c r="GT50" s="218">
        <v>0</v>
      </c>
      <c r="GU50" s="218">
        <v>0</v>
      </c>
      <c r="GV50" s="218">
        <v>0</v>
      </c>
      <c r="GW50" s="218">
        <v>0</v>
      </c>
      <c r="GX50" s="218">
        <v>0</v>
      </c>
      <c r="GY50" s="218">
        <v>0</v>
      </c>
      <c r="GZ50" s="218">
        <v>0</v>
      </c>
      <c r="HA50" s="218">
        <v>0</v>
      </c>
      <c r="HB50" s="218">
        <v>0</v>
      </c>
      <c r="HC50" s="218">
        <v>0</v>
      </c>
      <c r="HD50" s="218">
        <v>0</v>
      </c>
      <c r="HE50" s="218">
        <v>0</v>
      </c>
      <c r="HF50" s="218">
        <v>0</v>
      </c>
      <c r="HG50" s="218">
        <v>0</v>
      </c>
      <c r="HH50" s="218">
        <v>0</v>
      </c>
      <c r="HI50" s="218">
        <v>0</v>
      </c>
      <c r="HJ50" s="218">
        <v>0</v>
      </c>
      <c r="HK50" s="218">
        <v>0</v>
      </c>
      <c r="HL50" s="218">
        <v>0</v>
      </c>
      <c r="HM50" s="218">
        <v>0</v>
      </c>
      <c r="HN50" s="218">
        <v>0</v>
      </c>
      <c r="HO50" s="218">
        <v>0</v>
      </c>
      <c r="HP50" s="218">
        <v>0</v>
      </c>
      <c r="HQ50" s="218">
        <v>0</v>
      </c>
      <c r="HR50" s="218">
        <v>0</v>
      </c>
      <c r="HS50" s="218">
        <v>0</v>
      </c>
      <c r="HT50" s="218">
        <v>0</v>
      </c>
      <c r="HU50" s="218">
        <v>0</v>
      </c>
      <c r="HV50" s="218">
        <v>0</v>
      </c>
      <c r="HW50" s="218">
        <v>0</v>
      </c>
      <c r="HX50" s="218">
        <v>0</v>
      </c>
      <c r="HY50" s="218">
        <v>0</v>
      </c>
      <c r="HZ50" s="218">
        <v>0</v>
      </c>
      <c r="IA50" s="218">
        <v>0</v>
      </c>
      <c r="IB50" s="218">
        <v>0</v>
      </c>
      <c r="IC50" s="218">
        <v>0</v>
      </c>
      <c r="ID50" s="218">
        <v>0</v>
      </c>
      <c r="IE50" s="218">
        <v>0</v>
      </c>
      <c r="IF50" s="218">
        <v>0</v>
      </c>
      <c r="IG50" s="218">
        <v>0</v>
      </c>
      <c r="IH50" s="218">
        <v>0</v>
      </c>
      <c r="II50" s="218">
        <v>0</v>
      </c>
      <c r="IJ50" s="219"/>
      <c r="IK50" s="218">
        <v>0</v>
      </c>
      <c r="IL50" s="218">
        <v>0</v>
      </c>
      <c r="IM50" s="219"/>
      <c r="IN50" s="219"/>
      <c r="IO50" s="219"/>
      <c r="IP50" s="219"/>
      <c r="IQ50" s="219"/>
      <c r="IR50" s="219"/>
      <c r="IS50" s="219"/>
      <c r="IT50" s="219"/>
      <c r="IU50" s="219"/>
      <c r="IV50" s="219"/>
      <c r="IW50" s="219"/>
      <c r="IX50" s="219"/>
      <c r="IY50" s="219"/>
      <c r="IZ50" s="219"/>
      <c r="JA50" s="219"/>
      <c r="JB50" s="219"/>
      <c r="JC50" s="219"/>
      <c r="JD50" s="219"/>
      <c r="JE50" s="219"/>
      <c r="JF50" s="219"/>
      <c r="JG50" s="219"/>
      <c r="JH50" s="219"/>
      <c r="JI50" s="219"/>
      <c r="JJ50" s="219"/>
      <c r="JK50" s="219"/>
      <c r="JL50" s="219"/>
      <c r="JM50" s="219"/>
      <c r="JN50" s="219"/>
      <c r="JO50" s="219"/>
      <c r="JP50" s="219"/>
      <c r="JQ50" s="219"/>
      <c r="JR50" s="219"/>
      <c r="JS50" s="219"/>
      <c r="JT50" s="219"/>
      <c r="JU50" s="219"/>
      <c r="JV50" s="219"/>
      <c r="JW50" s="219"/>
      <c r="JX50" s="219"/>
      <c r="JY50" s="219"/>
      <c r="JZ50" s="219"/>
      <c r="KA50" s="219"/>
      <c r="KB50" s="219"/>
      <c r="KC50" s="219"/>
      <c r="KD50" s="219"/>
      <c r="KE50" s="219"/>
      <c r="KF50" s="219"/>
      <c r="KG50" s="219"/>
      <c r="KH50" s="219"/>
      <c r="KI50" s="219"/>
      <c r="KJ50" s="219"/>
      <c r="KK50" s="219"/>
      <c r="KL50" s="219"/>
      <c r="KM50" s="219"/>
      <c r="KN50" s="219"/>
      <c r="KO50" s="219"/>
      <c r="KP50" s="219"/>
      <c r="KQ50" s="219"/>
      <c r="KR50" s="219"/>
      <c r="KS50" s="219"/>
      <c r="KT50" s="219"/>
      <c r="KU50" s="219"/>
      <c r="KV50" s="219"/>
      <c r="KW50" s="219"/>
      <c r="KX50" s="219"/>
      <c r="KY50" s="219"/>
      <c r="KZ50" s="219"/>
      <c r="LA50" s="219"/>
      <c r="LB50" s="219"/>
      <c r="LC50" s="219"/>
      <c r="LD50" s="219"/>
      <c r="LE50" s="219"/>
      <c r="LF50" s="219"/>
      <c r="LG50" s="219"/>
      <c r="LH50" s="219"/>
      <c r="LI50" s="219"/>
      <c r="LJ50" s="219"/>
      <c r="LK50" s="219"/>
      <c r="LL50" s="219"/>
      <c r="LM50" s="219"/>
      <c r="LN50" s="219"/>
      <c r="LO50" s="219"/>
      <c r="LP50" s="219"/>
      <c r="LQ50" s="219"/>
      <c r="LR50" s="219"/>
      <c r="LS50" s="219"/>
      <c r="LT50" s="219"/>
      <c r="LU50" s="219"/>
      <c r="LV50" s="219"/>
      <c r="LW50" s="219"/>
      <c r="LX50" s="219"/>
      <c r="LY50" s="219"/>
      <c r="LZ50" s="219"/>
      <c r="MA50" s="219"/>
      <c r="MB50" s="219"/>
      <c r="MC50" s="219"/>
      <c r="MD50" s="219"/>
      <c r="ME50" s="219"/>
      <c r="MF50" s="305"/>
      <c r="MG50" s="305"/>
      <c r="MH50" s="305"/>
      <c r="MI50" s="305"/>
      <c r="MJ50" s="305"/>
      <c r="MK50" s="305"/>
      <c r="ML50" s="305"/>
      <c r="MM50" s="305"/>
      <c r="MN50" s="305"/>
      <c r="MO50" s="305"/>
      <c r="MP50" s="305"/>
      <c r="MQ50" s="305"/>
      <c r="MR50" s="305"/>
      <c r="MS50" s="305"/>
      <c r="MT50" s="305"/>
      <c r="MU50" s="305"/>
      <c r="MV50" s="305"/>
      <c r="MW50" s="305"/>
      <c r="MX50" s="305"/>
      <c r="MY50" s="305"/>
      <c r="MZ50" s="305"/>
      <c r="NA50" s="305"/>
      <c r="NB50" s="305"/>
      <c r="NC50" s="305"/>
      <c r="ND50" s="305"/>
      <c r="NE50" s="305"/>
      <c r="NF50" s="305"/>
      <c r="NG50" s="305"/>
      <c r="NH50" s="305"/>
      <c r="NI50" s="305"/>
    </row>
    <row r="51" spans="1:373" x14ac:dyDescent="0.2">
      <c r="A51" s="132" t="s">
        <v>739</v>
      </c>
      <c r="B51" s="133" t="s">
        <v>1340</v>
      </c>
      <c r="C51" s="134"/>
      <c r="D51" s="242" t="s">
        <v>1359</v>
      </c>
      <c r="E51" s="242">
        <v>0</v>
      </c>
      <c r="F51" s="243" t="s">
        <v>1377</v>
      </c>
      <c r="G51" s="243" t="s">
        <v>1242</v>
      </c>
      <c r="H51" s="243" t="s">
        <v>961</v>
      </c>
      <c r="I51" s="243">
        <v>0</v>
      </c>
      <c r="J51" s="243">
        <v>0</v>
      </c>
      <c r="K51" s="243">
        <v>0</v>
      </c>
      <c r="L51" s="243" t="s">
        <v>1243</v>
      </c>
      <c r="M51" s="243">
        <v>0</v>
      </c>
      <c r="N51" s="243" t="s">
        <v>1218</v>
      </c>
      <c r="O51" s="243">
        <v>0</v>
      </c>
      <c r="P51" s="243">
        <v>0</v>
      </c>
      <c r="Q51" s="243">
        <v>0</v>
      </c>
      <c r="R51" s="135"/>
      <c r="S51" s="135"/>
      <c r="T51" s="135"/>
      <c r="U51" s="135"/>
      <c r="V51" s="135"/>
      <c r="W51" s="135">
        <v>0</v>
      </c>
      <c r="X51" s="135">
        <v>0</v>
      </c>
      <c r="Y51" s="135">
        <v>0</v>
      </c>
      <c r="Z51" s="136">
        <v>348.38</v>
      </c>
      <c r="AA51" s="136">
        <v>699</v>
      </c>
      <c r="AB51" s="136">
        <v>0</v>
      </c>
      <c r="AC51" s="137">
        <v>0</v>
      </c>
      <c r="AD51" s="137">
        <v>0</v>
      </c>
      <c r="AE51" s="138">
        <v>10</v>
      </c>
      <c r="AF51" s="138">
        <v>8</v>
      </c>
      <c r="AG51" s="138">
        <v>2</v>
      </c>
      <c r="AH51" s="139">
        <v>1</v>
      </c>
      <c r="AI51" s="139" t="s">
        <v>1387</v>
      </c>
      <c r="AJ51" s="138" t="s">
        <v>3642</v>
      </c>
      <c r="AK51" s="195" t="s">
        <v>3641</v>
      </c>
      <c r="AL51" s="138" t="s">
        <v>1316</v>
      </c>
      <c r="AM51" s="27" t="s">
        <v>1391</v>
      </c>
      <c r="AN51" s="138">
        <v>0</v>
      </c>
      <c r="AO51" s="140">
        <v>0</v>
      </c>
      <c r="AP51" s="140">
        <v>0</v>
      </c>
      <c r="AQ51" s="140">
        <v>0</v>
      </c>
      <c r="AR51" s="138">
        <v>8</v>
      </c>
      <c r="AS51" s="138">
        <v>0</v>
      </c>
      <c r="AT51" s="198"/>
      <c r="AU51" s="198"/>
      <c r="AV51" s="198">
        <v>42621</v>
      </c>
      <c r="AW51" s="211" t="s">
        <v>790</v>
      </c>
      <c r="AX51" s="211" t="s">
        <v>1324</v>
      </c>
      <c r="AY51" s="141"/>
      <c r="AZ51" s="141"/>
      <c r="BA51" s="142">
        <v>1</v>
      </c>
      <c r="BB51" s="142" t="s">
        <v>527</v>
      </c>
      <c r="BC51" s="142"/>
      <c r="BD51" s="142">
        <v>1</v>
      </c>
      <c r="BE51" s="143" t="s">
        <v>541</v>
      </c>
      <c r="BF51" s="144">
        <v>1</v>
      </c>
      <c r="BG51" s="145"/>
      <c r="BH51" s="212"/>
      <c r="BI51" s="213"/>
      <c r="BJ51" s="146">
        <v>15</v>
      </c>
      <c r="BK51" s="214">
        <v>0</v>
      </c>
      <c r="BL51" s="13">
        <v>10</v>
      </c>
      <c r="BM51" s="13">
        <v>5</v>
      </c>
      <c r="BN51" s="27" t="s">
        <v>1394</v>
      </c>
      <c r="BO51" s="13" t="s">
        <v>1394</v>
      </c>
      <c r="BP51" s="147">
        <v>20</v>
      </c>
      <c r="BQ51" s="148"/>
      <c r="BR51" s="149"/>
      <c r="BS51" s="138">
        <v>1000000000</v>
      </c>
      <c r="BT51" s="150">
        <v>0</v>
      </c>
      <c r="BU51" s="151">
        <v>1</v>
      </c>
      <c r="BV51" s="150">
        <v>0</v>
      </c>
      <c r="BW51" s="152">
        <v>0</v>
      </c>
      <c r="BX51" s="152">
        <v>0</v>
      </c>
      <c r="BY51" s="152">
        <v>0</v>
      </c>
      <c r="BZ51" s="150">
        <v>0</v>
      </c>
      <c r="CA51" s="150">
        <v>0</v>
      </c>
      <c r="CB51" s="150">
        <v>0</v>
      </c>
      <c r="CC51" s="151">
        <v>1</v>
      </c>
      <c r="CD51" s="150"/>
      <c r="CE51" s="150"/>
      <c r="CF51" s="153">
        <v>15</v>
      </c>
      <c r="CG51" s="154">
        <v>3</v>
      </c>
      <c r="CH51" s="148"/>
      <c r="CI51" s="155"/>
      <c r="CJ51" s="156" t="s">
        <v>1316</v>
      </c>
      <c r="CK51" s="157" t="s">
        <v>1316</v>
      </c>
      <c r="CL51" s="154">
        <v>1753.1</v>
      </c>
      <c r="CM51" s="154">
        <v>0</v>
      </c>
      <c r="CN51" s="151">
        <v>0</v>
      </c>
      <c r="CO51" s="151">
        <v>4.8308628509099263</v>
      </c>
      <c r="CP51" s="158"/>
      <c r="CQ51" s="151">
        <v>0.75</v>
      </c>
      <c r="CR51" s="199">
        <v>43137</v>
      </c>
      <c r="CS51" s="200">
        <v>43185</v>
      </c>
      <c r="CT51" s="201">
        <v>43255</v>
      </c>
      <c r="CU51" s="201">
        <v>43118</v>
      </c>
      <c r="CV51" s="201">
        <v>43133</v>
      </c>
      <c r="CW51" s="201">
        <v>43132</v>
      </c>
      <c r="CX51" s="201">
        <v>43174</v>
      </c>
      <c r="CY51" s="151">
        <v>0.84972905107863717</v>
      </c>
      <c r="CZ51" s="150">
        <v>0</v>
      </c>
      <c r="DA51" s="151">
        <v>0.125</v>
      </c>
      <c r="DB51" s="151">
        <v>0.546875</v>
      </c>
      <c r="DC51" s="151">
        <v>0.171875</v>
      </c>
      <c r="DD51" s="151">
        <v>0.109375</v>
      </c>
      <c r="DE51" s="159">
        <v>0</v>
      </c>
      <c r="DF51" s="13" t="s">
        <v>1316</v>
      </c>
      <c r="DG51" s="85" t="s">
        <v>1394</v>
      </c>
      <c r="DH51" s="18" t="b">
        <v>0</v>
      </c>
      <c r="DI51" s="84"/>
      <c r="DJ51" s="84"/>
      <c r="DK51" s="215"/>
      <c r="DL51" s="194"/>
      <c r="DM51" s="216"/>
      <c r="DN51" s="151"/>
      <c r="DO51" s="84"/>
      <c r="DP51" s="84"/>
      <c r="DQ51" s="84"/>
      <c r="DR51" s="84"/>
      <c r="DS51" s="84"/>
      <c r="DT51" s="84"/>
      <c r="DU51" s="84"/>
      <c r="DV51" s="18"/>
      <c r="DW51" s="18"/>
      <c r="DX51" s="18"/>
      <c r="DY51" s="197"/>
      <c r="DZ51" s="197">
        <v>0</v>
      </c>
      <c r="EA51" s="197">
        <v>0</v>
      </c>
      <c r="EB51" s="197">
        <v>0</v>
      </c>
      <c r="EC51" s="197">
        <v>0</v>
      </c>
      <c r="ED51" s="197">
        <v>0</v>
      </c>
      <c r="EE51" s="197">
        <v>0</v>
      </c>
      <c r="EF51" s="197">
        <v>0</v>
      </c>
      <c r="EG51" s="221"/>
      <c r="EH51" s="220">
        <v>2</v>
      </c>
      <c r="EI51" s="220">
        <v>2</v>
      </c>
      <c r="EJ51" s="220">
        <v>2</v>
      </c>
      <c r="EK51" s="249">
        <v>2</v>
      </c>
      <c r="EL51" s="249">
        <v>2</v>
      </c>
      <c r="EM51" s="253">
        <v>0</v>
      </c>
      <c r="EN51" s="248">
        <v>20</v>
      </c>
      <c r="EO51" s="248">
        <v>15</v>
      </c>
      <c r="EP51" s="248">
        <v>14</v>
      </c>
      <c r="EQ51" s="250">
        <v>8</v>
      </c>
      <c r="ER51" s="248">
        <v>16</v>
      </c>
      <c r="ES51" s="248">
        <v>16</v>
      </c>
      <c r="ET51" s="250">
        <v>8</v>
      </c>
      <c r="EU51" s="250">
        <v>12</v>
      </c>
      <c r="EV51" s="248">
        <v>12</v>
      </c>
      <c r="EW51" s="248">
        <v>12</v>
      </c>
      <c r="EX51" s="248">
        <v>12</v>
      </c>
      <c r="EY51" s="248">
        <v>12</v>
      </c>
      <c r="EZ51" s="248">
        <v>12</v>
      </c>
      <c r="FA51" s="248">
        <v>12</v>
      </c>
      <c r="FB51" s="248">
        <v>12</v>
      </c>
      <c r="FC51" s="248">
        <v>12</v>
      </c>
      <c r="FD51" s="248">
        <v>12</v>
      </c>
      <c r="FE51" s="248">
        <v>12</v>
      </c>
      <c r="FF51" s="248">
        <v>15</v>
      </c>
      <c r="FG51" s="248">
        <v>15</v>
      </c>
      <c r="FH51" s="248">
        <v>15</v>
      </c>
      <c r="FI51" s="248">
        <v>15</v>
      </c>
      <c r="FJ51" s="248">
        <v>15</v>
      </c>
      <c r="FK51" s="248">
        <v>15</v>
      </c>
      <c r="FL51" s="248">
        <v>15</v>
      </c>
      <c r="FM51" s="248">
        <v>15</v>
      </c>
      <c r="FN51" s="248">
        <v>15</v>
      </c>
      <c r="FO51" s="248">
        <v>15</v>
      </c>
      <c r="FP51" s="248">
        <v>15</v>
      </c>
      <c r="FQ51" s="248">
        <v>15</v>
      </c>
      <c r="FR51" s="248">
        <v>15</v>
      </c>
      <c r="FS51" s="248">
        <v>15</v>
      </c>
      <c r="FT51" s="248">
        <v>15</v>
      </c>
      <c r="FU51" s="248">
        <v>15</v>
      </c>
      <c r="FV51" s="248">
        <v>15</v>
      </c>
      <c r="FW51" s="248">
        <v>15</v>
      </c>
      <c r="FX51" s="248">
        <v>15</v>
      </c>
      <c r="FY51" s="248">
        <v>15</v>
      </c>
      <c r="FZ51" s="248">
        <v>15</v>
      </c>
      <c r="GA51" s="248">
        <v>15</v>
      </c>
      <c r="GB51" s="248">
        <v>12</v>
      </c>
      <c r="GC51" s="248">
        <v>12</v>
      </c>
      <c r="GD51" s="248">
        <v>12</v>
      </c>
      <c r="GE51" s="221"/>
      <c r="GF51" s="248">
        <v>11</v>
      </c>
      <c r="GG51" s="248">
        <v>11</v>
      </c>
      <c r="GH51" s="248">
        <v>11</v>
      </c>
      <c r="GI51" s="250">
        <v>9</v>
      </c>
      <c r="GJ51" s="250">
        <v>9</v>
      </c>
      <c r="GK51" s="250">
        <v>9</v>
      </c>
      <c r="GL51" s="250">
        <v>9</v>
      </c>
      <c r="GM51" s="221"/>
      <c r="GN51" s="250">
        <v>8</v>
      </c>
      <c r="GO51" s="250">
        <v>8</v>
      </c>
      <c r="GP51" s="250">
        <v>8</v>
      </c>
      <c r="GQ51" s="250">
        <v>8</v>
      </c>
      <c r="GR51" s="250">
        <v>8</v>
      </c>
      <c r="GS51" s="250">
        <v>8</v>
      </c>
      <c r="GT51" s="250">
        <v>8</v>
      </c>
      <c r="GU51" s="249">
        <v>3</v>
      </c>
      <c r="GV51" s="249">
        <v>3</v>
      </c>
      <c r="GW51" s="249">
        <v>3</v>
      </c>
      <c r="GX51" s="249">
        <v>3</v>
      </c>
      <c r="GY51" s="249">
        <v>3</v>
      </c>
      <c r="GZ51" s="249">
        <v>3</v>
      </c>
      <c r="HA51" s="249">
        <v>3</v>
      </c>
      <c r="HB51" s="249">
        <v>3</v>
      </c>
      <c r="HC51" s="249">
        <v>3</v>
      </c>
      <c r="HD51" s="249">
        <v>3</v>
      </c>
      <c r="HE51" s="249">
        <v>3</v>
      </c>
      <c r="HF51" s="249">
        <v>3</v>
      </c>
      <c r="HG51" s="249">
        <v>3</v>
      </c>
      <c r="HH51" s="249">
        <v>3</v>
      </c>
      <c r="HI51" s="249">
        <v>3</v>
      </c>
      <c r="HJ51" s="249">
        <v>3</v>
      </c>
      <c r="HK51" s="249">
        <v>3</v>
      </c>
      <c r="HL51" s="249">
        <v>3</v>
      </c>
      <c r="HM51" s="249">
        <v>3</v>
      </c>
      <c r="HN51" s="249">
        <v>3</v>
      </c>
      <c r="HO51" s="249">
        <v>3</v>
      </c>
      <c r="HP51" s="249">
        <v>3</v>
      </c>
      <c r="HQ51" s="249">
        <v>3</v>
      </c>
      <c r="HR51" s="249">
        <v>3</v>
      </c>
      <c r="HS51" s="249">
        <v>3</v>
      </c>
      <c r="HT51" s="249">
        <v>3</v>
      </c>
      <c r="HU51" s="249">
        <v>2</v>
      </c>
      <c r="HV51" s="249">
        <v>2</v>
      </c>
      <c r="HW51" s="249">
        <v>2</v>
      </c>
      <c r="HX51" s="249">
        <v>2</v>
      </c>
      <c r="HY51" s="249">
        <v>2</v>
      </c>
      <c r="HZ51" s="249">
        <v>2</v>
      </c>
      <c r="IA51" s="249">
        <v>2</v>
      </c>
      <c r="IB51" s="249">
        <v>2</v>
      </c>
      <c r="IC51" s="253">
        <v>0</v>
      </c>
      <c r="ID51" s="253">
        <v>0</v>
      </c>
      <c r="IE51" s="253">
        <v>0</v>
      </c>
      <c r="IF51" s="253">
        <v>0</v>
      </c>
      <c r="IG51" s="249">
        <v>1</v>
      </c>
      <c r="IH51" s="253">
        <v>0</v>
      </c>
      <c r="II51" s="253">
        <v>0</v>
      </c>
      <c r="IJ51" s="221"/>
      <c r="IK51" s="253">
        <v>0</v>
      </c>
      <c r="IL51" s="253">
        <v>0</v>
      </c>
      <c r="IM51" s="221"/>
      <c r="IN51" s="221"/>
      <c r="IO51" s="221"/>
      <c r="IP51" s="221"/>
      <c r="IQ51" s="221"/>
      <c r="IR51" s="221"/>
      <c r="IS51" s="221"/>
      <c r="IT51" s="221"/>
      <c r="IU51" s="221"/>
      <c r="IV51" s="221"/>
      <c r="IW51" s="221"/>
      <c r="IX51" s="221"/>
      <c r="IY51" s="221"/>
      <c r="IZ51" s="221"/>
      <c r="JA51" s="221"/>
      <c r="JB51" s="221"/>
      <c r="JC51" s="221"/>
      <c r="JD51" s="221"/>
      <c r="JE51" s="221"/>
      <c r="JF51" s="221"/>
      <c r="JG51" s="221"/>
      <c r="JH51" s="221"/>
      <c r="JI51" s="221"/>
      <c r="JJ51" s="221"/>
      <c r="JK51" s="221"/>
      <c r="JL51" s="221"/>
      <c r="JM51" s="221"/>
      <c r="JN51" s="221"/>
      <c r="JO51" s="221"/>
      <c r="JP51" s="221"/>
      <c r="JQ51" s="221"/>
      <c r="JR51" s="221"/>
      <c r="JS51" s="221"/>
      <c r="JT51" s="221"/>
      <c r="JU51" s="221"/>
      <c r="JV51" s="221"/>
      <c r="JW51" s="221"/>
      <c r="JX51" s="221"/>
      <c r="JY51" s="221"/>
      <c r="JZ51" s="221"/>
      <c r="KA51" s="221"/>
      <c r="KB51" s="221"/>
      <c r="KC51" s="221"/>
      <c r="KD51" s="221"/>
      <c r="KE51" s="221"/>
      <c r="KF51" s="221"/>
      <c r="KG51" s="221"/>
      <c r="KH51" s="221"/>
      <c r="KI51" s="221"/>
      <c r="KJ51" s="221"/>
      <c r="KK51" s="221"/>
      <c r="KL51" s="221"/>
      <c r="KM51" s="221"/>
      <c r="KN51" s="221"/>
      <c r="KO51" s="221"/>
      <c r="KP51" s="221"/>
      <c r="KQ51" s="221"/>
      <c r="KR51" s="221"/>
      <c r="KS51" s="221"/>
      <c r="KT51" s="221"/>
      <c r="KU51" s="221"/>
      <c r="KV51" s="221"/>
      <c r="KW51" s="221"/>
      <c r="KX51" s="221"/>
      <c r="KY51" s="221"/>
      <c r="KZ51" s="221"/>
      <c r="LA51" s="221"/>
      <c r="LB51" s="221"/>
      <c r="LC51" s="221"/>
      <c r="LD51" s="221"/>
      <c r="LE51" s="221"/>
      <c r="LF51" s="221"/>
      <c r="LG51" s="221"/>
      <c r="LH51" s="221"/>
      <c r="LI51" s="221"/>
      <c r="LJ51" s="221"/>
      <c r="LK51" s="221"/>
      <c r="LL51" s="221"/>
      <c r="LM51" s="221"/>
      <c r="LN51" s="221"/>
      <c r="LO51" s="221"/>
      <c r="LP51" s="221"/>
      <c r="LQ51" s="221"/>
      <c r="LR51" s="221"/>
      <c r="LS51" s="221"/>
      <c r="LT51" s="221"/>
      <c r="LU51" s="221"/>
      <c r="LV51" s="221"/>
      <c r="LW51" s="221"/>
      <c r="LX51" s="221"/>
      <c r="LY51" s="221"/>
      <c r="LZ51" s="221"/>
      <c r="MA51" s="221"/>
      <c r="MB51" s="221"/>
      <c r="MC51" s="221"/>
      <c r="MD51" s="221"/>
      <c r="ME51" s="221"/>
      <c r="MF51" s="305"/>
      <c r="MG51" s="305"/>
      <c r="MH51" s="305"/>
      <c r="MI51" s="305"/>
      <c r="MJ51" s="305"/>
      <c r="MK51" s="305"/>
      <c r="ML51" s="305"/>
      <c r="MM51" s="305"/>
      <c r="MN51" s="305"/>
      <c r="MO51" s="305"/>
      <c r="MP51" s="305"/>
      <c r="MQ51" s="305"/>
      <c r="MR51" s="305"/>
      <c r="MS51" s="305"/>
      <c r="MT51" s="305"/>
      <c r="MU51" s="305"/>
      <c r="MV51" s="305"/>
      <c r="MW51" s="305"/>
      <c r="MX51" s="305"/>
      <c r="MY51" s="305"/>
      <c r="MZ51" s="305"/>
      <c r="NA51" s="305"/>
      <c r="NB51" s="305"/>
      <c r="NC51" s="305"/>
      <c r="ND51" s="305"/>
      <c r="NE51" s="305"/>
      <c r="NF51" s="305"/>
      <c r="NG51" s="305"/>
      <c r="NH51" s="305"/>
      <c r="NI51" s="305"/>
    </row>
    <row r="52" spans="1:373" x14ac:dyDescent="0.2">
      <c r="A52" s="132" t="s">
        <v>739</v>
      </c>
      <c r="B52" s="133" t="s">
        <v>957</v>
      </c>
      <c r="C52" s="134"/>
      <c r="D52" s="242" t="s">
        <v>1295</v>
      </c>
      <c r="E52" s="242">
        <v>0</v>
      </c>
      <c r="F52" s="243" t="s">
        <v>1296</v>
      </c>
      <c r="G52" s="243" t="s">
        <v>1254</v>
      </c>
      <c r="H52" s="243" t="s">
        <v>961</v>
      </c>
      <c r="I52" s="243">
        <v>0</v>
      </c>
      <c r="J52" s="243">
        <v>0</v>
      </c>
      <c r="K52" s="243">
        <v>0</v>
      </c>
      <c r="L52" s="243" t="s">
        <v>1224</v>
      </c>
      <c r="M52" s="243">
        <v>0</v>
      </c>
      <c r="N52" s="243" t="s">
        <v>1218</v>
      </c>
      <c r="O52" s="243">
        <v>0</v>
      </c>
      <c r="P52" s="243">
        <v>0</v>
      </c>
      <c r="Q52" s="243">
        <v>0</v>
      </c>
      <c r="R52" s="135"/>
      <c r="S52" s="135"/>
      <c r="T52" s="135"/>
      <c r="U52" s="135"/>
      <c r="V52" s="135"/>
      <c r="W52" s="135">
        <v>0</v>
      </c>
      <c r="X52" s="135">
        <v>0</v>
      </c>
      <c r="Y52" s="135">
        <v>0</v>
      </c>
      <c r="Z52" s="136">
        <v>295.92</v>
      </c>
      <c r="AA52" s="136">
        <v>599</v>
      </c>
      <c r="AB52" s="136">
        <v>0</v>
      </c>
      <c r="AC52" s="137">
        <v>0</v>
      </c>
      <c r="AD52" s="137">
        <v>0</v>
      </c>
      <c r="AE52" s="138">
        <v>10</v>
      </c>
      <c r="AF52" s="138">
        <v>8</v>
      </c>
      <c r="AG52" s="138">
        <v>2</v>
      </c>
      <c r="AH52" s="139">
        <v>1</v>
      </c>
      <c r="AI52" s="139" t="s">
        <v>1387</v>
      </c>
      <c r="AJ52" s="138" t="s">
        <v>3626</v>
      </c>
      <c r="AK52" s="195" t="s">
        <v>3637</v>
      </c>
      <c r="AL52" s="138" t="s">
        <v>1316</v>
      </c>
      <c r="AM52" s="27" t="s">
        <v>1316</v>
      </c>
      <c r="AN52" s="138">
        <v>14.09</v>
      </c>
      <c r="AO52" s="140">
        <v>3.5486160397444997</v>
      </c>
      <c r="AP52" s="140">
        <v>2.8566359119943221</v>
      </c>
      <c r="AQ52" s="140">
        <v>1.7743080198722498E-2</v>
      </c>
      <c r="AR52" s="138">
        <v>0</v>
      </c>
      <c r="AS52" s="138">
        <v>0</v>
      </c>
      <c r="AT52" s="198"/>
      <c r="AU52" s="198"/>
      <c r="AV52" s="198"/>
      <c r="AW52" s="211" t="s">
        <v>790</v>
      </c>
      <c r="AX52" s="211" t="s">
        <v>1324</v>
      </c>
      <c r="AY52" s="141"/>
      <c r="AZ52" s="141"/>
      <c r="BA52" s="142">
        <v>1</v>
      </c>
      <c r="BB52" s="142" t="s">
        <v>527</v>
      </c>
      <c r="BC52" s="142"/>
      <c r="BD52" s="142">
        <v>1</v>
      </c>
      <c r="BE52" s="143" t="s">
        <v>541</v>
      </c>
      <c r="BF52" s="144">
        <v>1</v>
      </c>
      <c r="BG52" s="145"/>
      <c r="BH52" s="212"/>
      <c r="BI52" s="213"/>
      <c r="BJ52" s="146">
        <v>200</v>
      </c>
      <c r="BK52" s="214">
        <v>212</v>
      </c>
      <c r="BL52" s="13">
        <v>133</v>
      </c>
      <c r="BM52" s="13">
        <v>66</v>
      </c>
      <c r="BN52" s="27" t="s">
        <v>1393</v>
      </c>
      <c r="BO52" s="13" t="s">
        <v>1396</v>
      </c>
      <c r="BP52" s="147">
        <v>140</v>
      </c>
      <c r="BQ52" s="148"/>
      <c r="BR52" s="149"/>
      <c r="BS52" s="138">
        <v>1000000000</v>
      </c>
      <c r="BT52" s="150">
        <v>49</v>
      </c>
      <c r="BU52" s="151">
        <v>0.76</v>
      </c>
      <c r="BV52" s="150">
        <v>112</v>
      </c>
      <c r="BW52" s="152">
        <v>0</v>
      </c>
      <c r="BX52" s="152">
        <v>0</v>
      </c>
      <c r="BY52" s="152">
        <v>0</v>
      </c>
      <c r="BZ52" s="150">
        <v>0</v>
      </c>
      <c r="CA52" s="150">
        <v>0</v>
      </c>
      <c r="CB52" s="150">
        <v>161</v>
      </c>
      <c r="CC52" s="151">
        <v>0.2</v>
      </c>
      <c r="CD52" s="150"/>
      <c r="CE52" s="150"/>
      <c r="CF52" s="153">
        <v>39</v>
      </c>
      <c r="CG52" s="154">
        <v>40</v>
      </c>
      <c r="CH52" s="148"/>
      <c r="CI52" s="155"/>
      <c r="CJ52" s="156" t="s">
        <v>1316</v>
      </c>
      <c r="CK52" s="157" t="s">
        <v>1316</v>
      </c>
      <c r="CL52" s="154">
        <v>5152.3599999999997</v>
      </c>
      <c r="CM52" s="154">
        <v>0</v>
      </c>
      <c r="CN52" s="151">
        <v>0</v>
      </c>
      <c r="CO52" s="151">
        <v>4.916139497161395</v>
      </c>
      <c r="CP52" s="158"/>
      <c r="CQ52" s="151">
        <v>0.81</v>
      </c>
      <c r="CR52" s="199">
        <v>43087</v>
      </c>
      <c r="CS52" s="200">
        <v>43185</v>
      </c>
      <c r="CT52" s="201">
        <v>43255</v>
      </c>
      <c r="CU52" s="201">
        <v>43195</v>
      </c>
      <c r="CV52" s="201">
        <v>43179</v>
      </c>
      <c r="CW52" s="201">
        <v>43209</v>
      </c>
      <c r="CX52" s="201">
        <v>43251</v>
      </c>
      <c r="CY52" s="151">
        <v>0.11400404920493833</v>
      </c>
      <c r="CZ52" s="150">
        <v>0</v>
      </c>
      <c r="DA52" s="151">
        <v>0</v>
      </c>
      <c r="DB52" s="151">
        <v>0.453125</v>
      </c>
      <c r="DC52" s="151">
        <v>0.5</v>
      </c>
      <c r="DD52" s="151">
        <v>0</v>
      </c>
      <c r="DE52" s="159">
        <v>0</v>
      </c>
      <c r="DF52" s="13" t="s">
        <v>1316</v>
      </c>
      <c r="DG52" s="85" t="s">
        <v>1394</v>
      </c>
      <c r="DH52" s="18" t="b">
        <v>0</v>
      </c>
      <c r="DI52" s="84"/>
      <c r="DJ52" s="84"/>
      <c r="DK52" s="215"/>
      <c r="DL52" s="194"/>
      <c r="DM52" s="216"/>
      <c r="DN52" s="151"/>
      <c r="DO52" s="84"/>
      <c r="DP52" s="84"/>
      <c r="DQ52" s="84"/>
      <c r="DR52" s="84"/>
      <c r="DS52" s="84"/>
      <c r="DT52" s="84"/>
      <c r="DU52" s="84"/>
      <c r="DV52" s="18"/>
      <c r="DW52" s="18"/>
      <c r="DX52" s="18"/>
      <c r="DY52" s="197"/>
      <c r="DZ52" s="197">
        <v>0</v>
      </c>
      <c r="EA52" s="197">
        <v>20</v>
      </c>
      <c r="EB52" s="197">
        <v>0</v>
      </c>
      <c r="EC52" s="197">
        <v>0</v>
      </c>
      <c r="ED52" s="197">
        <v>0</v>
      </c>
      <c r="EE52" s="197">
        <v>0</v>
      </c>
      <c r="EF52" s="197">
        <v>92</v>
      </c>
      <c r="EG52" s="219"/>
      <c r="EH52" s="222">
        <v>0</v>
      </c>
      <c r="EI52" s="224">
        <v>58</v>
      </c>
      <c r="EJ52" s="225">
        <v>109</v>
      </c>
      <c r="EK52" s="225">
        <v>106</v>
      </c>
      <c r="EL52" s="225">
        <v>101</v>
      </c>
      <c r="EM52" s="223">
        <v>4</v>
      </c>
      <c r="EN52" s="225">
        <v>104</v>
      </c>
      <c r="EO52" s="224">
        <v>85</v>
      </c>
      <c r="EP52" s="224">
        <v>84</v>
      </c>
      <c r="EQ52" s="223">
        <v>35</v>
      </c>
      <c r="ER52" s="223">
        <v>35</v>
      </c>
      <c r="ES52" s="223">
        <v>19</v>
      </c>
      <c r="ET52" s="223">
        <v>28</v>
      </c>
      <c r="EU52" s="223">
        <v>54</v>
      </c>
      <c r="EV52" s="223">
        <v>53</v>
      </c>
      <c r="EW52" s="223">
        <v>22</v>
      </c>
      <c r="EX52" s="223">
        <v>22</v>
      </c>
      <c r="EY52" s="223">
        <v>22</v>
      </c>
      <c r="EZ52" s="223">
        <v>22</v>
      </c>
      <c r="FA52" s="223">
        <v>22</v>
      </c>
      <c r="FB52" s="223">
        <v>22</v>
      </c>
      <c r="FC52" s="223">
        <v>22</v>
      </c>
      <c r="FD52" s="223">
        <v>22</v>
      </c>
      <c r="FE52" s="223">
        <v>22</v>
      </c>
      <c r="FF52" s="223">
        <v>57</v>
      </c>
      <c r="FG52" s="223">
        <v>57</v>
      </c>
      <c r="FH52" s="223">
        <v>57</v>
      </c>
      <c r="FI52" s="223">
        <v>56</v>
      </c>
      <c r="FJ52" s="223">
        <v>56</v>
      </c>
      <c r="FK52" s="223">
        <v>56</v>
      </c>
      <c r="FL52" s="223">
        <v>56</v>
      </c>
      <c r="FM52" s="223">
        <v>56</v>
      </c>
      <c r="FN52" s="223">
        <v>56</v>
      </c>
      <c r="FO52" s="223">
        <v>56</v>
      </c>
      <c r="FP52" s="223">
        <v>56</v>
      </c>
      <c r="FQ52" s="223">
        <v>38</v>
      </c>
      <c r="FR52" s="223">
        <v>38</v>
      </c>
      <c r="FS52" s="223">
        <v>38</v>
      </c>
      <c r="FT52" s="223">
        <v>38</v>
      </c>
      <c r="FU52" s="223">
        <v>38</v>
      </c>
      <c r="FV52" s="223">
        <v>38</v>
      </c>
      <c r="FW52" s="223">
        <v>39</v>
      </c>
      <c r="FX52" s="224">
        <v>71</v>
      </c>
      <c r="FY52" s="224">
        <v>71</v>
      </c>
      <c r="FZ52" s="224">
        <v>71</v>
      </c>
      <c r="GA52" s="224">
        <v>71</v>
      </c>
      <c r="GB52" s="224">
        <v>71</v>
      </c>
      <c r="GC52" s="224">
        <v>71</v>
      </c>
      <c r="GD52" s="224">
        <v>70</v>
      </c>
      <c r="GE52" s="219"/>
      <c r="GF52" s="224">
        <v>70</v>
      </c>
      <c r="GG52" s="224">
        <v>70</v>
      </c>
      <c r="GH52" s="224">
        <v>68</v>
      </c>
      <c r="GI52" s="223">
        <v>66</v>
      </c>
      <c r="GJ52" s="223">
        <v>66</v>
      </c>
      <c r="GK52" s="223">
        <v>66</v>
      </c>
      <c r="GL52" s="223">
        <v>66</v>
      </c>
      <c r="GM52" s="219"/>
      <c r="GN52" s="223">
        <v>65</v>
      </c>
      <c r="GO52" s="223">
        <v>64</v>
      </c>
      <c r="GP52" s="223">
        <v>64</v>
      </c>
      <c r="GQ52" s="223">
        <v>64</v>
      </c>
      <c r="GR52" s="223">
        <v>65</v>
      </c>
      <c r="GS52" s="223">
        <v>62</v>
      </c>
      <c r="GT52" s="223">
        <v>61</v>
      </c>
      <c r="GU52" s="223">
        <v>61</v>
      </c>
      <c r="GV52" s="223">
        <v>61</v>
      </c>
      <c r="GW52" s="223">
        <v>61</v>
      </c>
      <c r="GX52" s="223">
        <v>61</v>
      </c>
      <c r="GY52" s="223">
        <v>60</v>
      </c>
      <c r="GZ52" s="223">
        <v>59</v>
      </c>
      <c r="HA52" s="224">
        <v>79</v>
      </c>
      <c r="HB52" s="224">
        <v>79</v>
      </c>
      <c r="HC52" s="224">
        <v>79</v>
      </c>
      <c r="HD52" s="224">
        <v>79</v>
      </c>
      <c r="HE52" s="224">
        <v>79</v>
      </c>
      <c r="HF52" s="224">
        <v>79</v>
      </c>
      <c r="HG52" s="224">
        <v>79</v>
      </c>
      <c r="HH52" s="224">
        <v>79</v>
      </c>
      <c r="HI52" s="224">
        <v>78</v>
      </c>
      <c r="HJ52" s="224">
        <v>78</v>
      </c>
      <c r="HK52" s="224">
        <v>78</v>
      </c>
      <c r="HL52" s="224">
        <v>78</v>
      </c>
      <c r="HM52" s="224">
        <v>77</v>
      </c>
      <c r="HN52" s="224">
        <v>77</v>
      </c>
      <c r="HO52" s="224">
        <v>76</v>
      </c>
      <c r="HP52" s="224">
        <v>76</v>
      </c>
      <c r="HQ52" s="224">
        <v>72</v>
      </c>
      <c r="HR52" s="224">
        <v>72</v>
      </c>
      <c r="HS52" s="224">
        <v>72</v>
      </c>
      <c r="HT52" s="224">
        <v>72</v>
      </c>
      <c r="HU52" s="224">
        <v>67</v>
      </c>
      <c r="HV52" s="224">
        <v>67</v>
      </c>
      <c r="HW52" s="224">
        <v>67</v>
      </c>
      <c r="HX52" s="224">
        <v>67</v>
      </c>
      <c r="HY52" s="224">
        <v>67</v>
      </c>
      <c r="HZ52" s="223">
        <v>66</v>
      </c>
      <c r="IA52" s="223">
        <v>66</v>
      </c>
      <c r="IB52" s="223">
        <v>66</v>
      </c>
      <c r="IC52" s="223">
        <v>66</v>
      </c>
      <c r="ID52" s="223">
        <v>66</v>
      </c>
      <c r="IE52" s="223">
        <v>66</v>
      </c>
      <c r="IF52" s="223">
        <v>66</v>
      </c>
      <c r="IG52" s="223">
        <v>57</v>
      </c>
      <c r="IH52" s="223">
        <v>57</v>
      </c>
      <c r="II52" s="223">
        <v>49</v>
      </c>
      <c r="IJ52" s="219"/>
      <c r="IK52" s="223">
        <v>49</v>
      </c>
      <c r="IL52" s="223">
        <v>49</v>
      </c>
      <c r="IM52" s="219"/>
      <c r="IN52" s="219"/>
      <c r="IO52" s="219"/>
      <c r="IP52" s="219"/>
      <c r="IQ52" s="219"/>
      <c r="IR52" s="219"/>
      <c r="IS52" s="219"/>
      <c r="IT52" s="219"/>
      <c r="IU52" s="219"/>
      <c r="IV52" s="219"/>
      <c r="IW52" s="219"/>
      <c r="IX52" s="219"/>
      <c r="IY52" s="219"/>
      <c r="IZ52" s="219"/>
      <c r="JA52" s="219"/>
      <c r="JB52" s="219"/>
      <c r="JC52" s="219"/>
      <c r="JD52" s="219"/>
      <c r="JE52" s="219"/>
      <c r="JF52" s="219"/>
      <c r="JG52" s="219"/>
      <c r="JH52" s="219"/>
      <c r="JI52" s="219"/>
      <c r="JJ52" s="219"/>
      <c r="JK52" s="219"/>
      <c r="JL52" s="219"/>
      <c r="JM52" s="219"/>
      <c r="JN52" s="219"/>
      <c r="JO52" s="219"/>
      <c r="JP52" s="219"/>
      <c r="JQ52" s="219"/>
      <c r="JR52" s="219"/>
      <c r="JS52" s="219"/>
      <c r="JT52" s="219"/>
      <c r="JU52" s="219"/>
      <c r="JV52" s="219"/>
      <c r="JW52" s="219"/>
      <c r="JX52" s="219"/>
      <c r="JY52" s="219"/>
      <c r="JZ52" s="219"/>
      <c r="KA52" s="219"/>
      <c r="KB52" s="219"/>
      <c r="KC52" s="219"/>
      <c r="KD52" s="219"/>
      <c r="KE52" s="219"/>
      <c r="KF52" s="219"/>
      <c r="KG52" s="219"/>
      <c r="KH52" s="219"/>
      <c r="KI52" s="219"/>
      <c r="KJ52" s="219"/>
      <c r="KK52" s="219"/>
      <c r="KL52" s="219"/>
      <c r="KM52" s="219"/>
      <c r="KN52" s="219"/>
      <c r="KO52" s="219"/>
      <c r="KP52" s="219"/>
      <c r="KQ52" s="219"/>
      <c r="KR52" s="219"/>
      <c r="KS52" s="219"/>
      <c r="KT52" s="219"/>
      <c r="KU52" s="219"/>
      <c r="KV52" s="219"/>
      <c r="KW52" s="219"/>
      <c r="KX52" s="219"/>
      <c r="KY52" s="219"/>
      <c r="KZ52" s="219"/>
      <c r="LA52" s="219"/>
      <c r="LB52" s="219"/>
      <c r="LC52" s="219"/>
      <c r="LD52" s="219"/>
      <c r="LE52" s="219"/>
      <c r="LF52" s="219"/>
      <c r="LG52" s="219"/>
      <c r="LH52" s="219"/>
      <c r="LI52" s="219"/>
      <c r="LJ52" s="219"/>
      <c r="LK52" s="219"/>
      <c r="LL52" s="219"/>
      <c r="LM52" s="219"/>
      <c r="LN52" s="219"/>
      <c r="LO52" s="219"/>
      <c r="LP52" s="219"/>
      <c r="LQ52" s="219"/>
      <c r="LR52" s="219"/>
      <c r="LS52" s="219"/>
      <c r="LT52" s="219"/>
      <c r="LU52" s="219"/>
      <c r="LV52" s="219"/>
      <c r="LW52" s="219"/>
      <c r="LX52" s="219"/>
      <c r="LY52" s="219"/>
      <c r="LZ52" s="219"/>
      <c r="MA52" s="219"/>
      <c r="MB52" s="219"/>
      <c r="MC52" s="219"/>
      <c r="MD52" s="219"/>
      <c r="ME52" s="219"/>
      <c r="MF52" s="305"/>
      <c r="MG52" s="305"/>
      <c r="MH52" s="305"/>
      <c r="MI52" s="305"/>
      <c r="MJ52" s="305"/>
      <c r="MK52" s="305"/>
      <c r="ML52" s="305"/>
      <c r="MM52" s="305"/>
      <c r="MN52" s="305"/>
      <c r="MO52" s="305"/>
      <c r="MP52" s="305"/>
      <c r="MQ52" s="305"/>
      <c r="MR52" s="305"/>
      <c r="MS52" s="305"/>
      <c r="MT52" s="305"/>
      <c r="MU52" s="305"/>
      <c r="MV52" s="305"/>
      <c r="MW52" s="305"/>
      <c r="MX52" s="305"/>
      <c r="MY52" s="305"/>
      <c r="MZ52" s="305"/>
      <c r="NA52" s="305"/>
      <c r="NB52" s="305"/>
      <c r="NC52" s="305"/>
      <c r="ND52" s="305"/>
      <c r="NE52" s="305"/>
      <c r="NF52" s="305"/>
      <c r="NG52" s="305"/>
      <c r="NH52" s="305"/>
      <c r="NI52" s="305"/>
    </row>
    <row r="53" spans="1:373" x14ac:dyDescent="0.2">
      <c r="A53" s="132" t="s">
        <v>739</v>
      </c>
      <c r="B53" s="133" t="s">
        <v>958</v>
      </c>
      <c r="C53" s="134"/>
      <c r="D53" s="242" t="s">
        <v>1297</v>
      </c>
      <c r="E53" s="242">
        <v>0</v>
      </c>
      <c r="F53" s="243" t="s">
        <v>1298</v>
      </c>
      <c r="G53" s="243" t="s">
        <v>1254</v>
      </c>
      <c r="H53" s="243" t="s">
        <v>961</v>
      </c>
      <c r="I53" s="243">
        <v>0</v>
      </c>
      <c r="J53" s="243">
        <v>0</v>
      </c>
      <c r="K53" s="243">
        <v>0</v>
      </c>
      <c r="L53" s="243" t="s">
        <v>1224</v>
      </c>
      <c r="M53" s="243">
        <v>0</v>
      </c>
      <c r="N53" s="243" t="s">
        <v>1218</v>
      </c>
      <c r="O53" s="243">
        <v>0</v>
      </c>
      <c r="P53" s="243">
        <v>0</v>
      </c>
      <c r="Q53" s="243">
        <v>0</v>
      </c>
      <c r="R53" s="135"/>
      <c r="S53" s="135"/>
      <c r="T53" s="135"/>
      <c r="U53" s="135"/>
      <c r="V53" s="135"/>
      <c r="W53" s="135">
        <v>0</v>
      </c>
      <c r="X53" s="135">
        <v>0</v>
      </c>
      <c r="Y53" s="135">
        <v>0</v>
      </c>
      <c r="Z53" s="136">
        <v>310.82</v>
      </c>
      <c r="AA53" s="136">
        <v>599</v>
      </c>
      <c r="AB53" s="136">
        <v>0</v>
      </c>
      <c r="AC53" s="137">
        <v>0</v>
      </c>
      <c r="AD53" s="137">
        <v>0</v>
      </c>
      <c r="AE53" s="138">
        <v>10</v>
      </c>
      <c r="AF53" s="138">
        <v>8</v>
      </c>
      <c r="AG53" s="138">
        <v>2</v>
      </c>
      <c r="AH53" s="139">
        <v>1</v>
      </c>
      <c r="AI53" s="139" t="s">
        <v>1316</v>
      </c>
      <c r="AJ53" s="138" t="s">
        <v>3642</v>
      </c>
      <c r="AK53" s="195" t="s">
        <v>1389</v>
      </c>
      <c r="AL53" s="138" t="s">
        <v>1316</v>
      </c>
      <c r="AM53" s="27" t="s">
        <v>1316</v>
      </c>
      <c r="AN53" s="138">
        <v>3.82</v>
      </c>
      <c r="AO53" s="140">
        <v>3.2722513089005236</v>
      </c>
      <c r="AP53" s="140">
        <v>5.3010471204188487</v>
      </c>
      <c r="AQ53" s="140">
        <v>6.5445026178010471E-2</v>
      </c>
      <c r="AR53" s="138">
        <v>0</v>
      </c>
      <c r="AS53" s="138">
        <v>0</v>
      </c>
      <c r="AT53" s="198"/>
      <c r="AU53" s="198"/>
      <c r="AV53" s="198"/>
      <c r="AW53" s="211" t="s">
        <v>790</v>
      </c>
      <c r="AX53" s="211" t="s">
        <v>1324</v>
      </c>
      <c r="AY53" s="141"/>
      <c r="AZ53" s="141"/>
      <c r="BA53" s="142">
        <v>1</v>
      </c>
      <c r="BB53" s="142" t="s">
        <v>527</v>
      </c>
      <c r="BC53" s="142"/>
      <c r="BD53" s="142">
        <v>1</v>
      </c>
      <c r="BE53" s="143" t="s">
        <v>541</v>
      </c>
      <c r="BF53" s="144">
        <v>1</v>
      </c>
      <c r="BG53" s="145"/>
      <c r="BH53" s="212"/>
      <c r="BI53" s="213"/>
      <c r="BJ53" s="146">
        <v>50</v>
      </c>
      <c r="BK53" s="214">
        <v>58</v>
      </c>
      <c r="BL53" s="13">
        <v>33</v>
      </c>
      <c r="BM53" s="13">
        <v>17</v>
      </c>
      <c r="BN53" s="27" t="s">
        <v>1395</v>
      </c>
      <c r="BO53" s="13" t="s">
        <v>1395</v>
      </c>
      <c r="BP53" s="147">
        <v>80</v>
      </c>
      <c r="BQ53" s="148"/>
      <c r="BR53" s="149"/>
      <c r="BS53" s="138">
        <v>1000000000</v>
      </c>
      <c r="BT53" s="150">
        <v>81</v>
      </c>
      <c r="BU53" s="151">
        <v>-0.62</v>
      </c>
      <c r="BV53" s="150">
        <v>0</v>
      </c>
      <c r="BW53" s="152">
        <v>0</v>
      </c>
      <c r="BX53" s="152">
        <v>0</v>
      </c>
      <c r="BY53" s="152">
        <v>0</v>
      </c>
      <c r="BZ53" s="150">
        <v>0</v>
      </c>
      <c r="CA53" s="150">
        <v>0</v>
      </c>
      <c r="CB53" s="150">
        <v>81</v>
      </c>
      <c r="CC53" s="151">
        <v>-0.62</v>
      </c>
      <c r="CD53" s="150"/>
      <c r="CE53" s="150"/>
      <c r="CF53" s="153">
        <v>0</v>
      </c>
      <c r="CG53" s="154">
        <v>10</v>
      </c>
      <c r="CH53" s="148"/>
      <c r="CI53" s="155"/>
      <c r="CJ53" s="156" t="s">
        <v>1316</v>
      </c>
      <c r="CK53" s="157" t="s">
        <v>1316</v>
      </c>
      <c r="CL53" s="154">
        <v>0</v>
      </c>
      <c r="CM53" s="154">
        <v>9635.42</v>
      </c>
      <c r="CN53" s="151">
        <v>0</v>
      </c>
      <c r="CO53" s="151">
        <v>4.4503699890611941</v>
      </c>
      <c r="CP53" s="158"/>
      <c r="CQ53" s="151">
        <v>0</v>
      </c>
      <c r="CR53" s="199">
        <v>43137</v>
      </c>
      <c r="CS53" s="200">
        <v>43185</v>
      </c>
      <c r="CT53" s="201">
        <v>43255</v>
      </c>
      <c r="CU53" s="201">
        <v>42956</v>
      </c>
      <c r="CV53" s="201">
        <v>42984</v>
      </c>
      <c r="CW53" s="201">
        <v>42970</v>
      </c>
      <c r="CX53" s="201">
        <v>43012</v>
      </c>
      <c r="CY53" s="151">
        <v>0.11212183549233813</v>
      </c>
      <c r="CZ53" s="150">
        <v>0</v>
      </c>
      <c r="DA53" s="151">
        <v>0</v>
      </c>
      <c r="DB53" s="151">
        <v>0</v>
      </c>
      <c r="DC53" s="151">
        <v>0</v>
      </c>
      <c r="DD53" s="151">
        <v>0</v>
      </c>
      <c r="DE53" s="159">
        <v>0.953125</v>
      </c>
      <c r="DF53" s="13" t="s">
        <v>1316</v>
      </c>
      <c r="DG53" s="85" t="s">
        <v>1316</v>
      </c>
      <c r="DH53" s="18" t="b">
        <v>0</v>
      </c>
      <c r="DI53" s="84"/>
      <c r="DJ53" s="84"/>
      <c r="DK53" s="215"/>
      <c r="DL53" s="194"/>
      <c r="DM53" s="216"/>
      <c r="DN53" s="151"/>
      <c r="DO53" s="84"/>
      <c r="DP53" s="84"/>
      <c r="DQ53" s="84"/>
      <c r="DR53" s="84"/>
      <c r="DS53" s="84"/>
      <c r="DT53" s="84"/>
      <c r="DU53" s="84"/>
      <c r="DV53" s="18"/>
      <c r="DW53" s="18"/>
      <c r="DX53" s="18"/>
      <c r="DY53" s="197"/>
      <c r="DZ53" s="197">
        <v>0</v>
      </c>
      <c r="EA53" s="197">
        <v>0</v>
      </c>
      <c r="EB53" s="197">
        <v>0</v>
      </c>
      <c r="EC53" s="197">
        <v>0</v>
      </c>
      <c r="ED53" s="197">
        <v>0</v>
      </c>
      <c r="EE53" s="197">
        <v>0</v>
      </c>
      <c r="EF53" s="197">
        <v>0</v>
      </c>
      <c r="EG53" s="221"/>
      <c r="EH53" s="249">
        <v>1</v>
      </c>
      <c r="EI53" s="249">
        <v>12</v>
      </c>
      <c r="EJ53" s="249">
        <v>3</v>
      </c>
      <c r="EK53" s="249">
        <v>3</v>
      </c>
      <c r="EL53" s="249">
        <v>4</v>
      </c>
      <c r="EM53" s="250">
        <v>35</v>
      </c>
      <c r="EN53" s="252">
        <v>117</v>
      </c>
      <c r="EO53" s="252">
        <v>142</v>
      </c>
      <c r="EP53" s="252">
        <v>142</v>
      </c>
      <c r="EQ53" s="252">
        <v>155</v>
      </c>
      <c r="ER53" s="252">
        <v>154</v>
      </c>
      <c r="ES53" s="252">
        <v>153</v>
      </c>
      <c r="ET53" s="252">
        <v>147</v>
      </c>
      <c r="EU53" s="252">
        <v>146</v>
      </c>
      <c r="EV53" s="252">
        <v>146</v>
      </c>
      <c r="EW53" s="252">
        <v>140</v>
      </c>
      <c r="EX53" s="252">
        <v>140</v>
      </c>
      <c r="EY53" s="252">
        <v>140</v>
      </c>
      <c r="EZ53" s="252">
        <v>139</v>
      </c>
      <c r="FA53" s="252">
        <v>129</v>
      </c>
      <c r="FB53" s="252">
        <v>127</v>
      </c>
      <c r="FC53" s="252">
        <v>127</v>
      </c>
      <c r="FD53" s="252">
        <v>127</v>
      </c>
      <c r="FE53" s="252">
        <v>127</v>
      </c>
      <c r="FF53" s="252">
        <v>127</v>
      </c>
      <c r="FG53" s="252">
        <v>127</v>
      </c>
      <c r="FH53" s="252">
        <v>127</v>
      </c>
      <c r="FI53" s="252">
        <v>127</v>
      </c>
      <c r="FJ53" s="252">
        <v>127</v>
      </c>
      <c r="FK53" s="252">
        <v>124</v>
      </c>
      <c r="FL53" s="252">
        <v>124</v>
      </c>
      <c r="FM53" s="252">
        <v>124</v>
      </c>
      <c r="FN53" s="252">
        <v>122</v>
      </c>
      <c r="FO53" s="252">
        <v>122</v>
      </c>
      <c r="FP53" s="252">
        <v>120</v>
      </c>
      <c r="FQ53" s="252">
        <v>126</v>
      </c>
      <c r="FR53" s="252">
        <v>125</v>
      </c>
      <c r="FS53" s="252">
        <v>125</v>
      </c>
      <c r="FT53" s="252">
        <v>125</v>
      </c>
      <c r="FU53" s="252">
        <v>114</v>
      </c>
      <c r="FV53" s="252">
        <v>114</v>
      </c>
      <c r="FW53" s="252">
        <v>114</v>
      </c>
      <c r="FX53" s="252">
        <v>114</v>
      </c>
      <c r="FY53" s="252">
        <v>114</v>
      </c>
      <c r="FZ53" s="252">
        <v>114</v>
      </c>
      <c r="GA53" s="252">
        <v>114</v>
      </c>
      <c r="GB53" s="252">
        <v>113</v>
      </c>
      <c r="GC53" s="252">
        <v>111</v>
      </c>
      <c r="GD53" s="252">
        <v>110</v>
      </c>
      <c r="GE53" s="221"/>
      <c r="GF53" s="252">
        <v>110</v>
      </c>
      <c r="GG53" s="252">
        <v>109</v>
      </c>
      <c r="GH53" s="252">
        <v>109</v>
      </c>
      <c r="GI53" s="252">
        <v>109</v>
      </c>
      <c r="GJ53" s="252">
        <v>109</v>
      </c>
      <c r="GK53" s="252">
        <v>109</v>
      </c>
      <c r="GL53" s="252">
        <v>109</v>
      </c>
      <c r="GM53" s="221"/>
      <c r="GN53" s="252">
        <v>109</v>
      </c>
      <c r="GO53" s="252">
        <v>109</v>
      </c>
      <c r="GP53" s="252">
        <v>109</v>
      </c>
      <c r="GQ53" s="252">
        <v>109</v>
      </c>
      <c r="GR53" s="252">
        <v>108</v>
      </c>
      <c r="GS53" s="252">
        <v>106</v>
      </c>
      <c r="GT53" s="252">
        <v>101</v>
      </c>
      <c r="GU53" s="252">
        <v>101</v>
      </c>
      <c r="GV53" s="252">
        <v>101</v>
      </c>
      <c r="GW53" s="252">
        <v>101</v>
      </c>
      <c r="GX53" s="252">
        <v>101</v>
      </c>
      <c r="GY53" s="252">
        <v>99</v>
      </c>
      <c r="GZ53" s="252">
        <v>98</v>
      </c>
      <c r="HA53" s="252">
        <v>98</v>
      </c>
      <c r="HB53" s="252">
        <v>91</v>
      </c>
      <c r="HC53" s="252">
        <v>87</v>
      </c>
      <c r="HD53" s="252">
        <v>87</v>
      </c>
      <c r="HE53" s="252">
        <v>87</v>
      </c>
      <c r="HF53" s="252">
        <v>87</v>
      </c>
      <c r="HG53" s="252">
        <v>87</v>
      </c>
      <c r="HH53" s="252">
        <v>87</v>
      </c>
      <c r="HI53" s="252">
        <v>87</v>
      </c>
      <c r="HJ53" s="252">
        <v>87</v>
      </c>
      <c r="HK53" s="252">
        <v>87</v>
      </c>
      <c r="HL53" s="252">
        <v>87</v>
      </c>
      <c r="HM53" s="252">
        <v>88</v>
      </c>
      <c r="HN53" s="252">
        <v>88</v>
      </c>
      <c r="HO53" s="252">
        <v>88</v>
      </c>
      <c r="HP53" s="252">
        <v>88</v>
      </c>
      <c r="HQ53" s="252">
        <v>88</v>
      </c>
      <c r="HR53" s="252">
        <v>88</v>
      </c>
      <c r="HS53" s="252">
        <v>88</v>
      </c>
      <c r="HT53" s="252">
        <v>88</v>
      </c>
      <c r="HU53" s="252">
        <v>88</v>
      </c>
      <c r="HV53" s="252">
        <v>88</v>
      </c>
      <c r="HW53" s="252">
        <v>88</v>
      </c>
      <c r="HX53" s="252">
        <v>88</v>
      </c>
      <c r="HY53" s="252">
        <v>88</v>
      </c>
      <c r="HZ53" s="252">
        <v>87</v>
      </c>
      <c r="IA53" s="252">
        <v>87</v>
      </c>
      <c r="IB53" s="252">
        <v>85</v>
      </c>
      <c r="IC53" s="252">
        <v>84</v>
      </c>
      <c r="ID53" s="252">
        <v>84</v>
      </c>
      <c r="IE53" s="252">
        <v>84</v>
      </c>
      <c r="IF53" s="252">
        <v>84</v>
      </c>
      <c r="IG53" s="252">
        <v>82</v>
      </c>
      <c r="IH53" s="252">
        <v>82</v>
      </c>
      <c r="II53" s="252">
        <v>82</v>
      </c>
      <c r="IJ53" s="221"/>
      <c r="IK53" s="252">
        <v>81</v>
      </c>
      <c r="IL53" s="252">
        <v>81</v>
      </c>
      <c r="IM53" s="221"/>
      <c r="IN53" s="221"/>
      <c r="IO53" s="221"/>
      <c r="IP53" s="221"/>
      <c r="IQ53" s="221"/>
      <c r="IR53" s="221"/>
      <c r="IS53" s="221"/>
      <c r="IT53" s="221"/>
      <c r="IU53" s="221"/>
      <c r="IV53" s="221"/>
      <c r="IW53" s="221"/>
      <c r="IX53" s="221"/>
      <c r="IY53" s="221"/>
      <c r="IZ53" s="221"/>
      <c r="JA53" s="221"/>
      <c r="JB53" s="221"/>
      <c r="JC53" s="221"/>
      <c r="JD53" s="221"/>
      <c r="JE53" s="221"/>
      <c r="JF53" s="221"/>
      <c r="JG53" s="221"/>
      <c r="JH53" s="221"/>
      <c r="JI53" s="221"/>
      <c r="JJ53" s="221"/>
      <c r="JK53" s="221"/>
      <c r="JL53" s="221"/>
      <c r="JM53" s="221"/>
      <c r="JN53" s="221"/>
      <c r="JO53" s="221"/>
      <c r="JP53" s="221"/>
      <c r="JQ53" s="221"/>
      <c r="JR53" s="221"/>
      <c r="JS53" s="221"/>
      <c r="JT53" s="221"/>
      <c r="JU53" s="221"/>
      <c r="JV53" s="221"/>
      <c r="JW53" s="221"/>
      <c r="JX53" s="221"/>
      <c r="JY53" s="221"/>
      <c r="JZ53" s="221"/>
      <c r="KA53" s="221"/>
      <c r="KB53" s="221"/>
      <c r="KC53" s="221"/>
      <c r="KD53" s="221"/>
      <c r="KE53" s="221"/>
      <c r="KF53" s="221"/>
      <c r="KG53" s="221"/>
      <c r="KH53" s="221"/>
      <c r="KI53" s="221"/>
      <c r="KJ53" s="221"/>
      <c r="KK53" s="221"/>
      <c r="KL53" s="221"/>
      <c r="KM53" s="221"/>
      <c r="KN53" s="221"/>
      <c r="KO53" s="221"/>
      <c r="KP53" s="221"/>
      <c r="KQ53" s="221"/>
      <c r="KR53" s="221"/>
      <c r="KS53" s="221"/>
      <c r="KT53" s="221"/>
      <c r="KU53" s="221"/>
      <c r="KV53" s="221"/>
      <c r="KW53" s="221"/>
      <c r="KX53" s="221"/>
      <c r="KY53" s="221"/>
      <c r="KZ53" s="221"/>
      <c r="LA53" s="221"/>
      <c r="LB53" s="221"/>
      <c r="LC53" s="221"/>
      <c r="LD53" s="221"/>
      <c r="LE53" s="221"/>
      <c r="LF53" s="221"/>
      <c r="LG53" s="221"/>
      <c r="LH53" s="221"/>
      <c r="LI53" s="221"/>
      <c r="LJ53" s="221"/>
      <c r="LK53" s="221"/>
      <c r="LL53" s="221"/>
      <c r="LM53" s="221"/>
      <c r="LN53" s="221"/>
      <c r="LO53" s="221"/>
      <c r="LP53" s="221"/>
      <c r="LQ53" s="221"/>
      <c r="LR53" s="221"/>
      <c r="LS53" s="221"/>
      <c r="LT53" s="221"/>
      <c r="LU53" s="221"/>
      <c r="LV53" s="221"/>
      <c r="LW53" s="221"/>
      <c r="LX53" s="221"/>
      <c r="LY53" s="221"/>
      <c r="LZ53" s="221"/>
      <c r="MA53" s="221"/>
      <c r="MB53" s="221"/>
      <c r="MC53" s="221"/>
      <c r="MD53" s="221"/>
      <c r="ME53" s="221"/>
      <c r="MF53" s="305"/>
      <c r="MG53" s="305"/>
      <c r="MH53" s="305"/>
      <c r="MI53" s="305"/>
      <c r="MJ53" s="305"/>
      <c r="MK53" s="305"/>
      <c r="ML53" s="305"/>
      <c r="MM53" s="305"/>
      <c r="MN53" s="305"/>
      <c r="MO53" s="305"/>
      <c r="MP53" s="305"/>
      <c r="MQ53" s="305"/>
      <c r="MR53" s="305"/>
      <c r="MS53" s="305"/>
      <c r="MT53" s="305"/>
      <c r="MU53" s="305"/>
      <c r="MV53" s="305"/>
      <c r="MW53" s="305"/>
      <c r="MX53" s="305"/>
      <c r="MY53" s="305"/>
      <c r="MZ53" s="305"/>
      <c r="NA53" s="305"/>
      <c r="NB53" s="305"/>
      <c r="NC53" s="305"/>
      <c r="ND53" s="305"/>
      <c r="NE53" s="305"/>
      <c r="NF53" s="305"/>
      <c r="NG53" s="305"/>
      <c r="NH53" s="305"/>
      <c r="NI53" s="305"/>
    </row>
    <row r="54" spans="1:373" x14ac:dyDescent="0.2">
      <c r="A54" s="132" t="s">
        <v>739</v>
      </c>
      <c r="B54" s="133" t="s">
        <v>1341</v>
      </c>
      <c r="C54" s="134"/>
      <c r="D54" s="242" t="s">
        <v>1360</v>
      </c>
      <c r="E54" s="242">
        <v>0</v>
      </c>
      <c r="F54" s="243" t="s">
        <v>1378</v>
      </c>
      <c r="G54" s="243" t="s">
        <v>1299</v>
      </c>
      <c r="H54" s="243" t="s">
        <v>961</v>
      </c>
      <c r="I54" s="243">
        <v>0</v>
      </c>
      <c r="J54" s="243">
        <v>0</v>
      </c>
      <c r="K54" s="243">
        <v>0</v>
      </c>
      <c r="L54" s="243" t="s">
        <v>1263</v>
      </c>
      <c r="M54" s="243">
        <v>0</v>
      </c>
      <c r="N54" s="243" t="s">
        <v>1217</v>
      </c>
      <c r="O54" s="243">
        <v>0</v>
      </c>
      <c r="P54" s="243">
        <v>0</v>
      </c>
      <c r="Q54" s="243">
        <v>0</v>
      </c>
      <c r="R54" s="135"/>
      <c r="S54" s="135"/>
      <c r="T54" s="135"/>
      <c r="U54" s="135"/>
      <c r="V54" s="135"/>
      <c r="W54" s="135">
        <v>0</v>
      </c>
      <c r="X54" s="135">
        <v>0</v>
      </c>
      <c r="Y54" s="135">
        <v>0</v>
      </c>
      <c r="Z54" s="136">
        <v>0</v>
      </c>
      <c r="AA54" s="136">
        <v>0</v>
      </c>
      <c r="AB54" s="136">
        <v>0</v>
      </c>
      <c r="AC54" s="137">
        <v>0</v>
      </c>
      <c r="AD54" s="137">
        <v>0</v>
      </c>
      <c r="AE54" s="138">
        <v>10</v>
      </c>
      <c r="AF54" s="138">
        <v>8</v>
      </c>
      <c r="AG54" s="138">
        <v>2</v>
      </c>
      <c r="AH54" s="139">
        <v>1</v>
      </c>
      <c r="AI54" s="139" t="s">
        <v>1388</v>
      </c>
      <c r="AJ54" s="138" t="s">
        <v>3649</v>
      </c>
      <c r="AK54" s="195" t="s">
        <v>1390</v>
      </c>
      <c r="AL54" s="138">
        <v>27</v>
      </c>
      <c r="AM54" s="27" t="s">
        <v>1391</v>
      </c>
      <c r="AN54" s="138">
        <v>0</v>
      </c>
      <c r="AO54" s="140">
        <v>0</v>
      </c>
      <c r="AP54" s="140">
        <v>0</v>
      </c>
      <c r="AQ54" s="140">
        <v>0</v>
      </c>
      <c r="AR54" s="138">
        <v>27</v>
      </c>
      <c r="AS54" s="138">
        <v>0</v>
      </c>
      <c r="AT54" s="198"/>
      <c r="AU54" s="198"/>
      <c r="AV54" s="198"/>
      <c r="AW54" s="211" t="s">
        <v>790</v>
      </c>
      <c r="AX54" s="211" t="s">
        <v>1324</v>
      </c>
      <c r="AY54" s="141"/>
      <c r="AZ54" s="141"/>
      <c r="BA54" s="142">
        <v>1</v>
      </c>
      <c r="BB54" s="142" t="s">
        <v>527</v>
      </c>
      <c r="BC54" s="142"/>
      <c r="BD54" s="142">
        <v>1</v>
      </c>
      <c r="BE54" s="143" t="s">
        <v>541</v>
      </c>
      <c r="BF54" s="144">
        <v>1</v>
      </c>
      <c r="BG54" s="145"/>
      <c r="BH54" s="212"/>
      <c r="BI54" s="213"/>
      <c r="BJ54" s="146">
        <v>20</v>
      </c>
      <c r="BK54" s="214">
        <v>0</v>
      </c>
      <c r="BL54" s="13">
        <v>13</v>
      </c>
      <c r="BM54" s="13">
        <v>7</v>
      </c>
      <c r="BN54" s="27" t="s">
        <v>1394</v>
      </c>
      <c r="BO54" s="13" t="s">
        <v>1396</v>
      </c>
      <c r="BP54" s="147">
        <v>0</v>
      </c>
      <c r="BQ54" s="148"/>
      <c r="BR54" s="149"/>
      <c r="BS54" s="138">
        <v>1000000000</v>
      </c>
      <c r="BT54" s="150">
        <v>0</v>
      </c>
      <c r="BU54" s="151">
        <v>1</v>
      </c>
      <c r="BV54" s="150">
        <v>20</v>
      </c>
      <c r="BW54" s="152">
        <v>0</v>
      </c>
      <c r="BX54" s="152">
        <v>0</v>
      </c>
      <c r="BY54" s="152">
        <v>0</v>
      </c>
      <c r="BZ54" s="150">
        <v>0</v>
      </c>
      <c r="CA54" s="150">
        <v>0</v>
      </c>
      <c r="CB54" s="150">
        <v>20</v>
      </c>
      <c r="CC54" s="151">
        <v>0</v>
      </c>
      <c r="CD54" s="150"/>
      <c r="CE54" s="150"/>
      <c r="CF54" s="153">
        <v>0</v>
      </c>
      <c r="CG54" s="154">
        <v>4</v>
      </c>
      <c r="CH54" s="148"/>
      <c r="CI54" s="155"/>
      <c r="CJ54" s="156" t="s">
        <v>1316</v>
      </c>
      <c r="CK54" s="157" t="s">
        <v>1316</v>
      </c>
      <c r="CL54" s="154">
        <v>0</v>
      </c>
      <c r="CM54" s="154">
        <v>0</v>
      </c>
      <c r="CN54" s="151">
        <v>0</v>
      </c>
      <c r="CO54" s="151">
        <v>0</v>
      </c>
      <c r="CP54" s="158"/>
      <c r="CQ54" s="151">
        <v>1</v>
      </c>
      <c r="CR54" s="199">
        <v>43066</v>
      </c>
      <c r="CS54" s="200">
        <v>43185</v>
      </c>
      <c r="CT54" s="201">
        <v>43255</v>
      </c>
      <c r="CU54" s="201">
        <v>43195</v>
      </c>
      <c r="CV54" s="201">
        <v>0</v>
      </c>
      <c r="CW54" s="201">
        <v>43209</v>
      </c>
      <c r="CX54" s="201">
        <v>43251</v>
      </c>
      <c r="CY54" s="151">
        <v>1</v>
      </c>
      <c r="CZ54" s="150">
        <v>427</v>
      </c>
      <c r="DA54" s="151">
        <v>0.953125</v>
      </c>
      <c r="DB54" s="151">
        <v>0</v>
      </c>
      <c r="DC54" s="151">
        <v>0</v>
      </c>
      <c r="DD54" s="151">
        <v>0</v>
      </c>
      <c r="DE54" s="159">
        <v>0</v>
      </c>
      <c r="DF54" s="13" t="s">
        <v>1316</v>
      </c>
      <c r="DG54" s="85" t="s">
        <v>1316</v>
      </c>
      <c r="DH54" s="18" t="b">
        <v>0</v>
      </c>
      <c r="DI54" s="84"/>
      <c r="DJ54" s="84"/>
      <c r="DK54" s="215"/>
      <c r="DL54" s="194"/>
      <c r="DM54" s="216"/>
      <c r="DN54" s="151"/>
      <c r="DO54" s="84"/>
      <c r="DP54" s="84"/>
      <c r="DQ54" s="84"/>
      <c r="DR54" s="84"/>
      <c r="DS54" s="84"/>
      <c r="DT54" s="84"/>
      <c r="DU54" s="84"/>
      <c r="DV54" s="18"/>
      <c r="DW54" s="18"/>
      <c r="DX54" s="18"/>
      <c r="DY54" s="197"/>
      <c r="DZ54" s="197">
        <v>0</v>
      </c>
      <c r="EA54" s="197">
        <v>0</v>
      </c>
      <c r="EB54" s="197">
        <v>0</v>
      </c>
      <c r="EC54" s="197">
        <v>0</v>
      </c>
      <c r="ED54" s="197">
        <v>0</v>
      </c>
      <c r="EE54" s="197">
        <v>0</v>
      </c>
      <c r="EF54" s="197">
        <v>20</v>
      </c>
      <c r="EG54" s="221"/>
      <c r="EH54" s="219"/>
      <c r="EI54" s="219"/>
      <c r="EJ54" s="219"/>
      <c r="EK54" s="219"/>
      <c r="EL54" s="219"/>
      <c r="EM54" s="219"/>
      <c r="EN54" s="219"/>
      <c r="EO54" s="219"/>
      <c r="EP54" s="219"/>
      <c r="EQ54" s="219"/>
      <c r="ER54" s="222">
        <v>0</v>
      </c>
      <c r="ES54" s="222">
        <v>0</v>
      </c>
      <c r="ET54" s="222">
        <v>0</v>
      </c>
      <c r="EU54" s="222">
        <v>0</v>
      </c>
      <c r="EV54" s="222">
        <v>0</v>
      </c>
      <c r="EW54" s="222">
        <v>0</v>
      </c>
      <c r="EX54" s="222">
        <v>0</v>
      </c>
      <c r="EY54" s="222">
        <v>0</v>
      </c>
      <c r="EZ54" s="222">
        <v>0</v>
      </c>
      <c r="FA54" s="222">
        <v>0</v>
      </c>
      <c r="FB54" s="222">
        <v>0</v>
      </c>
      <c r="FC54" s="222">
        <v>0</v>
      </c>
      <c r="FD54" s="222">
        <v>0</v>
      </c>
      <c r="FE54" s="222">
        <v>0</v>
      </c>
      <c r="FF54" s="222">
        <v>0</v>
      </c>
      <c r="FG54" s="222">
        <v>0</v>
      </c>
      <c r="FH54" s="222">
        <v>0</v>
      </c>
      <c r="FI54" s="222">
        <v>0</v>
      </c>
      <c r="FJ54" s="222">
        <v>0</v>
      </c>
      <c r="FK54" s="222">
        <v>0</v>
      </c>
      <c r="FL54" s="222">
        <v>0</v>
      </c>
      <c r="FM54" s="222">
        <v>0</v>
      </c>
      <c r="FN54" s="222">
        <v>0</v>
      </c>
      <c r="FO54" s="222">
        <v>0</v>
      </c>
      <c r="FP54" s="222">
        <v>0</v>
      </c>
      <c r="FQ54" s="222">
        <v>0</v>
      </c>
      <c r="FR54" s="222">
        <v>0</v>
      </c>
      <c r="FS54" s="222">
        <v>0</v>
      </c>
      <c r="FT54" s="222">
        <v>0</v>
      </c>
      <c r="FU54" s="222">
        <v>0</v>
      </c>
      <c r="FV54" s="222">
        <v>0</v>
      </c>
      <c r="FW54" s="222">
        <v>0</v>
      </c>
      <c r="FX54" s="222">
        <v>0</v>
      </c>
      <c r="FY54" s="222">
        <v>0</v>
      </c>
      <c r="FZ54" s="222">
        <v>0</v>
      </c>
      <c r="GA54" s="222">
        <v>0</v>
      </c>
      <c r="GB54" s="222">
        <v>0</v>
      </c>
      <c r="GC54" s="222">
        <v>0</v>
      </c>
      <c r="GD54" s="222">
        <v>0</v>
      </c>
      <c r="GE54" s="219"/>
      <c r="GF54" s="222">
        <v>0</v>
      </c>
      <c r="GG54" s="222">
        <v>0</v>
      </c>
      <c r="GH54" s="222">
        <v>0</v>
      </c>
      <c r="GI54" s="222">
        <v>0</v>
      </c>
      <c r="GJ54" s="222">
        <v>0</v>
      </c>
      <c r="GK54" s="222">
        <v>0</v>
      </c>
      <c r="GL54" s="222">
        <v>0</v>
      </c>
      <c r="GM54" s="219"/>
      <c r="GN54" s="222">
        <v>0</v>
      </c>
      <c r="GO54" s="222">
        <v>0</v>
      </c>
      <c r="GP54" s="222">
        <v>0</v>
      </c>
      <c r="GQ54" s="222">
        <v>0</v>
      </c>
      <c r="GR54" s="222">
        <v>0</v>
      </c>
      <c r="GS54" s="222">
        <v>0</v>
      </c>
      <c r="GT54" s="222">
        <v>0</v>
      </c>
      <c r="GU54" s="222">
        <v>0</v>
      </c>
      <c r="GV54" s="222">
        <v>0</v>
      </c>
      <c r="GW54" s="222">
        <v>0</v>
      </c>
      <c r="GX54" s="222">
        <v>0</v>
      </c>
      <c r="GY54" s="222">
        <v>0</v>
      </c>
      <c r="GZ54" s="222">
        <v>0</v>
      </c>
      <c r="HA54" s="222">
        <v>0</v>
      </c>
      <c r="HB54" s="222">
        <v>0</v>
      </c>
      <c r="HC54" s="222">
        <v>0</v>
      </c>
      <c r="HD54" s="222">
        <v>0</v>
      </c>
      <c r="HE54" s="222">
        <v>0</v>
      </c>
      <c r="HF54" s="222">
        <v>0</v>
      </c>
      <c r="HG54" s="222">
        <v>0</v>
      </c>
      <c r="HH54" s="222">
        <v>0</v>
      </c>
      <c r="HI54" s="222">
        <v>0</v>
      </c>
      <c r="HJ54" s="222">
        <v>0</v>
      </c>
      <c r="HK54" s="222">
        <v>0</v>
      </c>
      <c r="HL54" s="222">
        <v>0</v>
      </c>
      <c r="HM54" s="222">
        <v>0</v>
      </c>
      <c r="HN54" s="222">
        <v>0</v>
      </c>
      <c r="HO54" s="222">
        <v>0</v>
      </c>
      <c r="HP54" s="222">
        <v>0</v>
      </c>
      <c r="HQ54" s="222">
        <v>0</v>
      </c>
      <c r="HR54" s="222">
        <v>0</v>
      </c>
      <c r="HS54" s="222">
        <v>0</v>
      </c>
      <c r="HT54" s="222">
        <v>0</v>
      </c>
      <c r="HU54" s="222">
        <v>0</v>
      </c>
      <c r="HV54" s="222">
        <v>0</v>
      </c>
      <c r="HW54" s="222">
        <v>0</v>
      </c>
      <c r="HX54" s="222">
        <v>0</v>
      </c>
      <c r="HY54" s="222">
        <v>0</v>
      </c>
      <c r="HZ54" s="222">
        <v>0</v>
      </c>
      <c r="IA54" s="222">
        <v>0</v>
      </c>
      <c r="IB54" s="222">
        <v>0</v>
      </c>
      <c r="IC54" s="222">
        <v>0</v>
      </c>
      <c r="ID54" s="222">
        <v>0</v>
      </c>
      <c r="IE54" s="222">
        <v>0</v>
      </c>
      <c r="IF54" s="222">
        <v>0</v>
      </c>
      <c r="IG54" s="222">
        <v>0</v>
      </c>
      <c r="IH54" s="222">
        <v>0</v>
      </c>
      <c r="II54" s="222">
        <v>0</v>
      </c>
      <c r="IJ54" s="219"/>
      <c r="IK54" s="222">
        <v>0</v>
      </c>
      <c r="IL54" s="222">
        <v>0</v>
      </c>
      <c r="IM54" s="219"/>
      <c r="IN54" s="219"/>
      <c r="IO54" s="219"/>
      <c r="IP54" s="219"/>
      <c r="IQ54" s="219"/>
      <c r="IR54" s="219"/>
      <c r="IS54" s="219"/>
      <c r="IT54" s="219"/>
      <c r="IU54" s="219"/>
      <c r="IV54" s="219"/>
      <c r="IW54" s="219"/>
      <c r="IX54" s="219"/>
      <c r="IY54" s="219"/>
      <c r="IZ54" s="219"/>
      <c r="JA54" s="219"/>
      <c r="JB54" s="219"/>
      <c r="JC54" s="219"/>
      <c r="JD54" s="219"/>
      <c r="JE54" s="219"/>
      <c r="JF54" s="219"/>
      <c r="JG54" s="219"/>
      <c r="JH54" s="219"/>
      <c r="JI54" s="219"/>
      <c r="JJ54" s="219"/>
      <c r="JK54" s="219"/>
      <c r="JL54" s="219"/>
      <c r="JM54" s="219"/>
      <c r="JN54" s="219"/>
      <c r="JO54" s="219"/>
      <c r="JP54" s="219"/>
      <c r="JQ54" s="219"/>
      <c r="JR54" s="219"/>
      <c r="JS54" s="219"/>
      <c r="JT54" s="219"/>
      <c r="JU54" s="219"/>
      <c r="JV54" s="219"/>
      <c r="JW54" s="219"/>
      <c r="JX54" s="219"/>
      <c r="JY54" s="219"/>
      <c r="JZ54" s="219"/>
      <c r="KA54" s="219"/>
      <c r="KB54" s="219"/>
      <c r="KC54" s="219"/>
      <c r="KD54" s="219"/>
      <c r="KE54" s="219"/>
      <c r="KF54" s="219"/>
      <c r="KG54" s="219"/>
      <c r="KH54" s="219"/>
      <c r="KI54" s="219"/>
      <c r="KJ54" s="219"/>
      <c r="KK54" s="219"/>
      <c r="KL54" s="219"/>
      <c r="KM54" s="219"/>
      <c r="KN54" s="219"/>
      <c r="KO54" s="219"/>
      <c r="KP54" s="219"/>
      <c r="KQ54" s="219"/>
      <c r="KR54" s="219"/>
      <c r="KS54" s="219"/>
      <c r="KT54" s="219"/>
      <c r="KU54" s="219"/>
      <c r="KV54" s="219"/>
      <c r="KW54" s="219"/>
      <c r="KX54" s="219"/>
      <c r="KY54" s="219"/>
      <c r="KZ54" s="219"/>
      <c r="LA54" s="219"/>
      <c r="LB54" s="219"/>
      <c r="LC54" s="219"/>
      <c r="LD54" s="219"/>
      <c r="LE54" s="219"/>
      <c r="LF54" s="219"/>
      <c r="LG54" s="219"/>
      <c r="LH54" s="219"/>
      <c r="LI54" s="219"/>
      <c r="LJ54" s="219"/>
      <c r="LK54" s="219"/>
      <c r="LL54" s="219"/>
      <c r="LM54" s="219"/>
      <c r="LN54" s="219"/>
      <c r="LO54" s="219"/>
      <c r="LP54" s="219"/>
      <c r="LQ54" s="219"/>
      <c r="LR54" s="219"/>
      <c r="LS54" s="219"/>
      <c r="LT54" s="219"/>
      <c r="LU54" s="219"/>
      <c r="LV54" s="219"/>
      <c r="LW54" s="219"/>
      <c r="LX54" s="219"/>
      <c r="LY54" s="219"/>
      <c r="LZ54" s="219"/>
      <c r="MA54" s="219"/>
      <c r="MB54" s="219"/>
      <c r="MC54" s="219"/>
      <c r="MD54" s="219"/>
      <c r="ME54" s="219"/>
      <c r="MF54" s="305"/>
      <c r="MG54" s="305"/>
      <c r="MH54" s="305"/>
      <c r="MI54" s="305"/>
      <c r="MJ54" s="305"/>
      <c r="MK54" s="305"/>
      <c r="ML54" s="305"/>
      <c r="MM54" s="305"/>
      <c r="MN54" s="305"/>
      <c r="MO54" s="305"/>
      <c r="MP54" s="305"/>
      <c r="MQ54" s="305"/>
      <c r="MR54" s="305"/>
      <c r="MS54" s="305"/>
      <c r="MT54" s="305"/>
      <c r="MU54" s="305"/>
      <c r="MV54" s="305"/>
      <c r="MW54" s="305"/>
      <c r="MX54" s="305"/>
      <c r="MY54" s="305"/>
      <c r="MZ54" s="305"/>
      <c r="NA54" s="305"/>
      <c r="NB54" s="305"/>
      <c r="NC54" s="305"/>
      <c r="ND54" s="305"/>
      <c r="NE54" s="305"/>
      <c r="NF54" s="305"/>
      <c r="NG54" s="305"/>
      <c r="NH54" s="305"/>
      <c r="NI54" s="305"/>
    </row>
    <row r="55" spans="1:373" x14ac:dyDescent="0.2">
      <c r="A55" s="132" t="s">
        <v>739</v>
      </c>
      <c r="B55" s="133" t="s">
        <v>1342</v>
      </c>
      <c r="C55" s="134"/>
      <c r="D55" s="242" t="s">
        <v>1361</v>
      </c>
      <c r="E55" s="242">
        <v>0</v>
      </c>
      <c r="F55" s="243" t="s">
        <v>1379</v>
      </c>
      <c r="G55" s="243" t="s">
        <v>1283</v>
      </c>
      <c r="H55" s="243" t="s">
        <v>961</v>
      </c>
      <c r="I55" s="243">
        <v>0</v>
      </c>
      <c r="J55" s="243">
        <v>0</v>
      </c>
      <c r="K55" s="243">
        <v>0</v>
      </c>
      <c r="L55" s="243" t="s">
        <v>1247</v>
      </c>
      <c r="M55" s="243">
        <v>0</v>
      </c>
      <c r="N55" s="243" t="s">
        <v>1217</v>
      </c>
      <c r="O55" s="243">
        <v>0</v>
      </c>
      <c r="P55" s="243">
        <v>0</v>
      </c>
      <c r="Q55" s="243">
        <v>0</v>
      </c>
      <c r="R55" s="135"/>
      <c r="S55" s="135"/>
      <c r="T55" s="135"/>
      <c r="U55" s="135"/>
      <c r="V55" s="135"/>
      <c r="W55" s="135">
        <v>0</v>
      </c>
      <c r="X55" s="135">
        <v>0</v>
      </c>
      <c r="Y55" s="135">
        <v>0</v>
      </c>
      <c r="Z55" s="136">
        <v>0</v>
      </c>
      <c r="AA55" s="136">
        <v>0</v>
      </c>
      <c r="AB55" s="136">
        <v>0</v>
      </c>
      <c r="AC55" s="137">
        <v>0</v>
      </c>
      <c r="AD55" s="137">
        <v>0</v>
      </c>
      <c r="AE55" s="138">
        <v>10</v>
      </c>
      <c r="AF55" s="138">
        <v>8</v>
      </c>
      <c r="AG55" s="138">
        <v>2</v>
      </c>
      <c r="AH55" s="139">
        <v>1</v>
      </c>
      <c r="AI55" s="139" t="s">
        <v>1388</v>
      </c>
      <c r="AJ55" s="138" t="s">
        <v>3649</v>
      </c>
      <c r="AK55" s="195" t="s">
        <v>1390</v>
      </c>
      <c r="AL55" s="138">
        <v>27</v>
      </c>
      <c r="AM55" s="27" t="s">
        <v>1391</v>
      </c>
      <c r="AN55" s="138">
        <v>0</v>
      </c>
      <c r="AO55" s="140">
        <v>0</v>
      </c>
      <c r="AP55" s="140">
        <v>0</v>
      </c>
      <c r="AQ55" s="140">
        <v>0</v>
      </c>
      <c r="AR55" s="138">
        <v>27</v>
      </c>
      <c r="AS55" s="138">
        <v>0</v>
      </c>
      <c r="AT55" s="198"/>
      <c r="AU55" s="198"/>
      <c r="AV55" s="198"/>
      <c r="AW55" s="211" t="s">
        <v>790</v>
      </c>
      <c r="AX55" s="211" t="s">
        <v>1324</v>
      </c>
      <c r="AY55" s="141"/>
      <c r="AZ55" s="141"/>
      <c r="BA55" s="142">
        <v>1</v>
      </c>
      <c r="BB55" s="142" t="s">
        <v>527</v>
      </c>
      <c r="BC55" s="142"/>
      <c r="BD55" s="142">
        <v>1</v>
      </c>
      <c r="BE55" s="143" t="s">
        <v>541</v>
      </c>
      <c r="BF55" s="144">
        <v>1</v>
      </c>
      <c r="BG55" s="145"/>
      <c r="BH55" s="212"/>
      <c r="BI55" s="213"/>
      <c r="BJ55" s="146">
        <v>20</v>
      </c>
      <c r="BK55" s="214">
        <v>0</v>
      </c>
      <c r="BL55" s="13">
        <v>13</v>
      </c>
      <c r="BM55" s="13">
        <v>7</v>
      </c>
      <c r="BN55" s="27" t="s">
        <v>1394</v>
      </c>
      <c r="BO55" s="13" t="s">
        <v>1396</v>
      </c>
      <c r="BP55" s="147">
        <v>0</v>
      </c>
      <c r="BQ55" s="148"/>
      <c r="BR55" s="149"/>
      <c r="BS55" s="138">
        <v>1000000000</v>
      </c>
      <c r="BT55" s="150">
        <v>0</v>
      </c>
      <c r="BU55" s="151">
        <v>1</v>
      </c>
      <c r="BV55" s="150">
        <v>20</v>
      </c>
      <c r="BW55" s="152">
        <v>0</v>
      </c>
      <c r="BX55" s="152">
        <v>0</v>
      </c>
      <c r="BY55" s="152">
        <v>0</v>
      </c>
      <c r="BZ55" s="150">
        <v>0</v>
      </c>
      <c r="CA55" s="150">
        <v>0</v>
      </c>
      <c r="CB55" s="150">
        <v>20</v>
      </c>
      <c r="CC55" s="151">
        <v>0</v>
      </c>
      <c r="CD55" s="150"/>
      <c r="CE55" s="150"/>
      <c r="CF55" s="153">
        <v>0</v>
      </c>
      <c r="CG55" s="154">
        <v>4</v>
      </c>
      <c r="CH55" s="148"/>
      <c r="CI55" s="155"/>
      <c r="CJ55" s="156" t="s">
        <v>1316</v>
      </c>
      <c r="CK55" s="157" t="s">
        <v>1316</v>
      </c>
      <c r="CL55" s="154">
        <v>0</v>
      </c>
      <c r="CM55" s="154">
        <v>0</v>
      </c>
      <c r="CN55" s="151">
        <v>0</v>
      </c>
      <c r="CO55" s="151">
        <v>0</v>
      </c>
      <c r="CP55" s="158"/>
      <c r="CQ55" s="151">
        <v>1</v>
      </c>
      <c r="CR55" s="199">
        <v>43066</v>
      </c>
      <c r="CS55" s="200">
        <v>43185</v>
      </c>
      <c r="CT55" s="201">
        <v>43255</v>
      </c>
      <c r="CU55" s="201">
        <v>43195</v>
      </c>
      <c r="CV55" s="201">
        <v>0</v>
      </c>
      <c r="CW55" s="201">
        <v>43209</v>
      </c>
      <c r="CX55" s="201">
        <v>43251</v>
      </c>
      <c r="CY55" s="151">
        <v>1</v>
      </c>
      <c r="CZ55" s="150">
        <v>427</v>
      </c>
      <c r="DA55" s="151">
        <v>0.953125</v>
      </c>
      <c r="DB55" s="151">
        <v>0</v>
      </c>
      <c r="DC55" s="151">
        <v>0</v>
      </c>
      <c r="DD55" s="151">
        <v>0</v>
      </c>
      <c r="DE55" s="159">
        <v>0</v>
      </c>
      <c r="DF55" s="13" t="s">
        <v>1316</v>
      </c>
      <c r="DG55" s="85" t="s">
        <v>1316</v>
      </c>
      <c r="DH55" s="18" t="b">
        <v>0</v>
      </c>
      <c r="DI55" s="84"/>
      <c r="DJ55" s="84"/>
      <c r="DK55" s="215"/>
      <c r="DL55" s="194"/>
      <c r="DM55" s="216"/>
      <c r="DN55" s="151"/>
      <c r="DO55" s="84"/>
      <c r="DP55" s="84"/>
      <c r="DQ55" s="84"/>
      <c r="DR55" s="84"/>
      <c r="DS55" s="84"/>
      <c r="DT55" s="84"/>
      <c r="DU55" s="84"/>
      <c r="DV55" s="18"/>
      <c r="DW55" s="18"/>
      <c r="DX55" s="18"/>
      <c r="DY55" s="197"/>
      <c r="DZ55" s="197">
        <v>0</v>
      </c>
      <c r="EA55" s="197">
        <v>0</v>
      </c>
      <c r="EB55" s="197">
        <v>0</v>
      </c>
      <c r="EC55" s="197">
        <v>0</v>
      </c>
      <c r="ED55" s="197">
        <v>0</v>
      </c>
      <c r="EE55" s="197">
        <v>0</v>
      </c>
      <c r="EF55" s="197">
        <v>20</v>
      </c>
      <c r="EG55" s="221"/>
      <c r="EH55" s="221"/>
      <c r="EI55" s="221"/>
      <c r="EJ55" s="221"/>
      <c r="EK55" s="221"/>
      <c r="EL55" s="221"/>
      <c r="EM55" s="221"/>
      <c r="EN55" s="221"/>
      <c r="EO55" s="221"/>
      <c r="EP55" s="221"/>
      <c r="EQ55" s="221"/>
      <c r="ER55" s="222">
        <v>0</v>
      </c>
      <c r="ES55" s="222">
        <v>0</v>
      </c>
      <c r="ET55" s="253">
        <v>0</v>
      </c>
      <c r="EU55" s="253">
        <v>0</v>
      </c>
      <c r="EV55" s="253">
        <v>0</v>
      </c>
      <c r="EW55" s="253">
        <v>0</v>
      </c>
      <c r="EX55" s="253">
        <v>0</v>
      </c>
      <c r="EY55" s="253">
        <v>0</v>
      </c>
      <c r="EZ55" s="253">
        <v>0</v>
      </c>
      <c r="FA55" s="253">
        <v>0</v>
      </c>
      <c r="FB55" s="253">
        <v>0</v>
      </c>
      <c r="FC55" s="253">
        <v>0</v>
      </c>
      <c r="FD55" s="253">
        <v>0</v>
      </c>
      <c r="FE55" s="253">
        <v>0</v>
      </c>
      <c r="FF55" s="253">
        <v>0</v>
      </c>
      <c r="FG55" s="253">
        <v>0</v>
      </c>
      <c r="FH55" s="253">
        <v>0</v>
      </c>
      <c r="FI55" s="253">
        <v>0</v>
      </c>
      <c r="FJ55" s="253">
        <v>0</v>
      </c>
      <c r="FK55" s="253">
        <v>0</v>
      </c>
      <c r="FL55" s="253">
        <v>0</v>
      </c>
      <c r="FM55" s="253">
        <v>0</v>
      </c>
      <c r="FN55" s="253">
        <v>0</v>
      </c>
      <c r="FO55" s="253">
        <v>0</v>
      </c>
      <c r="FP55" s="253">
        <v>0</v>
      </c>
      <c r="FQ55" s="253">
        <v>0</v>
      </c>
      <c r="FR55" s="253">
        <v>0</v>
      </c>
      <c r="FS55" s="253">
        <v>0</v>
      </c>
      <c r="FT55" s="253">
        <v>0</v>
      </c>
      <c r="FU55" s="253">
        <v>0</v>
      </c>
      <c r="FV55" s="253">
        <v>0</v>
      </c>
      <c r="FW55" s="253">
        <v>0</v>
      </c>
      <c r="FX55" s="253">
        <v>0</v>
      </c>
      <c r="FY55" s="253">
        <v>0</v>
      </c>
      <c r="FZ55" s="253">
        <v>0</v>
      </c>
      <c r="GA55" s="253">
        <v>0</v>
      </c>
      <c r="GB55" s="253">
        <v>0</v>
      </c>
      <c r="GC55" s="253">
        <v>0</v>
      </c>
      <c r="GD55" s="253">
        <v>0</v>
      </c>
      <c r="GE55" s="221"/>
      <c r="GF55" s="253">
        <v>0</v>
      </c>
      <c r="GG55" s="253">
        <v>0</v>
      </c>
      <c r="GH55" s="253">
        <v>0</v>
      </c>
      <c r="GI55" s="253">
        <v>0</v>
      </c>
      <c r="GJ55" s="253">
        <v>0</v>
      </c>
      <c r="GK55" s="253">
        <v>0</v>
      </c>
      <c r="GL55" s="253">
        <v>0</v>
      </c>
      <c r="GM55" s="221"/>
      <c r="GN55" s="253">
        <v>0</v>
      </c>
      <c r="GO55" s="253">
        <v>0</v>
      </c>
      <c r="GP55" s="253">
        <v>0</v>
      </c>
      <c r="GQ55" s="253">
        <v>0</v>
      </c>
      <c r="GR55" s="253">
        <v>0</v>
      </c>
      <c r="GS55" s="253">
        <v>0</v>
      </c>
      <c r="GT55" s="253">
        <v>0</v>
      </c>
      <c r="GU55" s="253">
        <v>0</v>
      </c>
      <c r="GV55" s="253">
        <v>0</v>
      </c>
      <c r="GW55" s="253">
        <v>0</v>
      </c>
      <c r="GX55" s="253">
        <v>0</v>
      </c>
      <c r="GY55" s="253">
        <v>0</v>
      </c>
      <c r="GZ55" s="253">
        <v>0</v>
      </c>
      <c r="HA55" s="253">
        <v>0</v>
      </c>
      <c r="HB55" s="253">
        <v>0</v>
      </c>
      <c r="HC55" s="253">
        <v>0</v>
      </c>
      <c r="HD55" s="253">
        <v>0</v>
      </c>
      <c r="HE55" s="253">
        <v>0</v>
      </c>
      <c r="HF55" s="253">
        <v>0</v>
      </c>
      <c r="HG55" s="253">
        <v>0</v>
      </c>
      <c r="HH55" s="253">
        <v>0</v>
      </c>
      <c r="HI55" s="253">
        <v>0</v>
      </c>
      <c r="HJ55" s="253">
        <v>0</v>
      </c>
      <c r="HK55" s="253">
        <v>0</v>
      </c>
      <c r="HL55" s="253">
        <v>0</v>
      </c>
      <c r="HM55" s="253">
        <v>0</v>
      </c>
      <c r="HN55" s="253">
        <v>0</v>
      </c>
      <c r="HO55" s="253">
        <v>0</v>
      </c>
      <c r="HP55" s="253">
        <v>0</v>
      </c>
      <c r="HQ55" s="253">
        <v>0</v>
      </c>
      <c r="HR55" s="253">
        <v>0</v>
      </c>
      <c r="HS55" s="253">
        <v>0</v>
      </c>
      <c r="HT55" s="253">
        <v>0</v>
      </c>
      <c r="HU55" s="253">
        <v>0</v>
      </c>
      <c r="HV55" s="253">
        <v>0</v>
      </c>
      <c r="HW55" s="253">
        <v>0</v>
      </c>
      <c r="HX55" s="253">
        <v>0</v>
      </c>
      <c r="HY55" s="253">
        <v>0</v>
      </c>
      <c r="HZ55" s="253">
        <v>0</v>
      </c>
      <c r="IA55" s="253">
        <v>0</v>
      </c>
      <c r="IB55" s="253">
        <v>0</v>
      </c>
      <c r="IC55" s="253">
        <v>0</v>
      </c>
      <c r="ID55" s="253">
        <v>0</v>
      </c>
      <c r="IE55" s="253">
        <v>0</v>
      </c>
      <c r="IF55" s="253">
        <v>0</v>
      </c>
      <c r="IG55" s="253">
        <v>0</v>
      </c>
      <c r="IH55" s="253">
        <v>0</v>
      </c>
      <c r="II55" s="253">
        <v>0</v>
      </c>
      <c r="IJ55" s="221"/>
      <c r="IK55" s="253">
        <v>0</v>
      </c>
      <c r="IL55" s="253">
        <v>0</v>
      </c>
      <c r="IM55" s="221"/>
      <c r="IN55" s="221"/>
      <c r="IO55" s="221"/>
      <c r="IP55" s="221"/>
      <c r="IQ55" s="221"/>
      <c r="IR55" s="221"/>
      <c r="IS55" s="221"/>
      <c r="IT55" s="221"/>
      <c r="IU55" s="221"/>
      <c r="IV55" s="221"/>
      <c r="IW55" s="221"/>
      <c r="IX55" s="221"/>
      <c r="IY55" s="221"/>
      <c r="IZ55" s="221"/>
      <c r="JA55" s="221"/>
      <c r="JB55" s="221"/>
      <c r="JC55" s="221"/>
      <c r="JD55" s="221"/>
      <c r="JE55" s="221"/>
      <c r="JF55" s="221"/>
      <c r="JG55" s="221"/>
      <c r="JH55" s="221"/>
      <c r="JI55" s="221"/>
      <c r="JJ55" s="221"/>
      <c r="JK55" s="221"/>
      <c r="JL55" s="221"/>
      <c r="JM55" s="221"/>
      <c r="JN55" s="221"/>
      <c r="JO55" s="221"/>
      <c r="JP55" s="221"/>
      <c r="JQ55" s="221"/>
      <c r="JR55" s="221"/>
      <c r="JS55" s="221"/>
      <c r="JT55" s="221"/>
      <c r="JU55" s="221"/>
      <c r="JV55" s="221"/>
      <c r="JW55" s="221"/>
      <c r="JX55" s="221"/>
      <c r="JY55" s="221"/>
      <c r="JZ55" s="221"/>
      <c r="KA55" s="221"/>
      <c r="KB55" s="221"/>
      <c r="KC55" s="221"/>
      <c r="KD55" s="221"/>
      <c r="KE55" s="221"/>
      <c r="KF55" s="221"/>
      <c r="KG55" s="221"/>
      <c r="KH55" s="221"/>
      <c r="KI55" s="221"/>
      <c r="KJ55" s="221"/>
      <c r="KK55" s="221"/>
      <c r="KL55" s="221"/>
      <c r="KM55" s="221"/>
      <c r="KN55" s="221"/>
      <c r="KO55" s="221"/>
      <c r="KP55" s="221"/>
      <c r="KQ55" s="221"/>
      <c r="KR55" s="221"/>
      <c r="KS55" s="221"/>
      <c r="KT55" s="221"/>
      <c r="KU55" s="221"/>
      <c r="KV55" s="221"/>
      <c r="KW55" s="221"/>
      <c r="KX55" s="221"/>
      <c r="KY55" s="221"/>
      <c r="KZ55" s="221"/>
      <c r="LA55" s="221"/>
      <c r="LB55" s="221"/>
      <c r="LC55" s="221"/>
      <c r="LD55" s="221"/>
      <c r="LE55" s="221"/>
      <c r="LF55" s="221"/>
      <c r="LG55" s="221"/>
      <c r="LH55" s="221"/>
      <c r="LI55" s="221"/>
      <c r="LJ55" s="221"/>
      <c r="LK55" s="221"/>
      <c r="LL55" s="221"/>
      <c r="LM55" s="221"/>
      <c r="LN55" s="221"/>
      <c r="LO55" s="221"/>
      <c r="LP55" s="221"/>
      <c r="LQ55" s="221"/>
      <c r="LR55" s="221"/>
      <c r="LS55" s="221"/>
      <c r="LT55" s="221"/>
      <c r="LU55" s="221"/>
      <c r="LV55" s="221"/>
      <c r="LW55" s="221"/>
      <c r="LX55" s="221"/>
      <c r="LY55" s="221"/>
      <c r="LZ55" s="221"/>
      <c r="MA55" s="221"/>
      <c r="MB55" s="221"/>
      <c r="MC55" s="221"/>
      <c r="MD55" s="221"/>
      <c r="ME55" s="221"/>
      <c r="MF55" s="305"/>
      <c r="MG55" s="305"/>
      <c r="MH55" s="305"/>
      <c r="MI55" s="305"/>
      <c r="MJ55" s="305"/>
      <c r="MK55" s="305"/>
      <c r="ML55" s="305"/>
      <c r="MM55" s="305"/>
      <c r="MN55" s="305"/>
      <c r="MO55" s="305"/>
      <c r="MP55" s="305"/>
      <c r="MQ55" s="305"/>
      <c r="MR55" s="305"/>
      <c r="MS55" s="305"/>
      <c r="MT55" s="305"/>
      <c r="MU55" s="305"/>
      <c r="MV55" s="305"/>
      <c r="MW55" s="305"/>
      <c r="MX55" s="305"/>
      <c r="MY55" s="305"/>
      <c r="MZ55" s="305"/>
      <c r="NA55" s="305"/>
      <c r="NB55" s="305"/>
      <c r="NC55" s="305"/>
      <c r="ND55" s="305"/>
      <c r="NE55" s="305"/>
      <c r="NF55" s="305"/>
      <c r="NG55" s="305"/>
      <c r="NH55" s="305"/>
      <c r="NI55" s="305"/>
    </row>
    <row r="56" spans="1:373" x14ac:dyDescent="0.2">
      <c r="A56" s="132" t="s">
        <v>739</v>
      </c>
      <c r="B56" s="133" t="s">
        <v>1343</v>
      </c>
      <c r="C56" s="134"/>
      <c r="D56" s="242" t="s">
        <v>1362</v>
      </c>
      <c r="E56" s="242">
        <v>0</v>
      </c>
      <c r="F56" s="243" t="s">
        <v>1380</v>
      </c>
      <c r="G56" s="243" t="s">
        <v>1307</v>
      </c>
      <c r="H56" s="243" t="s">
        <v>961</v>
      </c>
      <c r="I56" s="243">
        <v>0</v>
      </c>
      <c r="J56" s="243">
        <v>0</v>
      </c>
      <c r="K56" s="243">
        <v>0</v>
      </c>
      <c r="L56" s="243" t="s">
        <v>1219</v>
      </c>
      <c r="M56" s="243">
        <v>0</v>
      </c>
      <c r="N56" s="243" t="s">
        <v>1217</v>
      </c>
      <c r="O56" s="243">
        <v>0</v>
      </c>
      <c r="P56" s="243">
        <v>0</v>
      </c>
      <c r="Q56" s="243">
        <v>0</v>
      </c>
      <c r="R56" s="135"/>
      <c r="S56" s="135"/>
      <c r="T56" s="135"/>
      <c r="U56" s="135"/>
      <c r="V56" s="135"/>
      <c r="W56" s="135">
        <v>0</v>
      </c>
      <c r="X56" s="135">
        <v>0</v>
      </c>
      <c r="Y56" s="135">
        <v>0</v>
      </c>
      <c r="Z56" s="136">
        <v>0</v>
      </c>
      <c r="AA56" s="136">
        <v>0</v>
      </c>
      <c r="AB56" s="136">
        <v>0</v>
      </c>
      <c r="AC56" s="137">
        <v>0</v>
      </c>
      <c r="AD56" s="137">
        <v>0</v>
      </c>
      <c r="AE56" s="138">
        <v>10</v>
      </c>
      <c r="AF56" s="138">
        <v>8</v>
      </c>
      <c r="AG56" s="138">
        <v>2</v>
      </c>
      <c r="AH56" s="139">
        <v>1</v>
      </c>
      <c r="AI56" s="139" t="s">
        <v>1388</v>
      </c>
      <c r="AJ56" s="138" t="s">
        <v>3649</v>
      </c>
      <c r="AK56" s="195" t="s">
        <v>1390</v>
      </c>
      <c r="AL56" s="138">
        <v>27</v>
      </c>
      <c r="AM56" s="27" t="s">
        <v>1391</v>
      </c>
      <c r="AN56" s="138">
        <v>0</v>
      </c>
      <c r="AO56" s="140">
        <v>0</v>
      </c>
      <c r="AP56" s="140">
        <v>0</v>
      </c>
      <c r="AQ56" s="140">
        <v>0</v>
      </c>
      <c r="AR56" s="138">
        <v>27</v>
      </c>
      <c r="AS56" s="138">
        <v>0</v>
      </c>
      <c r="AT56" s="198"/>
      <c r="AU56" s="198"/>
      <c r="AV56" s="198"/>
      <c r="AW56" s="211" t="s">
        <v>790</v>
      </c>
      <c r="AX56" s="211" t="s">
        <v>1324</v>
      </c>
      <c r="AY56" s="141"/>
      <c r="AZ56" s="141"/>
      <c r="BA56" s="142">
        <v>1</v>
      </c>
      <c r="BB56" s="142" t="s">
        <v>527</v>
      </c>
      <c r="BC56" s="142"/>
      <c r="BD56" s="142">
        <v>1</v>
      </c>
      <c r="BE56" s="143" t="s">
        <v>541</v>
      </c>
      <c r="BF56" s="144">
        <v>1</v>
      </c>
      <c r="BG56" s="145"/>
      <c r="BH56" s="212"/>
      <c r="BI56" s="213"/>
      <c r="BJ56" s="146">
        <v>20</v>
      </c>
      <c r="BK56" s="214">
        <v>0</v>
      </c>
      <c r="BL56" s="13">
        <v>13</v>
      </c>
      <c r="BM56" s="13">
        <v>7</v>
      </c>
      <c r="BN56" s="27" t="s">
        <v>1394</v>
      </c>
      <c r="BO56" s="13" t="s">
        <v>1396</v>
      </c>
      <c r="BP56" s="147">
        <v>0</v>
      </c>
      <c r="BQ56" s="148"/>
      <c r="BR56" s="149"/>
      <c r="BS56" s="138">
        <v>1000000000</v>
      </c>
      <c r="BT56" s="150">
        <v>0</v>
      </c>
      <c r="BU56" s="151">
        <v>1</v>
      </c>
      <c r="BV56" s="150">
        <v>20</v>
      </c>
      <c r="BW56" s="152">
        <v>0</v>
      </c>
      <c r="BX56" s="152">
        <v>0</v>
      </c>
      <c r="BY56" s="152">
        <v>0</v>
      </c>
      <c r="BZ56" s="150">
        <v>0</v>
      </c>
      <c r="CA56" s="150">
        <v>0</v>
      </c>
      <c r="CB56" s="150">
        <v>20</v>
      </c>
      <c r="CC56" s="151">
        <v>0</v>
      </c>
      <c r="CD56" s="150"/>
      <c r="CE56" s="150"/>
      <c r="CF56" s="153">
        <v>0</v>
      </c>
      <c r="CG56" s="154">
        <v>4</v>
      </c>
      <c r="CH56" s="148"/>
      <c r="CI56" s="155"/>
      <c r="CJ56" s="156" t="s">
        <v>1316</v>
      </c>
      <c r="CK56" s="157" t="s">
        <v>1316</v>
      </c>
      <c r="CL56" s="154">
        <v>0</v>
      </c>
      <c r="CM56" s="154">
        <v>0</v>
      </c>
      <c r="CN56" s="151">
        <v>0</v>
      </c>
      <c r="CO56" s="151">
        <v>0</v>
      </c>
      <c r="CP56" s="158"/>
      <c r="CQ56" s="151">
        <v>1</v>
      </c>
      <c r="CR56" s="199">
        <v>43066</v>
      </c>
      <c r="CS56" s="200">
        <v>43185</v>
      </c>
      <c r="CT56" s="201">
        <v>43255</v>
      </c>
      <c r="CU56" s="201">
        <v>43195</v>
      </c>
      <c r="CV56" s="201">
        <v>0</v>
      </c>
      <c r="CW56" s="201">
        <v>43209</v>
      </c>
      <c r="CX56" s="201">
        <v>43251</v>
      </c>
      <c r="CY56" s="151">
        <v>1</v>
      </c>
      <c r="CZ56" s="150">
        <v>427</v>
      </c>
      <c r="DA56" s="151">
        <v>0.953125</v>
      </c>
      <c r="DB56" s="151">
        <v>0</v>
      </c>
      <c r="DC56" s="151">
        <v>0</v>
      </c>
      <c r="DD56" s="151">
        <v>0</v>
      </c>
      <c r="DE56" s="159">
        <v>0</v>
      </c>
      <c r="DF56" s="13" t="s">
        <v>1316</v>
      </c>
      <c r="DG56" s="85" t="s">
        <v>1316</v>
      </c>
      <c r="DH56" s="18" t="b">
        <v>0</v>
      </c>
      <c r="DI56" s="84"/>
      <c r="DJ56" s="84"/>
      <c r="DK56" s="215"/>
      <c r="DL56" s="194"/>
      <c r="DM56" s="216"/>
      <c r="DN56" s="151"/>
      <c r="DO56" s="84"/>
      <c r="DP56" s="84"/>
      <c r="DQ56" s="84"/>
      <c r="DR56" s="84"/>
      <c r="DS56" s="84"/>
      <c r="DT56" s="84"/>
      <c r="DU56" s="84"/>
      <c r="DV56" s="18"/>
      <c r="DW56" s="18"/>
      <c r="DX56" s="18"/>
      <c r="DY56" s="197"/>
      <c r="DZ56" s="197">
        <v>0</v>
      </c>
      <c r="EA56" s="197">
        <v>0</v>
      </c>
      <c r="EB56" s="197">
        <v>0</v>
      </c>
      <c r="EC56" s="197">
        <v>0</v>
      </c>
      <c r="ED56" s="197">
        <v>0</v>
      </c>
      <c r="EE56" s="197">
        <v>0</v>
      </c>
      <c r="EF56" s="197">
        <v>20</v>
      </c>
      <c r="EG56" s="221"/>
      <c r="EH56" s="219"/>
      <c r="EI56" s="219"/>
      <c r="EJ56" s="219"/>
      <c r="EK56" s="219"/>
      <c r="EL56" s="219"/>
      <c r="EM56" s="219"/>
      <c r="EN56" s="219"/>
      <c r="EO56" s="219"/>
      <c r="EP56" s="219"/>
      <c r="EQ56" s="219"/>
      <c r="ER56" s="222">
        <v>0</v>
      </c>
      <c r="ES56" s="222">
        <v>0</v>
      </c>
      <c r="ET56" s="222">
        <v>0</v>
      </c>
      <c r="EU56" s="222">
        <v>0</v>
      </c>
      <c r="EV56" s="222">
        <v>0</v>
      </c>
      <c r="EW56" s="222">
        <v>0</v>
      </c>
      <c r="EX56" s="222">
        <v>0</v>
      </c>
      <c r="EY56" s="222">
        <v>0</v>
      </c>
      <c r="EZ56" s="222">
        <v>0</v>
      </c>
      <c r="FA56" s="222">
        <v>0</v>
      </c>
      <c r="FB56" s="222">
        <v>0</v>
      </c>
      <c r="FC56" s="222">
        <v>0</v>
      </c>
      <c r="FD56" s="222">
        <v>0</v>
      </c>
      <c r="FE56" s="222">
        <v>0</v>
      </c>
      <c r="FF56" s="222">
        <v>0</v>
      </c>
      <c r="FG56" s="222">
        <v>0</v>
      </c>
      <c r="FH56" s="222">
        <v>0</v>
      </c>
      <c r="FI56" s="222">
        <v>0</v>
      </c>
      <c r="FJ56" s="222">
        <v>0</v>
      </c>
      <c r="FK56" s="222">
        <v>0</v>
      </c>
      <c r="FL56" s="222">
        <v>0</v>
      </c>
      <c r="FM56" s="222">
        <v>0</v>
      </c>
      <c r="FN56" s="222">
        <v>0</v>
      </c>
      <c r="FO56" s="222">
        <v>0</v>
      </c>
      <c r="FP56" s="222">
        <v>0</v>
      </c>
      <c r="FQ56" s="222">
        <v>0</v>
      </c>
      <c r="FR56" s="222">
        <v>0</v>
      </c>
      <c r="FS56" s="222">
        <v>0</v>
      </c>
      <c r="FT56" s="222">
        <v>0</v>
      </c>
      <c r="FU56" s="222">
        <v>0</v>
      </c>
      <c r="FV56" s="222">
        <v>0</v>
      </c>
      <c r="FW56" s="222">
        <v>0</v>
      </c>
      <c r="FX56" s="222">
        <v>0</v>
      </c>
      <c r="FY56" s="222">
        <v>0</v>
      </c>
      <c r="FZ56" s="222">
        <v>0</v>
      </c>
      <c r="GA56" s="222">
        <v>0</v>
      </c>
      <c r="GB56" s="222">
        <v>0</v>
      </c>
      <c r="GC56" s="222">
        <v>0</v>
      </c>
      <c r="GD56" s="222">
        <v>0</v>
      </c>
      <c r="GE56" s="219"/>
      <c r="GF56" s="222">
        <v>0</v>
      </c>
      <c r="GG56" s="222">
        <v>0</v>
      </c>
      <c r="GH56" s="222">
        <v>0</v>
      </c>
      <c r="GI56" s="222">
        <v>0</v>
      </c>
      <c r="GJ56" s="222">
        <v>0</v>
      </c>
      <c r="GK56" s="222">
        <v>0</v>
      </c>
      <c r="GL56" s="222">
        <v>0</v>
      </c>
      <c r="GM56" s="219"/>
      <c r="GN56" s="222">
        <v>0</v>
      </c>
      <c r="GO56" s="222">
        <v>0</v>
      </c>
      <c r="GP56" s="222">
        <v>0</v>
      </c>
      <c r="GQ56" s="222">
        <v>0</v>
      </c>
      <c r="GR56" s="222">
        <v>0</v>
      </c>
      <c r="GS56" s="222">
        <v>0</v>
      </c>
      <c r="GT56" s="222">
        <v>0</v>
      </c>
      <c r="GU56" s="222">
        <v>0</v>
      </c>
      <c r="GV56" s="222">
        <v>0</v>
      </c>
      <c r="GW56" s="222">
        <v>0</v>
      </c>
      <c r="GX56" s="222">
        <v>0</v>
      </c>
      <c r="GY56" s="222">
        <v>0</v>
      </c>
      <c r="GZ56" s="222">
        <v>0</v>
      </c>
      <c r="HA56" s="222">
        <v>0</v>
      </c>
      <c r="HB56" s="222">
        <v>0</v>
      </c>
      <c r="HC56" s="222">
        <v>0</v>
      </c>
      <c r="HD56" s="222">
        <v>0</v>
      </c>
      <c r="HE56" s="222">
        <v>0</v>
      </c>
      <c r="HF56" s="222">
        <v>0</v>
      </c>
      <c r="HG56" s="222">
        <v>0</v>
      </c>
      <c r="HH56" s="222">
        <v>0</v>
      </c>
      <c r="HI56" s="222">
        <v>0</v>
      </c>
      <c r="HJ56" s="222">
        <v>0</v>
      </c>
      <c r="HK56" s="222">
        <v>0</v>
      </c>
      <c r="HL56" s="222">
        <v>0</v>
      </c>
      <c r="HM56" s="222">
        <v>0</v>
      </c>
      <c r="HN56" s="222">
        <v>0</v>
      </c>
      <c r="HO56" s="222">
        <v>0</v>
      </c>
      <c r="HP56" s="222">
        <v>0</v>
      </c>
      <c r="HQ56" s="222">
        <v>0</v>
      </c>
      <c r="HR56" s="222">
        <v>0</v>
      </c>
      <c r="HS56" s="222">
        <v>0</v>
      </c>
      <c r="HT56" s="222">
        <v>0</v>
      </c>
      <c r="HU56" s="222">
        <v>0</v>
      </c>
      <c r="HV56" s="222">
        <v>0</v>
      </c>
      <c r="HW56" s="222">
        <v>0</v>
      </c>
      <c r="HX56" s="222">
        <v>0</v>
      </c>
      <c r="HY56" s="222">
        <v>0</v>
      </c>
      <c r="HZ56" s="222">
        <v>0</v>
      </c>
      <c r="IA56" s="222">
        <v>0</v>
      </c>
      <c r="IB56" s="222">
        <v>0</v>
      </c>
      <c r="IC56" s="222">
        <v>0</v>
      </c>
      <c r="ID56" s="222">
        <v>0</v>
      </c>
      <c r="IE56" s="222">
        <v>0</v>
      </c>
      <c r="IF56" s="222">
        <v>0</v>
      </c>
      <c r="IG56" s="222">
        <v>0</v>
      </c>
      <c r="IH56" s="222">
        <v>0</v>
      </c>
      <c r="II56" s="222">
        <v>0</v>
      </c>
      <c r="IJ56" s="219"/>
      <c r="IK56" s="222">
        <v>0</v>
      </c>
      <c r="IL56" s="222">
        <v>0</v>
      </c>
      <c r="IM56" s="219"/>
      <c r="IN56" s="219"/>
      <c r="IO56" s="219"/>
      <c r="IP56" s="219"/>
      <c r="IQ56" s="219"/>
      <c r="IR56" s="219"/>
      <c r="IS56" s="219"/>
      <c r="IT56" s="219"/>
      <c r="IU56" s="219"/>
      <c r="IV56" s="219"/>
      <c r="IW56" s="219"/>
      <c r="IX56" s="219"/>
      <c r="IY56" s="219"/>
      <c r="IZ56" s="219"/>
      <c r="JA56" s="219"/>
      <c r="JB56" s="219"/>
      <c r="JC56" s="219"/>
      <c r="JD56" s="219"/>
      <c r="JE56" s="219"/>
      <c r="JF56" s="219"/>
      <c r="JG56" s="219"/>
      <c r="JH56" s="219"/>
      <c r="JI56" s="219"/>
      <c r="JJ56" s="219"/>
      <c r="JK56" s="219"/>
      <c r="JL56" s="219"/>
      <c r="JM56" s="219"/>
      <c r="JN56" s="219"/>
      <c r="JO56" s="219"/>
      <c r="JP56" s="219"/>
      <c r="JQ56" s="219"/>
      <c r="JR56" s="219"/>
      <c r="JS56" s="219"/>
      <c r="JT56" s="219"/>
      <c r="JU56" s="219"/>
      <c r="JV56" s="219"/>
      <c r="JW56" s="219"/>
      <c r="JX56" s="219"/>
      <c r="JY56" s="219"/>
      <c r="JZ56" s="219"/>
      <c r="KA56" s="219"/>
      <c r="KB56" s="219"/>
      <c r="KC56" s="219"/>
      <c r="KD56" s="219"/>
      <c r="KE56" s="219"/>
      <c r="KF56" s="219"/>
      <c r="KG56" s="219"/>
      <c r="KH56" s="219"/>
      <c r="KI56" s="219"/>
      <c r="KJ56" s="219"/>
      <c r="KK56" s="219"/>
      <c r="KL56" s="219"/>
      <c r="KM56" s="219"/>
      <c r="KN56" s="219"/>
      <c r="KO56" s="219"/>
      <c r="KP56" s="219"/>
      <c r="KQ56" s="219"/>
      <c r="KR56" s="219"/>
      <c r="KS56" s="219"/>
      <c r="KT56" s="219"/>
      <c r="KU56" s="219"/>
      <c r="KV56" s="219"/>
      <c r="KW56" s="219"/>
      <c r="KX56" s="219"/>
      <c r="KY56" s="219"/>
      <c r="KZ56" s="219"/>
      <c r="LA56" s="219"/>
      <c r="LB56" s="219"/>
      <c r="LC56" s="219"/>
      <c r="LD56" s="219"/>
      <c r="LE56" s="219"/>
      <c r="LF56" s="219"/>
      <c r="LG56" s="219"/>
      <c r="LH56" s="219"/>
      <c r="LI56" s="219"/>
      <c r="LJ56" s="219"/>
      <c r="LK56" s="219"/>
      <c r="LL56" s="219"/>
      <c r="LM56" s="219"/>
      <c r="LN56" s="219"/>
      <c r="LO56" s="219"/>
      <c r="LP56" s="219"/>
      <c r="LQ56" s="219"/>
      <c r="LR56" s="219"/>
      <c r="LS56" s="219"/>
      <c r="LT56" s="219"/>
      <c r="LU56" s="219"/>
      <c r="LV56" s="219"/>
      <c r="LW56" s="219"/>
      <c r="LX56" s="219"/>
      <c r="LY56" s="219"/>
      <c r="LZ56" s="219"/>
      <c r="MA56" s="219"/>
      <c r="MB56" s="219"/>
      <c r="MC56" s="219"/>
      <c r="MD56" s="219"/>
      <c r="ME56" s="219"/>
      <c r="MF56" s="305"/>
      <c r="MG56" s="305"/>
      <c r="MH56" s="305"/>
      <c r="MI56" s="305"/>
      <c r="MJ56" s="305"/>
      <c r="MK56" s="305"/>
      <c r="ML56" s="305"/>
      <c r="MM56" s="305"/>
      <c r="MN56" s="305"/>
      <c r="MO56" s="305"/>
      <c r="MP56" s="305"/>
      <c r="MQ56" s="305"/>
      <c r="MR56" s="305"/>
      <c r="MS56" s="305"/>
      <c r="MT56" s="305"/>
      <c r="MU56" s="305"/>
      <c r="MV56" s="305"/>
      <c r="MW56" s="305"/>
      <c r="MX56" s="305"/>
      <c r="MY56" s="305"/>
      <c r="MZ56" s="305"/>
      <c r="NA56" s="305"/>
      <c r="NB56" s="305"/>
      <c r="NC56" s="305"/>
      <c r="ND56" s="305"/>
      <c r="NE56" s="305"/>
      <c r="NF56" s="305"/>
      <c r="NG56" s="305"/>
      <c r="NH56" s="305"/>
      <c r="NI56" s="305"/>
    </row>
    <row r="57" spans="1:373" x14ac:dyDescent="0.2">
      <c r="A57" s="132" t="s">
        <v>739</v>
      </c>
      <c r="B57" s="133" t="s">
        <v>1344</v>
      </c>
      <c r="C57" s="134"/>
      <c r="D57" s="242" t="s">
        <v>1363</v>
      </c>
      <c r="E57" s="242">
        <v>0</v>
      </c>
      <c r="F57" s="243" t="s">
        <v>1381</v>
      </c>
      <c r="G57" s="243" t="s">
        <v>960</v>
      </c>
      <c r="H57" s="243" t="s">
        <v>961</v>
      </c>
      <c r="I57" s="243">
        <v>0</v>
      </c>
      <c r="J57" s="243">
        <v>0</v>
      </c>
      <c r="K57" s="243">
        <v>0</v>
      </c>
      <c r="L57" s="243" t="s">
        <v>1219</v>
      </c>
      <c r="M57" s="243">
        <v>0</v>
      </c>
      <c r="N57" s="243" t="s">
        <v>1218</v>
      </c>
      <c r="O57" s="243">
        <v>0</v>
      </c>
      <c r="P57" s="243">
        <v>0</v>
      </c>
      <c r="Q57" s="243">
        <v>0</v>
      </c>
      <c r="R57" s="135"/>
      <c r="S57" s="135"/>
      <c r="T57" s="135"/>
      <c r="U57" s="135"/>
      <c r="V57" s="135"/>
      <c r="W57" s="135">
        <v>0</v>
      </c>
      <c r="X57" s="135">
        <v>0</v>
      </c>
      <c r="Y57" s="135">
        <v>0</v>
      </c>
      <c r="Z57" s="136">
        <v>0</v>
      </c>
      <c r="AA57" s="136">
        <v>0</v>
      </c>
      <c r="AB57" s="136">
        <v>0</v>
      </c>
      <c r="AC57" s="137">
        <v>0</v>
      </c>
      <c r="AD57" s="137">
        <v>0</v>
      </c>
      <c r="AE57" s="138">
        <v>10</v>
      </c>
      <c r="AF57" s="138">
        <v>8</v>
      </c>
      <c r="AG57" s="138">
        <v>2</v>
      </c>
      <c r="AH57" s="139">
        <v>1</v>
      </c>
      <c r="AI57" s="139" t="s">
        <v>1387</v>
      </c>
      <c r="AJ57" s="138" t="s">
        <v>3650</v>
      </c>
      <c r="AK57" s="195" t="s">
        <v>1389</v>
      </c>
      <c r="AL57" s="138" t="s">
        <v>1316</v>
      </c>
      <c r="AM57" s="27" t="s">
        <v>1391</v>
      </c>
      <c r="AN57" s="138">
        <v>0</v>
      </c>
      <c r="AO57" s="140">
        <v>0</v>
      </c>
      <c r="AP57" s="140">
        <v>0</v>
      </c>
      <c r="AQ57" s="140">
        <v>0</v>
      </c>
      <c r="AR57" s="138">
        <v>27</v>
      </c>
      <c r="AS57" s="138">
        <v>0</v>
      </c>
      <c r="AT57" s="198"/>
      <c r="AU57" s="198"/>
      <c r="AV57" s="198"/>
      <c r="AW57" s="211" t="s">
        <v>790</v>
      </c>
      <c r="AX57" s="211" t="s">
        <v>1324</v>
      </c>
      <c r="AY57" s="141"/>
      <c r="AZ57" s="141"/>
      <c r="BA57" s="142">
        <v>1</v>
      </c>
      <c r="BB57" s="142" t="s">
        <v>527</v>
      </c>
      <c r="BC57" s="142"/>
      <c r="BD57" s="142">
        <v>1</v>
      </c>
      <c r="BE57" s="143" t="s">
        <v>541</v>
      </c>
      <c r="BF57" s="144">
        <v>1</v>
      </c>
      <c r="BG57" s="145"/>
      <c r="BH57" s="212"/>
      <c r="BI57" s="213"/>
      <c r="BJ57" s="146">
        <v>30</v>
      </c>
      <c r="BK57" s="214">
        <v>0</v>
      </c>
      <c r="BL57" s="13">
        <v>20</v>
      </c>
      <c r="BM57" s="13">
        <v>10</v>
      </c>
      <c r="BN57" s="27" t="s">
        <v>1394</v>
      </c>
      <c r="BO57" s="13" t="s">
        <v>1394</v>
      </c>
      <c r="BP57" s="147">
        <v>55</v>
      </c>
      <c r="BQ57" s="148"/>
      <c r="BR57" s="149"/>
      <c r="BS57" s="138">
        <v>1000000000</v>
      </c>
      <c r="BT57" s="150">
        <v>0</v>
      </c>
      <c r="BU57" s="151">
        <v>1</v>
      </c>
      <c r="BV57" s="150">
        <v>0</v>
      </c>
      <c r="BW57" s="152">
        <v>0</v>
      </c>
      <c r="BX57" s="152">
        <v>0</v>
      </c>
      <c r="BY57" s="152">
        <v>0</v>
      </c>
      <c r="BZ57" s="150">
        <v>0</v>
      </c>
      <c r="CA57" s="150">
        <v>0</v>
      </c>
      <c r="CB57" s="150">
        <v>0</v>
      </c>
      <c r="CC57" s="151">
        <v>1</v>
      </c>
      <c r="CD57" s="150"/>
      <c r="CE57" s="150"/>
      <c r="CF57" s="153">
        <v>30</v>
      </c>
      <c r="CG57" s="154">
        <v>6</v>
      </c>
      <c r="CH57" s="148"/>
      <c r="CI57" s="155"/>
      <c r="CJ57" s="156" t="s">
        <v>1316</v>
      </c>
      <c r="CK57" s="157" t="s">
        <v>1316</v>
      </c>
      <c r="CL57" s="154">
        <v>0</v>
      </c>
      <c r="CM57" s="154">
        <v>0</v>
      </c>
      <c r="CN57" s="151">
        <v>0</v>
      </c>
      <c r="CO57" s="151">
        <v>0</v>
      </c>
      <c r="CP57" s="158"/>
      <c r="CQ57" s="151">
        <v>0</v>
      </c>
      <c r="CR57" s="199">
        <v>43185</v>
      </c>
      <c r="CS57" s="200">
        <v>43185</v>
      </c>
      <c r="CT57" s="201">
        <v>43255</v>
      </c>
      <c r="CU57" s="201">
        <v>0</v>
      </c>
      <c r="CV57" s="201">
        <v>0</v>
      </c>
      <c r="CW57" s="201" t="s">
        <v>1316</v>
      </c>
      <c r="CX57" s="201" t="s">
        <v>1316</v>
      </c>
      <c r="CY57" s="151">
        <v>1</v>
      </c>
      <c r="CZ57" s="150">
        <v>0</v>
      </c>
      <c r="DA57" s="151">
        <v>0.9375</v>
      </c>
      <c r="DB57" s="151">
        <v>0</v>
      </c>
      <c r="DC57" s="151">
        <v>0</v>
      </c>
      <c r="DD57" s="151">
        <v>0</v>
      </c>
      <c r="DE57" s="159">
        <v>0</v>
      </c>
      <c r="DF57" s="13" t="s">
        <v>1316</v>
      </c>
      <c r="DG57" s="85" t="s">
        <v>1316</v>
      </c>
      <c r="DH57" s="18" t="b">
        <v>0</v>
      </c>
      <c r="DI57" s="84"/>
      <c r="DJ57" s="84"/>
      <c r="DK57" s="215"/>
      <c r="DL57" s="194"/>
      <c r="DM57" s="216"/>
      <c r="DN57" s="151"/>
      <c r="DO57" s="84"/>
      <c r="DP57" s="84"/>
      <c r="DQ57" s="84"/>
      <c r="DR57" s="84"/>
      <c r="DS57" s="84"/>
      <c r="DT57" s="84"/>
      <c r="DU57" s="84"/>
      <c r="DV57" s="18"/>
      <c r="DW57" s="18"/>
      <c r="DX57" s="18"/>
      <c r="DY57" s="197"/>
      <c r="DZ57" s="197">
        <v>0</v>
      </c>
      <c r="EA57" s="197">
        <v>0</v>
      </c>
      <c r="EB57" s="197">
        <v>0</v>
      </c>
      <c r="EC57" s="197">
        <v>0</v>
      </c>
      <c r="ED57" s="197">
        <v>0</v>
      </c>
      <c r="EE57" s="197">
        <v>0</v>
      </c>
      <c r="EF57" s="197">
        <v>0</v>
      </c>
      <c r="EG57" s="221"/>
      <c r="EH57" s="221"/>
      <c r="EI57" s="221"/>
      <c r="EJ57" s="221"/>
      <c r="EK57" s="221"/>
      <c r="EL57" s="221"/>
      <c r="EM57" s="221"/>
      <c r="EN57" s="221"/>
      <c r="EO57" s="221"/>
      <c r="EP57" s="221"/>
      <c r="EQ57" s="221"/>
      <c r="ER57" s="222"/>
      <c r="ES57" s="222"/>
      <c r="ET57" s="221"/>
      <c r="EU57" s="221"/>
      <c r="EV57" s="221"/>
      <c r="EW57" s="221"/>
      <c r="EX57" s="221"/>
      <c r="EY57" s="221"/>
      <c r="EZ57" s="221"/>
      <c r="FA57" s="221"/>
      <c r="FB57" s="221"/>
      <c r="FC57" s="221"/>
      <c r="FD57" s="221"/>
      <c r="FE57" s="221"/>
      <c r="FF57" s="221"/>
      <c r="FG57" s="221"/>
      <c r="FH57" s="221"/>
      <c r="FI57" s="221"/>
      <c r="FJ57" s="221"/>
      <c r="FK57" s="221"/>
      <c r="FL57" s="221"/>
      <c r="FM57" s="221"/>
      <c r="FN57" s="221"/>
      <c r="FO57" s="221"/>
      <c r="FP57" s="221"/>
      <c r="FQ57" s="221"/>
      <c r="FR57" s="221"/>
      <c r="FS57" s="221"/>
      <c r="FT57" s="221"/>
      <c r="FU57" s="221"/>
      <c r="FV57" s="221"/>
      <c r="FW57" s="221"/>
      <c r="FX57" s="221"/>
      <c r="FY57" s="221"/>
      <c r="FZ57" s="221"/>
      <c r="GA57" s="221"/>
      <c r="GB57" s="222">
        <v>0</v>
      </c>
      <c r="GC57" s="222">
        <v>0</v>
      </c>
      <c r="GD57" s="222">
        <v>0</v>
      </c>
      <c r="GE57" s="221"/>
      <c r="GF57" s="222">
        <v>0</v>
      </c>
      <c r="GG57" s="253">
        <v>0</v>
      </c>
      <c r="GH57" s="253">
        <v>0</v>
      </c>
      <c r="GI57" s="253">
        <v>0</v>
      </c>
      <c r="GJ57" s="253">
        <v>0</v>
      </c>
      <c r="GK57" s="253">
        <v>0</v>
      </c>
      <c r="GL57" s="253">
        <v>0</v>
      </c>
      <c r="GM57" s="221"/>
      <c r="GN57" s="253">
        <v>0</v>
      </c>
      <c r="GO57" s="253">
        <v>0</v>
      </c>
      <c r="GP57" s="253">
        <v>0</v>
      </c>
      <c r="GQ57" s="253">
        <v>0</v>
      </c>
      <c r="GR57" s="253">
        <v>0</v>
      </c>
      <c r="GS57" s="253">
        <v>0</v>
      </c>
      <c r="GT57" s="253">
        <v>0</v>
      </c>
      <c r="GU57" s="253">
        <v>0</v>
      </c>
      <c r="GV57" s="253">
        <v>0</v>
      </c>
      <c r="GW57" s="253">
        <v>0</v>
      </c>
      <c r="GX57" s="253">
        <v>0</v>
      </c>
      <c r="GY57" s="253">
        <v>0</v>
      </c>
      <c r="GZ57" s="253">
        <v>0</v>
      </c>
      <c r="HA57" s="253">
        <v>0</v>
      </c>
      <c r="HB57" s="253">
        <v>0</v>
      </c>
      <c r="HC57" s="253">
        <v>0</v>
      </c>
      <c r="HD57" s="253">
        <v>0</v>
      </c>
      <c r="HE57" s="253">
        <v>0</v>
      </c>
      <c r="HF57" s="253">
        <v>0</v>
      </c>
      <c r="HG57" s="253">
        <v>0</v>
      </c>
      <c r="HH57" s="253">
        <v>0</v>
      </c>
      <c r="HI57" s="253">
        <v>0</v>
      </c>
      <c r="HJ57" s="253">
        <v>0</v>
      </c>
      <c r="HK57" s="253">
        <v>0</v>
      </c>
      <c r="HL57" s="253">
        <v>0</v>
      </c>
      <c r="HM57" s="253">
        <v>0</v>
      </c>
      <c r="HN57" s="253">
        <v>0</v>
      </c>
      <c r="HO57" s="253">
        <v>0</v>
      </c>
      <c r="HP57" s="253">
        <v>0</v>
      </c>
      <c r="HQ57" s="253">
        <v>0</v>
      </c>
      <c r="HR57" s="253">
        <v>0</v>
      </c>
      <c r="HS57" s="253">
        <v>0</v>
      </c>
      <c r="HT57" s="253">
        <v>0</v>
      </c>
      <c r="HU57" s="253">
        <v>0</v>
      </c>
      <c r="HV57" s="253">
        <v>0</v>
      </c>
      <c r="HW57" s="253">
        <v>0</v>
      </c>
      <c r="HX57" s="253">
        <v>0</v>
      </c>
      <c r="HY57" s="253">
        <v>0</v>
      </c>
      <c r="HZ57" s="253">
        <v>0</v>
      </c>
      <c r="IA57" s="253">
        <v>0</v>
      </c>
      <c r="IB57" s="253">
        <v>0</v>
      </c>
      <c r="IC57" s="253">
        <v>0</v>
      </c>
      <c r="ID57" s="253">
        <v>0</v>
      </c>
      <c r="IE57" s="253">
        <v>0</v>
      </c>
      <c r="IF57" s="253">
        <v>0</v>
      </c>
      <c r="IG57" s="253">
        <v>0</v>
      </c>
      <c r="IH57" s="253">
        <v>0</v>
      </c>
      <c r="II57" s="253">
        <v>0</v>
      </c>
      <c r="IJ57" s="221"/>
      <c r="IK57" s="253">
        <v>0</v>
      </c>
      <c r="IL57" s="253">
        <v>0</v>
      </c>
      <c r="IM57" s="221"/>
      <c r="IN57" s="221"/>
      <c r="IO57" s="221"/>
      <c r="IP57" s="221"/>
      <c r="IQ57" s="221"/>
      <c r="IR57" s="221"/>
      <c r="IS57" s="221"/>
      <c r="IT57" s="221"/>
      <c r="IU57" s="221"/>
      <c r="IV57" s="221"/>
      <c r="IW57" s="221"/>
      <c r="IX57" s="221"/>
      <c r="IY57" s="221"/>
      <c r="IZ57" s="221"/>
      <c r="JA57" s="221"/>
      <c r="JB57" s="221"/>
      <c r="JC57" s="221"/>
      <c r="JD57" s="221"/>
      <c r="JE57" s="221"/>
      <c r="JF57" s="221"/>
      <c r="JG57" s="221"/>
      <c r="JH57" s="221"/>
      <c r="JI57" s="221"/>
      <c r="JJ57" s="221"/>
      <c r="JK57" s="221"/>
      <c r="JL57" s="221"/>
      <c r="JM57" s="221"/>
      <c r="JN57" s="221"/>
      <c r="JO57" s="221"/>
      <c r="JP57" s="221"/>
      <c r="JQ57" s="221"/>
      <c r="JR57" s="221"/>
      <c r="JS57" s="221"/>
      <c r="JT57" s="221"/>
      <c r="JU57" s="221"/>
      <c r="JV57" s="221"/>
      <c r="JW57" s="221"/>
      <c r="JX57" s="221"/>
      <c r="JY57" s="221"/>
      <c r="JZ57" s="221"/>
      <c r="KA57" s="221"/>
      <c r="KB57" s="221"/>
      <c r="KC57" s="221"/>
      <c r="KD57" s="221"/>
      <c r="KE57" s="221"/>
      <c r="KF57" s="221"/>
      <c r="KG57" s="221"/>
      <c r="KH57" s="221"/>
      <c r="KI57" s="221"/>
      <c r="KJ57" s="221"/>
      <c r="KK57" s="221"/>
      <c r="KL57" s="221"/>
      <c r="KM57" s="221"/>
      <c r="KN57" s="221"/>
      <c r="KO57" s="221"/>
      <c r="KP57" s="221"/>
      <c r="KQ57" s="221"/>
      <c r="KR57" s="221"/>
      <c r="KS57" s="221"/>
      <c r="KT57" s="221"/>
      <c r="KU57" s="221"/>
      <c r="KV57" s="221"/>
      <c r="KW57" s="221"/>
      <c r="KX57" s="221"/>
      <c r="KY57" s="221"/>
      <c r="KZ57" s="221"/>
      <c r="LA57" s="221"/>
      <c r="LB57" s="221"/>
      <c r="LC57" s="221"/>
      <c r="LD57" s="221"/>
      <c r="LE57" s="221"/>
      <c r="LF57" s="221"/>
      <c r="LG57" s="221"/>
      <c r="LH57" s="221"/>
      <c r="LI57" s="221"/>
      <c r="LJ57" s="221"/>
      <c r="LK57" s="221"/>
      <c r="LL57" s="221"/>
      <c r="LM57" s="221"/>
      <c r="LN57" s="221"/>
      <c r="LO57" s="221"/>
      <c r="LP57" s="221"/>
      <c r="LQ57" s="221"/>
      <c r="LR57" s="221"/>
      <c r="LS57" s="221"/>
      <c r="LT57" s="221"/>
      <c r="LU57" s="221"/>
      <c r="LV57" s="221"/>
      <c r="LW57" s="221"/>
      <c r="LX57" s="221"/>
      <c r="LY57" s="221"/>
      <c r="LZ57" s="221"/>
      <c r="MA57" s="221"/>
      <c r="MB57" s="221"/>
      <c r="MC57" s="221"/>
      <c r="MD57" s="221"/>
      <c r="ME57" s="221"/>
      <c r="MF57" s="305"/>
      <c r="MG57" s="305"/>
      <c r="MH57" s="305"/>
      <c r="MI57" s="305"/>
      <c r="MJ57" s="305"/>
      <c r="MK57" s="305"/>
      <c r="ML57" s="305"/>
      <c r="MM57" s="305"/>
      <c r="MN57" s="305"/>
      <c r="MO57" s="305"/>
      <c r="MP57" s="305"/>
      <c r="MQ57" s="305"/>
      <c r="MR57" s="305"/>
      <c r="MS57" s="305"/>
      <c r="MT57" s="305"/>
      <c r="MU57" s="305"/>
      <c r="MV57" s="305"/>
      <c r="MW57" s="305"/>
      <c r="MX57" s="305"/>
      <c r="MY57" s="305"/>
      <c r="MZ57" s="305"/>
      <c r="NA57" s="305"/>
      <c r="NB57" s="305"/>
      <c r="NC57" s="305"/>
      <c r="ND57" s="305"/>
      <c r="NE57" s="305"/>
      <c r="NF57" s="305"/>
      <c r="NG57" s="305"/>
      <c r="NH57" s="305"/>
      <c r="NI57" s="305"/>
    </row>
    <row r="58" spans="1:373" x14ac:dyDescent="0.2">
      <c r="A58" s="132" t="s">
        <v>739</v>
      </c>
      <c r="B58" s="133" t="s">
        <v>1345</v>
      </c>
      <c r="C58" s="134"/>
      <c r="D58" s="242" t="s">
        <v>1364</v>
      </c>
      <c r="E58" s="242">
        <v>0</v>
      </c>
      <c r="F58" s="243" t="s">
        <v>1382</v>
      </c>
      <c r="G58" s="243" t="s">
        <v>960</v>
      </c>
      <c r="H58" s="243" t="s">
        <v>961</v>
      </c>
      <c r="I58" s="243">
        <v>0</v>
      </c>
      <c r="J58" s="243">
        <v>0</v>
      </c>
      <c r="K58" s="243">
        <v>0</v>
      </c>
      <c r="L58" s="243" t="s">
        <v>1219</v>
      </c>
      <c r="M58" s="243">
        <v>0</v>
      </c>
      <c r="N58" s="243" t="s">
        <v>1218</v>
      </c>
      <c r="O58" s="243">
        <v>0</v>
      </c>
      <c r="P58" s="243">
        <v>0</v>
      </c>
      <c r="Q58" s="243">
        <v>0</v>
      </c>
      <c r="R58" s="135"/>
      <c r="S58" s="135"/>
      <c r="T58" s="135"/>
      <c r="U58" s="135"/>
      <c r="V58" s="135"/>
      <c r="W58" s="135">
        <v>0</v>
      </c>
      <c r="X58" s="135">
        <v>0</v>
      </c>
      <c r="Y58" s="135">
        <v>0</v>
      </c>
      <c r="Z58" s="136">
        <v>0</v>
      </c>
      <c r="AA58" s="136">
        <v>0</v>
      </c>
      <c r="AB58" s="136">
        <v>0</v>
      </c>
      <c r="AC58" s="137">
        <v>0</v>
      </c>
      <c r="AD58" s="137">
        <v>0</v>
      </c>
      <c r="AE58" s="138">
        <v>10</v>
      </c>
      <c r="AF58" s="138">
        <v>8</v>
      </c>
      <c r="AG58" s="138">
        <v>2</v>
      </c>
      <c r="AH58" s="139">
        <v>1</v>
      </c>
      <c r="AI58" s="139" t="s">
        <v>1387</v>
      </c>
      <c r="AJ58" s="138" t="s">
        <v>3650</v>
      </c>
      <c r="AK58" s="195" t="s">
        <v>1389</v>
      </c>
      <c r="AL58" s="138" t="s">
        <v>1316</v>
      </c>
      <c r="AM58" s="27" t="s">
        <v>1391</v>
      </c>
      <c r="AN58" s="138">
        <v>0</v>
      </c>
      <c r="AO58" s="140">
        <v>0</v>
      </c>
      <c r="AP58" s="140">
        <v>0</v>
      </c>
      <c r="AQ58" s="140">
        <v>0</v>
      </c>
      <c r="AR58" s="138">
        <v>27</v>
      </c>
      <c r="AS58" s="138">
        <v>0</v>
      </c>
      <c r="AT58" s="198"/>
      <c r="AU58" s="198"/>
      <c r="AV58" s="198"/>
      <c r="AW58" s="211" t="s">
        <v>790</v>
      </c>
      <c r="AX58" s="211" t="s">
        <v>1324</v>
      </c>
      <c r="AY58" s="141"/>
      <c r="AZ58" s="141"/>
      <c r="BA58" s="142">
        <v>1</v>
      </c>
      <c r="BB58" s="142" t="s">
        <v>527</v>
      </c>
      <c r="BC58" s="142"/>
      <c r="BD58" s="142">
        <v>1</v>
      </c>
      <c r="BE58" s="143" t="s">
        <v>541</v>
      </c>
      <c r="BF58" s="144">
        <v>1</v>
      </c>
      <c r="BG58" s="145"/>
      <c r="BH58" s="212"/>
      <c r="BI58" s="213"/>
      <c r="BJ58" s="146">
        <v>40</v>
      </c>
      <c r="BK58" s="214">
        <v>0</v>
      </c>
      <c r="BL58" s="13">
        <v>27</v>
      </c>
      <c r="BM58" s="13">
        <v>13</v>
      </c>
      <c r="BN58" s="27" t="s">
        <v>1394</v>
      </c>
      <c r="BO58" s="13" t="s">
        <v>1394</v>
      </c>
      <c r="BP58" s="147">
        <v>65</v>
      </c>
      <c r="BQ58" s="148"/>
      <c r="BR58" s="149"/>
      <c r="BS58" s="138">
        <v>1000000000</v>
      </c>
      <c r="BT58" s="150">
        <v>0</v>
      </c>
      <c r="BU58" s="151">
        <v>1</v>
      </c>
      <c r="BV58" s="150">
        <v>0</v>
      </c>
      <c r="BW58" s="152">
        <v>0</v>
      </c>
      <c r="BX58" s="152">
        <v>0</v>
      </c>
      <c r="BY58" s="152">
        <v>0</v>
      </c>
      <c r="BZ58" s="150">
        <v>0</v>
      </c>
      <c r="CA58" s="150">
        <v>0</v>
      </c>
      <c r="CB58" s="150">
        <v>0</v>
      </c>
      <c r="CC58" s="151">
        <v>1</v>
      </c>
      <c r="CD58" s="150"/>
      <c r="CE58" s="150"/>
      <c r="CF58" s="153">
        <v>40</v>
      </c>
      <c r="CG58" s="154">
        <v>8</v>
      </c>
      <c r="CH58" s="148"/>
      <c r="CI58" s="155"/>
      <c r="CJ58" s="156" t="s">
        <v>1316</v>
      </c>
      <c r="CK58" s="157" t="s">
        <v>1316</v>
      </c>
      <c r="CL58" s="154">
        <v>0</v>
      </c>
      <c r="CM58" s="154">
        <v>0</v>
      </c>
      <c r="CN58" s="151">
        <v>0</v>
      </c>
      <c r="CO58" s="151">
        <v>0</v>
      </c>
      <c r="CP58" s="158"/>
      <c r="CQ58" s="151">
        <v>0</v>
      </c>
      <c r="CR58" s="199">
        <v>43185</v>
      </c>
      <c r="CS58" s="200">
        <v>43185</v>
      </c>
      <c r="CT58" s="201">
        <v>43255</v>
      </c>
      <c r="CU58" s="201">
        <v>0</v>
      </c>
      <c r="CV58" s="201">
        <v>0</v>
      </c>
      <c r="CW58" s="201" t="s">
        <v>1316</v>
      </c>
      <c r="CX58" s="201" t="s">
        <v>1316</v>
      </c>
      <c r="CY58" s="151">
        <v>1</v>
      </c>
      <c r="CZ58" s="150">
        <v>0</v>
      </c>
      <c r="DA58" s="151">
        <v>0.9375</v>
      </c>
      <c r="DB58" s="151">
        <v>0</v>
      </c>
      <c r="DC58" s="151">
        <v>0</v>
      </c>
      <c r="DD58" s="151">
        <v>0</v>
      </c>
      <c r="DE58" s="159">
        <v>0</v>
      </c>
      <c r="DF58" s="13" t="s">
        <v>1316</v>
      </c>
      <c r="DG58" s="85" t="s">
        <v>1316</v>
      </c>
      <c r="DH58" s="18" t="b">
        <v>0</v>
      </c>
      <c r="DI58" s="84"/>
      <c r="DJ58" s="84"/>
      <c r="DK58" s="215"/>
      <c r="DL58" s="194"/>
      <c r="DM58" s="216"/>
      <c r="DN58" s="151"/>
      <c r="DO58" s="84"/>
      <c r="DP58" s="84"/>
      <c r="DQ58" s="84"/>
      <c r="DR58" s="84"/>
      <c r="DS58" s="84"/>
      <c r="DT58" s="84"/>
      <c r="DU58" s="84"/>
      <c r="DV58" s="18"/>
      <c r="DW58" s="18"/>
      <c r="DX58" s="18"/>
      <c r="DY58" s="197"/>
      <c r="DZ58" s="197">
        <v>0</v>
      </c>
      <c r="EA58" s="197">
        <v>0</v>
      </c>
      <c r="EB58" s="197">
        <v>0</v>
      </c>
      <c r="EC58" s="197">
        <v>0</v>
      </c>
      <c r="ED58" s="197">
        <v>0</v>
      </c>
      <c r="EE58" s="197">
        <v>0</v>
      </c>
      <c r="EF58" s="197">
        <v>0</v>
      </c>
      <c r="EG58" s="221"/>
      <c r="EH58" s="219"/>
      <c r="EI58" s="219"/>
      <c r="EJ58" s="219"/>
      <c r="EK58" s="219"/>
      <c r="EL58" s="219"/>
      <c r="EM58" s="219"/>
      <c r="EN58" s="219"/>
      <c r="EO58" s="219"/>
      <c r="EP58" s="219"/>
      <c r="EQ58" s="219"/>
      <c r="ER58" s="222"/>
      <c r="ES58" s="222"/>
      <c r="ET58" s="219"/>
      <c r="EU58" s="219"/>
      <c r="EV58" s="219"/>
      <c r="EW58" s="219"/>
      <c r="EX58" s="219"/>
      <c r="EY58" s="219"/>
      <c r="EZ58" s="219"/>
      <c r="FA58" s="219"/>
      <c r="FB58" s="219"/>
      <c r="FC58" s="219"/>
      <c r="FD58" s="219"/>
      <c r="FE58" s="219"/>
      <c r="FF58" s="219"/>
      <c r="FG58" s="219"/>
      <c r="FH58" s="219"/>
      <c r="FI58" s="219"/>
      <c r="FJ58" s="219"/>
      <c r="FK58" s="219"/>
      <c r="FL58" s="219"/>
      <c r="FM58" s="219"/>
      <c r="FN58" s="219"/>
      <c r="FO58" s="219"/>
      <c r="FP58" s="219"/>
      <c r="FQ58" s="219"/>
      <c r="FR58" s="219"/>
      <c r="FS58" s="219"/>
      <c r="FT58" s="219"/>
      <c r="FU58" s="219"/>
      <c r="FV58" s="219"/>
      <c r="FW58" s="219"/>
      <c r="FX58" s="219"/>
      <c r="FY58" s="219"/>
      <c r="FZ58" s="219"/>
      <c r="GA58" s="219"/>
      <c r="GB58" s="222">
        <v>0</v>
      </c>
      <c r="GC58" s="222">
        <v>0</v>
      </c>
      <c r="GD58" s="222">
        <v>0</v>
      </c>
      <c r="GE58" s="219"/>
      <c r="GF58" s="222">
        <v>0</v>
      </c>
      <c r="GG58" s="222">
        <v>0</v>
      </c>
      <c r="GH58" s="222">
        <v>0</v>
      </c>
      <c r="GI58" s="222">
        <v>0</v>
      </c>
      <c r="GJ58" s="222">
        <v>0</v>
      </c>
      <c r="GK58" s="222">
        <v>0</v>
      </c>
      <c r="GL58" s="222">
        <v>0</v>
      </c>
      <c r="GM58" s="219"/>
      <c r="GN58" s="222">
        <v>0</v>
      </c>
      <c r="GO58" s="222">
        <v>0</v>
      </c>
      <c r="GP58" s="222">
        <v>0</v>
      </c>
      <c r="GQ58" s="222">
        <v>0</v>
      </c>
      <c r="GR58" s="222">
        <v>0</v>
      </c>
      <c r="GS58" s="222">
        <v>0</v>
      </c>
      <c r="GT58" s="222">
        <v>0</v>
      </c>
      <c r="GU58" s="222">
        <v>0</v>
      </c>
      <c r="GV58" s="222">
        <v>0</v>
      </c>
      <c r="GW58" s="222">
        <v>0</v>
      </c>
      <c r="GX58" s="222">
        <v>0</v>
      </c>
      <c r="GY58" s="222">
        <v>0</v>
      </c>
      <c r="GZ58" s="222">
        <v>0</v>
      </c>
      <c r="HA58" s="222">
        <v>0</v>
      </c>
      <c r="HB58" s="222">
        <v>0</v>
      </c>
      <c r="HC58" s="222">
        <v>0</v>
      </c>
      <c r="HD58" s="222">
        <v>0</v>
      </c>
      <c r="HE58" s="222">
        <v>0</v>
      </c>
      <c r="HF58" s="222">
        <v>0</v>
      </c>
      <c r="HG58" s="222">
        <v>0</v>
      </c>
      <c r="HH58" s="222">
        <v>0</v>
      </c>
      <c r="HI58" s="222">
        <v>0</v>
      </c>
      <c r="HJ58" s="222">
        <v>0</v>
      </c>
      <c r="HK58" s="222">
        <v>0</v>
      </c>
      <c r="HL58" s="222">
        <v>0</v>
      </c>
      <c r="HM58" s="222">
        <v>0</v>
      </c>
      <c r="HN58" s="222">
        <v>0</v>
      </c>
      <c r="HO58" s="222">
        <v>0</v>
      </c>
      <c r="HP58" s="222">
        <v>0</v>
      </c>
      <c r="HQ58" s="222">
        <v>0</v>
      </c>
      <c r="HR58" s="222">
        <v>0</v>
      </c>
      <c r="HS58" s="222">
        <v>0</v>
      </c>
      <c r="HT58" s="222">
        <v>0</v>
      </c>
      <c r="HU58" s="222">
        <v>0</v>
      </c>
      <c r="HV58" s="222">
        <v>0</v>
      </c>
      <c r="HW58" s="222">
        <v>0</v>
      </c>
      <c r="HX58" s="222">
        <v>0</v>
      </c>
      <c r="HY58" s="222">
        <v>0</v>
      </c>
      <c r="HZ58" s="222">
        <v>0</v>
      </c>
      <c r="IA58" s="222">
        <v>0</v>
      </c>
      <c r="IB58" s="222">
        <v>0</v>
      </c>
      <c r="IC58" s="222">
        <v>0</v>
      </c>
      <c r="ID58" s="222">
        <v>0</v>
      </c>
      <c r="IE58" s="222">
        <v>0</v>
      </c>
      <c r="IF58" s="222">
        <v>0</v>
      </c>
      <c r="IG58" s="222">
        <v>0</v>
      </c>
      <c r="IH58" s="222">
        <v>0</v>
      </c>
      <c r="II58" s="222">
        <v>0</v>
      </c>
      <c r="IJ58" s="219"/>
      <c r="IK58" s="222">
        <v>0</v>
      </c>
      <c r="IL58" s="222">
        <v>0</v>
      </c>
      <c r="IM58" s="219"/>
      <c r="IN58" s="219"/>
      <c r="IO58" s="219"/>
      <c r="IP58" s="219"/>
      <c r="IQ58" s="219"/>
      <c r="IR58" s="219"/>
      <c r="IS58" s="219"/>
      <c r="IT58" s="219"/>
      <c r="IU58" s="219"/>
      <c r="IV58" s="219"/>
      <c r="IW58" s="219"/>
      <c r="IX58" s="219"/>
      <c r="IY58" s="219"/>
      <c r="IZ58" s="219"/>
      <c r="JA58" s="219"/>
      <c r="JB58" s="219"/>
      <c r="JC58" s="219"/>
      <c r="JD58" s="219"/>
      <c r="JE58" s="219"/>
      <c r="JF58" s="219"/>
      <c r="JG58" s="219"/>
      <c r="JH58" s="219"/>
      <c r="JI58" s="219"/>
      <c r="JJ58" s="219"/>
      <c r="JK58" s="219"/>
      <c r="JL58" s="219"/>
      <c r="JM58" s="219"/>
      <c r="JN58" s="219"/>
      <c r="JO58" s="219"/>
      <c r="JP58" s="219"/>
      <c r="JQ58" s="219"/>
      <c r="JR58" s="219"/>
      <c r="JS58" s="219"/>
      <c r="JT58" s="219"/>
      <c r="JU58" s="219"/>
      <c r="JV58" s="219"/>
      <c r="JW58" s="219"/>
      <c r="JX58" s="219"/>
      <c r="JY58" s="219"/>
      <c r="JZ58" s="219"/>
      <c r="KA58" s="219"/>
      <c r="KB58" s="219"/>
      <c r="KC58" s="219"/>
      <c r="KD58" s="219"/>
      <c r="KE58" s="219"/>
      <c r="KF58" s="219"/>
      <c r="KG58" s="219"/>
      <c r="KH58" s="219"/>
      <c r="KI58" s="219"/>
      <c r="KJ58" s="219"/>
      <c r="KK58" s="219"/>
      <c r="KL58" s="219"/>
      <c r="KM58" s="219"/>
      <c r="KN58" s="219"/>
      <c r="KO58" s="219"/>
      <c r="KP58" s="219"/>
      <c r="KQ58" s="219"/>
      <c r="KR58" s="219"/>
      <c r="KS58" s="219"/>
      <c r="KT58" s="219"/>
      <c r="KU58" s="219"/>
      <c r="KV58" s="219"/>
      <c r="KW58" s="219"/>
      <c r="KX58" s="219"/>
      <c r="KY58" s="219"/>
      <c r="KZ58" s="219"/>
      <c r="LA58" s="219"/>
      <c r="LB58" s="219"/>
      <c r="LC58" s="219"/>
      <c r="LD58" s="219"/>
      <c r="LE58" s="219"/>
      <c r="LF58" s="219"/>
      <c r="LG58" s="219"/>
      <c r="LH58" s="219"/>
      <c r="LI58" s="219"/>
      <c r="LJ58" s="219"/>
      <c r="LK58" s="219"/>
      <c r="LL58" s="219"/>
      <c r="LM58" s="219"/>
      <c r="LN58" s="219"/>
      <c r="LO58" s="219"/>
      <c r="LP58" s="219"/>
      <c r="LQ58" s="219"/>
      <c r="LR58" s="219"/>
      <c r="LS58" s="219"/>
      <c r="LT58" s="219"/>
      <c r="LU58" s="219"/>
      <c r="LV58" s="219"/>
      <c r="LW58" s="219"/>
      <c r="LX58" s="219"/>
      <c r="LY58" s="219"/>
      <c r="LZ58" s="219"/>
      <c r="MA58" s="219"/>
      <c r="MB58" s="219"/>
      <c r="MC58" s="219"/>
      <c r="MD58" s="219"/>
      <c r="ME58" s="219"/>
      <c r="MF58" s="305"/>
      <c r="MG58" s="305"/>
      <c r="MH58" s="305"/>
      <c r="MI58" s="305"/>
      <c r="MJ58" s="305"/>
      <c r="MK58" s="305"/>
      <c r="ML58" s="305"/>
      <c r="MM58" s="305"/>
      <c r="MN58" s="305"/>
      <c r="MO58" s="305"/>
      <c r="MP58" s="305"/>
      <c r="MQ58" s="305"/>
      <c r="MR58" s="305"/>
      <c r="MS58" s="305"/>
      <c r="MT58" s="305"/>
      <c r="MU58" s="305"/>
      <c r="MV58" s="305"/>
      <c r="MW58" s="305"/>
      <c r="MX58" s="305"/>
      <c r="MY58" s="305"/>
      <c r="MZ58" s="305"/>
      <c r="NA58" s="305"/>
      <c r="NB58" s="305"/>
      <c r="NC58" s="305"/>
      <c r="ND58" s="305"/>
      <c r="NE58" s="305"/>
      <c r="NF58" s="305"/>
      <c r="NG58" s="305"/>
      <c r="NH58" s="305"/>
      <c r="NI58" s="305"/>
    </row>
    <row r="59" spans="1:373" x14ac:dyDescent="0.2">
      <c r="A59" s="132" t="s">
        <v>739</v>
      </c>
      <c r="B59" s="133" t="s">
        <v>1346</v>
      </c>
      <c r="C59" s="134"/>
      <c r="D59" s="242" t="s">
        <v>1365</v>
      </c>
      <c r="E59" s="242">
        <v>0</v>
      </c>
      <c r="F59" s="243" t="s">
        <v>1383</v>
      </c>
      <c r="G59" s="243" t="s">
        <v>960</v>
      </c>
      <c r="H59" s="243" t="s">
        <v>961</v>
      </c>
      <c r="I59" s="243">
        <v>0</v>
      </c>
      <c r="J59" s="243">
        <v>0</v>
      </c>
      <c r="K59" s="243">
        <v>0</v>
      </c>
      <c r="L59" s="243" t="s">
        <v>1219</v>
      </c>
      <c r="M59" s="243">
        <v>0</v>
      </c>
      <c r="N59" s="243" t="s">
        <v>1218</v>
      </c>
      <c r="O59" s="243">
        <v>0</v>
      </c>
      <c r="P59" s="243">
        <v>0</v>
      </c>
      <c r="Q59" s="243">
        <v>0</v>
      </c>
      <c r="R59" s="135"/>
      <c r="S59" s="135"/>
      <c r="T59" s="135"/>
      <c r="U59" s="135"/>
      <c r="V59" s="135"/>
      <c r="W59" s="135">
        <v>0</v>
      </c>
      <c r="X59" s="135">
        <v>0</v>
      </c>
      <c r="Y59" s="135">
        <v>0</v>
      </c>
      <c r="Z59" s="136">
        <v>0</v>
      </c>
      <c r="AA59" s="136">
        <v>0</v>
      </c>
      <c r="AB59" s="136">
        <v>0</v>
      </c>
      <c r="AC59" s="137">
        <v>0</v>
      </c>
      <c r="AD59" s="137">
        <v>0</v>
      </c>
      <c r="AE59" s="138">
        <v>10</v>
      </c>
      <c r="AF59" s="138">
        <v>8</v>
      </c>
      <c r="AG59" s="138">
        <v>2</v>
      </c>
      <c r="AH59" s="139">
        <v>1</v>
      </c>
      <c r="AI59" s="139" t="s">
        <v>1387</v>
      </c>
      <c r="AJ59" s="138" t="s">
        <v>3650</v>
      </c>
      <c r="AK59" s="195" t="s">
        <v>1389</v>
      </c>
      <c r="AL59" s="138" t="s">
        <v>1316</v>
      </c>
      <c r="AM59" s="27" t="s">
        <v>1391</v>
      </c>
      <c r="AN59" s="138">
        <v>0</v>
      </c>
      <c r="AO59" s="140">
        <v>0</v>
      </c>
      <c r="AP59" s="140">
        <v>0</v>
      </c>
      <c r="AQ59" s="140">
        <v>0</v>
      </c>
      <c r="AR59" s="138">
        <v>27</v>
      </c>
      <c r="AS59" s="138">
        <v>0</v>
      </c>
      <c r="AT59" s="198"/>
      <c r="AU59" s="198"/>
      <c r="AV59" s="198"/>
      <c r="AW59" s="211" t="s">
        <v>790</v>
      </c>
      <c r="AX59" s="211" t="s">
        <v>1324</v>
      </c>
      <c r="AY59" s="141"/>
      <c r="AZ59" s="141"/>
      <c r="BA59" s="142">
        <v>1</v>
      </c>
      <c r="BB59" s="142" t="s">
        <v>527</v>
      </c>
      <c r="BC59" s="142"/>
      <c r="BD59" s="142">
        <v>1</v>
      </c>
      <c r="BE59" s="143" t="s">
        <v>541</v>
      </c>
      <c r="BF59" s="144">
        <v>1</v>
      </c>
      <c r="BG59" s="145"/>
      <c r="BH59" s="212"/>
      <c r="BI59" s="213"/>
      <c r="BJ59" s="146">
        <v>20</v>
      </c>
      <c r="BK59" s="214">
        <v>0</v>
      </c>
      <c r="BL59" s="13">
        <v>13</v>
      </c>
      <c r="BM59" s="13">
        <v>7</v>
      </c>
      <c r="BN59" s="27" t="s">
        <v>1394</v>
      </c>
      <c r="BO59" s="13" t="s">
        <v>1394</v>
      </c>
      <c r="BP59" s="147">
        <v>30</v>
      </c>
      <c r="BQ59" s="148"/>
      <c r="BR59" s="149"/>
      <c r="BS59" s="138">
        <v>1000000000</v>
      </c>
      <c r="BT59" s="150">
        <v>0</v>
      </c>
      <c r="BU59" s="151">
        <v>1</v>
      </c>
      <c r="BV59" s="150">
        <v>0</v>
      </c>
      <c r="BW59" s="152">
        <v>0</v>
      </c>
      <c r="BX59" s="152">
        <v>0</v>
      </c>
      <c r="BY59" s="152">
        <v>0</v>
      </c>
      <c r="BZ59" s="150">
        <v>0</v>
      </c>
      <c r="CA59" s="150">
        <v>0</v>
      </c>
      <c r="CB59" s="150">
        <v>0</v>
      </c>
      <c r="CC59" s="151">
        <v>1</v>
      </c>
      <c r="CD59" s="150"/>
      <c r="CE59" s="150"/>
      <c r="CF59" s="153">
        <v>20</v>
      </c>
      <c r="CG59" s="154">
        <v>4</v>
      </c>
      <c r="CH59" s="148"/>
      <c r="CI59" s="155"/>
      <c r="CJ59" s="156" t="s">
        <v>1316</v>
      </c>
      <c r="CK59" s="157" t="s">
        <v>1316</v>
      </c>
      <c r="CL59" s="154">
        <v>0</v>
      </c>
      <c r="CM59" s="154">
        <v>0</v>
      </c>
      <c r="CN59" s="151">
        <v>0</v>
      </c>
      <c r="CO59" s="151">
        <v>0</v>
      </c>
      <c r="CP59" s="158"/>
      <c r="CQ59" s="151">
        <v>0</v>
      </c>
      <c r="CR59" s="199">
        <v>43185</v>
      </c>
      <c r="CS59" s="200">
        <v>43185</v>
      </c>
      <c r="CT59" s="201">
        <v>43255</v>
      </c>
      <c r="CU59" s="201">
        <v>0</v>
      </c>
      <c r="CV59" s="201">
        <v>0</v>
      </c>
      <c r="CW59" s="201" t="s">
        <v>1316</v>
      </c>
      <c r="CX59" s="201" t="s">
        <v>1316</v>
      </c>
      <c r="CY59" s="151">
        <v>1</v>
      </c>
      <c r="CZ59" s="150">
        <v>0</v>
      </c>
      <c r="DA59" s="151">
        <v>0.9375</v>
      </c>
      <c r="DB59" s="151">
        <v>0</v>
      </c>
      <c r="DC59" s="151">
        <v>0</v>
      </c>
      <c r="DD59" s="151">
        <v>0</v>
      </c>
      <c r="DE59" s="159">
        <v>0</v>
      </c>
      <c r="DF59" s="13" t="s">
        <v>1316</v>
      </c>
      <c r="DG59" s="85" t="s">
        <v>1316</v>
      </c>
      <c r="DH59" s="18" t="b">
        <v>0</v>
      </c>
      <c r="DI59" s="84"/>
      <c r="DJ59" s="84"/>
      <c r="DK59" s="215"/>
      <c r="DL59" s="194"/>
      <c r="DM59" s="216"/>
      <c r="DN59" s="151"/>
      <c r="DO59" s="84"/>
      <c r="DP59" s="84"/>
      <c r="DQ59" s="84"/>
      <c r="DR59" s="84"/>
      <c r="DS59" s="84"/>
      <c r="DT59" s="84"/>
      <c r="DU59" s="84"/>
      <c r="DV59" s="18"/>
      <c r="DW59" s="18"/>
      <c r="DX59" s="18"/>
      <c r="DY59" s="197"/>
      <c r="DZ59" s="197">
        <v>0</v>
      </c>
      <c r="EA59" s="197">
        <v>0</v>
      </c>
      <c r="EB59" s="197">
        <v>0</v>
      </c>
      <c r="EC59" s="197">
        <v>0</v>
      </c>
      <c r="ED59" s="197">
        <v>0</v>
      </c>
      <c r="EE59" s="197">
        <v>0</v>
      </c>
      <c r="EF59" s="197">
        <v>0</v>
      </c>
      <c r="EG59" s="221"/>
      <c r="EH59" s="221"/>
      <c r="EI59" s="221"/>
      <c r="EJ59" s="221"/>
      <c r="EK59" s="221"/>
      <c r="EL59" s="221"/>
      <c r="EM59" s="221"/>
      <c r="EN59" s="221"/>
      <c r="EO59" s="221"/>
      <c r="EP59" s="221"/>
      <c r="EQ59" s="221"/>
      <c r="ER59" s="222"/>
      <c r="ES59" s="222"/>
      <c r="ET59" s="221"/>
      <c r="EU59" s="221"/>
      <c r="EV59" s="221"/>
      <c r="EW59" s="221"/>
      <c r="EX59" s="221"/>
      <c r="EY59" s="221"/>
      <c r="EZ59" s="221"/>
      <c r="FA59" s="221"/>
      <c r="FB59" s="221"/>
      <c r="FC59" s="221"/>
      <c r="FD59" s="221"/>
      <c r="FE59" s="221"/>
      <c r="FF59" s="221"/>
      <c r="FG59" s="221"/>
      <c r="FH59" s="221"/>
      <c r="FI59" s="221"/>
      <c r="FJ59" s="221"/>
      <c r="FK59" s="221"/>
      <c r="FL59" s="221"/>
      <c r="FM59" s="221"/>
      <c r="FN59" s="221"/>
      <c r="FO59" s="221"/>
      <c r="FP59" s="221"/>
      <c r="FQ59" s="221"/>
      <c r="FR59" s="221"/>
      <c r="FS59" s="221"/>
      <c r="FT59" s="221"/>
      <c r="FU59" s="221"/>
      <c r="FV59" s="221"/>
      <c r="FW59" s="221"/>
      <c r="FX59" s="221"/>
      <c r="FY59" s="221"/>
      <c r="FZ59" s="221"/>
      <c r="GA59" s="221"/>
      <c r="GB59" s="222">
        <v>0</v>
      </c>
      <c r="GC59" s="222">
        <v>0</v>
      </c>
      <c r="GD59" s="222">
        <v>0</v>
      </c>
      <c r="GE59" s="221"/>
      <c r="GF59" s="222">
        <v>0</v>
      </c>
      <c r="GG59" s="253">
        <v>0</v>
      </c>
      <c r="GH59" s="253">
        <v>0</v>
      </c>
      <c r="GI59" s="253">
        <v>0</v>
      </c>
      <c r="GJ59" s="253">
        <v>0</v>
      </c>
      <c r="GK59" s="253">
        <v>0</v>
      </c>
      <c r="GL59" s="253">
        <v>0</v>
      </c>
      <c r="GM59" s="221"/>
      <c r="GN59" s="253">
        <v>0</v>
      </c>
      <c r="GO59" s="253">
        <v>0</v>
      </c>
      <c r="GP59" s="253">
        <v>0</v>
      </c>
      <c r="GQ59" s="253">
        <v>0</v>
      </c>
      <c r="GR59" s="253">
        <v>0</v>
      </c>
      <c r="GS59" s="253">
        <v>0</v>
      </c>
      <c r="GT59" s="253">
        <v>0</v>
      </c>
      <c r="GU59" s="253">
        <v>0</v>
      </c>
      <c r="GV59" s="253">
        <v>0</v>
      </c>
      <c r="GW59" s="253">
        <v>0</v>
      </c>
      <c r="GX59" s="253">
        <v>0</v>
      </c>
      <c r="GY59" s="253">
        <v>0</v>
      </c>
      <c r="GZ59" s="253">
        <v>0</v>
      </c>
      <c r="HA59" s="253">
        <v>0</v>
      </c>
      <c r="HB59" s="253">
        <v>0</v>
      </c>
      <c r="HC59" s="253">
        <v>0</v>
      </c>
      <c r="HD59" s="253">
        <v>0</v>
      </c>
      <c r="HE59" s="253">
        <v>0</v>
      </c>
      <c r="HF59" s="253">
        <v>0</v>
      </c>
      <c r="HG59" s="253">
        <v>0</v>
      </c>
      <c r="HH59" s="253">
        <v>0</v>
      </c>
      <c r="HI59" s="253">
        <v>0</v>
      </c>
      <c r="HJ59" s="253">
        <v>0</v>
      </c>
      <c r="HK59" s="253">
        <v>0</v>
      </c>
      <c r="HL59" s="253">
        <v>0</v>
      </c>
      <c r="HM59" s="253">
        <v>0</v>
      </c>
      <c r="HN59" s="253">
        <v>0</v>
      </c>
      <c r="HO59" s="253">
        <v>0</v>
      </c>
      <c r="HP59" s="253">
        <v>0</v>
      </c>
      <c r="HQ59" s="253">
        <v>0</v>
      </c>
      <c r="HR59" s="253">
        <v>0</v>
      </c>
      <c r="HS59" s="253">
        <v>0</v>
      </c>
      <c r="HT59" s="253">
        <v>0</v>
      </c>
      <c r="HU59" s="253">
        <v>0</v>
      </c>
      <c r="HV59" s="253">
        <v>0</v>
      </c>
      <c r="HW59" s="253">
        <v>0</v>
      </c>
      <c r="HX59" s="253">
        <v>0</v>
      </c>
      <c r="HY59" s="253">
        <v>0</v>
      </c>
      <c r="HZ59" s="253">
        <v>0</v>
      </c>
      <c r="IA59" s="253">
        <v>0</v>
      </c>
      <c r="IB59" s="253">
        <v>0</v>
      </c>
      <c r="IC59" s="253">
        <v>0</v>
      </c>
      <c r="ID59" s="253">
        <v>0</v>
      </c>
      <c r="IE59" s="253">
        <v>0</v>
      </c>
      <c r="IF59" s="253">
        <v>0</v>
      </c>
      <c r="IG59" s="253">
        <v>0</v>
      </c>
      <c r="IH59" s="253">
        <v>0</v>
      </c>
      <c r="II59" s="253">
        <v>0</v>
      </c>
      <c r="IJ59" s="221"/>
      <c r="IK59" s="253">
        <v>0</v>
      </c>
      <c r="IL59" s="253">
        <v>0</v>
      </c>
      <c r="IM59" s="221"/>
      <c r="IN59" s="221"/>
      <c r="IO59" s="221"/>
      <c r="IP59" s="221"/>
      <c r="IQ59" s="221"/>
      <c r="IR59" s="221"/>
      <c r="IS59" s="221"/>
      <c r="IT59" s="221"/>
      <c r="IU59" s="221"/>
      <c r="IV59" s="221"/>
      <c r="IW59" s="221"/>
      <c r="IX59" s="221"/>
      <c r="IY59" s="221"/>
      <c r="IZ59" s="221"/>
      <c r="JA59" s="221"/>
      <c r="JB59" s="221"/>
      <c r="JC59" s="221"/>
      <c r="JD59" s="221"/>
      <c r="JE59" s="221"/>
      <c r="JF59" s="221"/>
      <c r="JG59" s="221"/>
      <c r="JH59" s="221"/>
      <c r="JI59" s="221"/>
      <c r="JJ59" s="221"/>
      <c r="JK59" s="221"/>
      <c r="JL59" s="221"/>
      <c r="JM59" s="221"/>
      <c r="JN59" s="221"/>
      <c r="JO59" s="221"/>
      <c r="JP59" s="221"/>
      <c r="JQ59" s="221"/>
      <c r="JR59" s="221"/>
      <c r="JS59" s="221"/>
      <c r="JT59" s="221"/>
      <c r="JU59" s="221"/>
      <c r="JV59" s="221"/>
      <c r="JW59" s="221"/>
      <c r="JX59" s="221"/>
      <c r="JY59" s="221"/>
      <c r="JZ59" s="221"/>
      <c r="KA59" s="221"/>
      <c r="KB59" s="221"/>
      <c r="KC59" s="221"/>
      <c r="KD59" s="221"/>
      <c r="KE59" s="221"/>
      <c r="KF59" s="221"/>
      <c r="KG59" s="221"/>
      <c r="KH59" s="221"/>
      <c r="KI59" s="221"/>
      <c r="KJ59" s="221"/>
      <c r="KK59" s="221"/>
      <c r="KL59" s="221"/>
      <c r="KM59" s="221"/>
      <c r="KN59" s="221"/>
      <c r="KO59" s="221"/>
      <c r="KP59" s="221"/>
      <c r="KQ59" s="221"/>
      <c r="KR59" s="221"/>
      <c r="KS59" s="221"/>
      <c r="KT59" s="221"/>
      <c r="KU59" s="221"/>
      <c r="KV59" s="221"/>
      <c r="KW59" s="221"/>
      <c r="KX59" s="221"/>
      <c r="KY59" s="221"/>
      <c r="KZ59" s="221"/>
      <c r="LA59" s="221"/>
      <c r="LB59" s="221"/>
      <c r="LC59" s="221"/>
      <c r="LD59" s="221"/>
      <c r="LE59" s="221"/>
      <c r="LF59" s="221"/>
      <c r="LG59" s="221"/>
      <c r="LH59" s="221"/>
      <c r="LI59" s="221"/>
      <c r="LJ59" s="221"/>
      <c r="LK59" s="221"/>
      <c r="LL59" s="221"/>
      <c r="LM59" s="221"/>
      <c r="LN59" s="221"/>
      <c r="LO59" s="221"/>
      <c r="LP59" s="221"/>
      <c r="LQ59" s="221"/>
      <c r="LR59" s="221"/>
      <c r="LS59" s="221"/>
      <c r="LT59" s="221"/>
      <c r="LU59" s="221"/>
      <c r="LV59" s="221"/>
      <c r="LW59" s="221"/>
      <c r="LX59" s="221"/>
      <c r="LY59" s="221"/>
      <c r="LZ59" s="221"/>
      <c r="MA59" s="221"/>
      <c r="MB59" s="221"/>
      <c r="MC59" s="221"/>
      <c r="MD59" s="221"/>
      <c r="ME59" s="221"/>
      <c r="MF59" s="305"/>
      <c r="MG59" s="305"/>
      <c r="MH59" s="305"/>
      <c r="MI59" s="305"/>
      <c r="MJ59" s="305"/>
      <c r="MK59" s="305"/>
      <c r="ML59" s="305"/>
      <c r="MM59" s="305"/>
      <c r="MN59" s="305"/>
      <c r="MO59" s="305"/>
      <c r="MP59" s="305"/>
      <c r="MQ59" s="305"/>
      <c r="MR59" s="305"/>
      <c r="MS59" s="305"/>
      <c r="MT59" s="305"/>
      <c r="MU59" s="305"/>
      <c r="MV59" s="305"/>
      <c r="MW59" s="305"/>
      <c r="MX59" s="305"/>
      <c r="MY59" s="305"/>
      <c r="MZ59" s="305"/>
      <c r="NA59" s="305"/>
      <c r="NB59" s="305"/>
      <c r="NC59" s="305"/>
      <c r="ND59" s="305"/>
      <c r="NE59" s="305"/>
      <c r="NF59" s="305"/>
      <c r="NG59" s="305"/>
      <c r="NH59" s="305"/>
      <c r="NI59" s="305"/>
    </row>
    <row r="60" spans="1:373" x14ac:dyDescent="0.2">
      <c r="A60" s="263" t="s">
        <v>739</v>
      </c>
      <c r="B60" s="264" t="s">
        <v>3582</v>
      </c>
      <c r="C60" s="265"/>
      <c r="D60" s="266" t="s">
        <v>3588</v>
      </c>
      <c r="E60" s="266">
        <v>0</v>
      </c>
      <c r="F60" s="267" t="s">
        <v>3583</v>
      </c>
      <c r="G60" s="267" t="s">
        <v>3589</v>
      </c>
      <c r="H60" s="267" t="s">
        <v>3590</v>
      </c>
      <c r="I60" s="267">
        <v>0</v>
      </c>
      <c r="J60" s="267">
        <v>0</v>
      </c>
      <c r="K60" s="267">
        <v>0</v>
      </c>
      <c r="L60" s="267" t="s">
        <v>3591</v>
      </c>
      <c r="M60" s="267">
        <v>0</v>
      </c>
      <c r="N60" s="267" t="s">
        <v>787</v>
      </c>
      <c r="O60" s="267">
        <v>0</v>
      </c>
      <c r="P60" s="267">
        <v>0</v>
      </c>
      <c r="Q60" s="267">
        <v>0</v>
      </c>
      <c r="R60" s="268"/>
      <c r="S60" s="268"/>
      <c r="T60" s="268"/>
      <c r="U60" s="268"/>
      <c r="V60" s="268"/>
      <c r="W60" s="268">
        <v>0</v>
      </c>
      <c r="X60" s="268">
        <v>0</v>
      </c>
      <c r="Y60" s="268">
        <v>0</v>
      </c>
      <c r="Z60" s="269">
        <v>17.91</v>
      </c>
      <c r="AA60" s="269">
        <v>39.4</v>
      </c>
      <c r="AB60" s="269">
        <v>0</v>
      </c>
      <c r="AC60" s="270">
        <v>0</v>
      </c>
      <c r="AD60" s="270">
        <v>0</v>
      </c>
      <c r="AE60" s="271">
        <v>24</v>
      </c>
      <c r="AF60" s="271">
        <v>16</v>
      </c>
      <c r="AG60" s="271">
        <v>8</v>
      </c>
      <c r="AH60" s="272">
        <v>1</v>
      </c>
      <c r="AI60" s="272" t="s">
        <v>1316</v>
      </c>
      <c r="AJ60" s="271" t="s">
        <v>3651</v>
      </c>
      <c r="AK60" s="273" t="s">
        <v>1316</v>
      </c>
      <c r="AL60" s="271" t="s">
        <v>1316</v>
      </c>
      <c r="AM60" s="274" t="s">
        <v>1316</v>
      </c>
      <c r="AN60" s="271">
        <v>0</v>
      </c>
      <c r="AO60" s="275">
        <v>0</v>
      </c>
      <c r="AP60" s="275">
        <v>0</v>
      </c>
      <c r="AQ60" s="275">
        <v>0</v>
      </c>
      <c r="AR60" s="271">
        <v>0</v>
      </c>
      <c r="AS60" s="271">
        <v>0</v>
      </c>
      <c r="AT60" s="276"/>
      <c r="AU60" s="276"/>
      <c r="AV60" s="276"/>
      <c r="AW60" s="277" t="s">
        <v>790</v>
      </c>
      <c r="AX60" s="277" t="s">
        <v>1326</v>
      </c>
      <c r="AY60" s="141"/>
      <c r="AZ60" s="141"/>
      <c r="BA60" s="141">
        <v>1</v>
      </c>
      <c r="BB60" s="141" t="s">
        <v>527</v>
      </c>
      <c r="BC60" s="141"/>
      <c r="BD60" s="141">
        <v>1</v>
      </c>
      <c r="BE60" s="278" t="s">
        <v>3585</v>
      </c>
      <c r="BF60" s="279">
        <v>1</v>
      </c>
      <c r="BG60" s="280"/>
      <c r="BH60" s="281" t="s">
        <v>3584</v>
      </c>
      <c r="BI60" s="282">
        <v>10</v>
      </c>
      <c r="BJ60" s="146"/>
      <c r="BK60" s="146">
        <v>0</v>
      </c>
      <c r="BL60" s="18">
        <v>0</v>
      </c>
      <c r="BM60" s="18">
        <v>0</v>
      </c>
      <c r="BN60" s="274" t="s">
        <v>1317</v>
      </c>
      <c r="BO60" s="18" t="s">
        <v>1317</v>
      </c>
      <c r="BP60" s="283"/>
      <c r="BQ60" s="149"/>
      <c r="BR60" s="149"/>
      <c r="BS60" s="271">
        <v>1000000000</v>
      </c>
      <c r="BT60" s="284">
        <v>4</v>
      </c>
      <c r="BU60" s="285">
        <v>0</v>
      </c>
      <c r="BV60" s="284">
        <v>0</v>
      </c>
      <c r="BW60" s="286">
        <v>0</v>
      </c>
      <c r="BX60" s="286">
        <v>0</v>
      </c>
      <c r="BY60" s="286">
        <v>0</v>
      </c>
      <c r="BZ60" s="284">
        <v>0</v>
      </c>
      <c r="CA60" s="284">
        <v>0</v>
      </c>
      <c r="CB60" s="284">
        <v>4</v>
      </c>
      <c r="CC60" s="285">
        <v>0</v>
      </c>
      <c r="CD60" s="284"/>
      <c r="CE60" s="284"/>
      <c r="CF60" s="287">
        <v>0</v>
      </c>
      <c r="CG60" s="288">
        <v>0</v>
      </c>
      <c r="CH60" s="149"/>
      <c r="CI60" s="289"/>
      <c r="CJ60" s="290" t="s">
        <v>1316</v>
      </c>
      <c r="CK60" s="291" t="s">
        <v>1316</v>
      </c>
      <c r="CL60" s="288">
        <v>0</v>
      </c>
      <c r="CM60" s="288">
        <v>0</v>
      </c>
      <c r="CN60" s="285">
        <v>0</v>
      </c>
      <c r="CO60" s="285">
        <v>0</v>
      </c>
      <c r="CP60" s="292"/>
      <c r="CQ60" s="285">
        <v>0</v>
      </c>
      <c r="CR60" s="293">
        <v>42095</v>
      </c>
      <c r="CS60" s="294">
        <v>43087</v>
      </c>
      <c r="CT60" s="295">
        <v>43255</v>
      </c>
      <c r="CU60" s="295">
        <v>0</v>
      </c>
      <c r="CV60" s="295">
        <v>0</v>
      </c>
      <c r="CW60" s="295" t="s">
        <v>1316</v>
      </c>
      <c r="CX60" s="295" t="s">
        <v>1316</v>
      </c>
      <c r="CY60" s="285">
        <v>0</v>
      </c>
      <c r="CZ60" s="284">
        <v>0</v>
      </c>
      <c r="DA60" s="285">
        <v>0</v>
      </c>
      <c r="DB60" s="285">
        <v>0</v>
      </c>
      <c r="DC60" s="285">
        <v>0</v>
      </c>
      <c r="DD60" s="285">
        <v>0</v>
      </c>
      <c r="DE60" s="159">
        <v>0</v>
      </c>
      <c r="DF60" s="18" t="s">
        <v>1316</v>
      </c>
      <c r="DG60" s="18" t="s">
        <v>1316</v>
      </c>
      <c r="DH60" s="18" t="b">
        <v>0</v>
      </c>
      <c r="DI60" s="84"/>
      <c r="DJ60" s="84"/>
      <c r="DK60" s="215"/>
      <c r="DL60" s="296"/>
      <c r="DM60" s="297"/>
      <c r="DN60" s="285"/>
      <c r="DO60" s="84"/>
      <c r="DP60" s="84"/>
      <c r="DQ60" s="84"/>
      <c r="DR60" s="84"/>
      <c r="DS60" s="84"/>
      <c r="DT60" s="84"/>
      <c r="DU60" s="84"/>
      <c r="DV60" s="18"/>
      <c r="DW60" s="18"/>
      <c r="DX60" s="18"/>
      <c r="DY60" s="197"/>
      <c r="DZ60" s="197">
        <v>0</v>
      </c>
      <c r="EA60" s="197">
        <v>0</v>
      </c>
      <c r="EB60" s="197">
        <v>0</v>
      </c>
      <c r="EC60" s="197">
        <v>0</v>
      </c>
      <c r="ED60" s="197">
        <v>0</v>
      </c>
      <c r="EE60" s="197">
        <v>0</v>
      </c>
      <c r="EF60" s="197">
        <v>0</v>
      </c>
      <c r="EG60" s="298"/>
      <c r="EH60" s="299"/>
      <c r="EI60" s="299"/>
      <c r="EJ60" s="299"/>
      <c r="EK60" s="299"/>
      <c r="EL60" s="299"/>
      <c r="EM60" s="299"/>
      <c r="EN60" s="299"/>
      <c r="EO60" s="299"/>
      <c r="EP60" s="299"/>
      <c r="EQ60" s="299"/>
      <c r="ER60" s="300"/>
      <c r="ES60" s="300"/>
      <c r="ET60" s="262"/>
      <c r="EU60" s="262"/>
      <c r="EV60" s="262"/>
      <c r="EW60" s="262"/>
      <c r="EX60" s="262"/>
      <c r="EY60" s="262"/>
      <c r="EZ60" s="262"/>
      <c r="FA60" s="262"/>
      <c r="FB60" s="262"/>
      <c r="FC60" s="262"/>
      <c r="FD60" s="262"/>
      <c r="FE60" s="262"/>
      <c r="FF60" s="262"/>
      <c r="FG60" s="262"/>
      <c r="FH60" s="262"/>
      <c r="FI60" s="262"/>
      <c r="FJ60" s="262"/>
      <c r="FK60" s="262"/>
      <c r="FL60" s="262"/>
      <c r="FM60" s="262"/>
      <c r="FN60" s="262"/>
      <c r="FO60" s="262"/>
      <c r="FP60" s="262"/>
      <c r="FQ60" s="262"/>
      <c r="FR60" s="262"/>
      <c r="FS60" s="262"/>
      <c r="FT60" s="262"/>
      <c r="FU60" s="262"/>
      <c r="FV60" s="262"/>
      <c r="FW60" s="262"/>
      <c r="FX60" s="262"/>
      <c r="FY60" s="262"/>
      <c r="FZ60" s="262"/>
      <c r="GA60" s="262"/>
      <c r="GB60" s="300"/>
      <c r="GC60" s="300"/>
      <c r="GD60" s="300"/>
      <c r="GE60" s="299"/>
      <c r="GF60" s="300"/>
      <c r="GG60" s="301"/>
      <c r="GH60" s="301"/>
      <c r="GI60" s="301"/>
      <c r="GJ60" s="301"/>
      <c r="GK60" s="301"/>
      <c r="GL60" s="301"/>
      <c r="GM60" s="299"/>
      <c r="GN60" s="301"/>
      <c r="GO60" s="301"/>
      <c r="GP60" s="301"/>
      <c r="GQ60" s="301"/>
      <c r="GR60" s="301"/>
      <c r="GS60" s="301"/>
      <c r="GT60" s="301"/>
      <c r="GU60" s="301"/>
      <c r="GV60" s="301"/>
      <c r="GW60" s="301"/>
      <c r="GX60" s="301"/>
      <c r="GY60" s="301"/>
      <c r="GZ60" s="301"/>
      <c r="HA60" s="301"/>
      <c r="HB60" s="301"/>
      <c r="HC60" s="301"/>
      <c r="HD60" s="301"/>
      <c r="HE60" s="301"/>
      <c r="HF60" s="301"/>
      <c r="HG60" s="301"/>
      <c r="HH60" s="301"/>
      <c r="HI60" s="301"/>
      <c r="HJ60" s="301"/>
      <c r="HK60" s="301"/>
      <c r="HL60" s="301"/>
      <c r="HM60" s="301"/>
      <c r="HN60" s="301"/>
      <c r="HO60" s="301"/>
      <c r="HP60" s="301"/>
      <c r="HQ60" s="301"/>
      <c r="HR60" s="301"/>
      <c r="HS60" s="301"/>
      <c r="HT60" s="301"/>
      <c r="HU60" s="301"/>
      <c r="HV60" s="301"/>
      <c r="HW60" s="301"/>
      <c r="HX60" s="301"/>
      <c r="HY60" s="301"/>
      <c r="HZ60" s="301"/>
      <c r="IA60" s="301"/>
      <c r="IB60" s="301"/>
      <c r="IC60" s="301"/>
      <c r="ID60" s="301"/>
      <c r="IE60" s="301"/>
      <c r="IF60" s="301"/>
      <c r="IG60" s="301"/>
      <c r="IH60" s="301"/>
      <c r="II60" s="301"/>
      <c r="IJ60" s="299"/>
      <c r="IK60" s="302">
        <v>4</v>
      </c>
      <c r="IL60" s="308">
        <v>4</v>
      </c>
      <c r="IM60" s="299"/>
      <c r="IN60" s="299"/>
      <c r="IO60" s="299"/>
      <c r="IP60" s="299"/>
      <c r="IQ60" s="299"/>
      <c r="IR60" s="299"/>
      <c r="IS60" s="299"/>
      <c r="IT60" s="299"/>
      <c r="IU60" s="299"/>
      <c r="IV60" s="299"/>
      <c r="IW60" s="299"/>
      <c r="IX60" s="299"/>
      <c r="IY60" s="299"/>
      <c r="IZ60" s="299"/>
      <c r="JA60" s="299"/>
      <c r="JB60" s="299"/>
      <c r="JC60" s="299"/>
      <c r="JD60" s="299"/>
      <c r="JE60" s="299"/>
      <c r="JF60" s="299"/>
      <c r="JG60" s="299"/>
      <c r="JH60" s="299"/>
      <c r="JI60" s="299"/>
      <c r="JJ60" s="299"/>
      <c r="JK60" s="299"/>
      <c r="JL60" s="299"/>
      <c r="JM60" s="299"/>
      <c r="JN60" s="299"/>
      <c r="JO60" s="299"/>
      <c r="JP60" s="299"/>
      <c r="JQ60" s="299"/>
      <c r="JR60" s="299"/>
      <c r="JS60" s="299"/>
      <c r="JT60" s="299"/>
      <c r="JU60" s="299"/>
      <c r="JV60" s="299"/>
      <c r="JW60" s="299"/>
      <c r="JX60" s="299"/>
      <c r="JY60" s="299"/>
      <c r="JZ60" s="299"/>
      <c r="KA60" s="299"/>
      <c r="KB60" s="299"/>
      <c r="KC60" s="299"/>
      <c r="KD60" s="299"/>
      <c r="KE60" s="299"/>
      <c r="KF60" s="299"/>
      <c r="KG60" s="299"/>
      <c r="KH60" s="299"/>
      <c r="KI60" s="299"/>
      <c r="KJ60" s="299"/>
      <c r="KK60" s="299"/>
      <c r="KL60" s="299"/>
      <c r="KM60" s="299"/>
      <c r="KN60" s="299"/>
      <c r="KO60" s="299"/>
      <c r="KP60" s="299"/>
      <c r="KQ60" s="299"/>
      <c r="KR60" s="299"/>
      <c r="KS60" s="299"/>
      <c r="KT60" s="299"/>
      <c r="KU60" s="299"/>
      <c r="KV60" s="299"/>
      <c r="KW60" s="299"/>
      <c r="KX60" s="299"/>
      <c r="KY60" s="299"/>
      <c r="KZ60" s="299"/>
      <c r="LA60" s="299"/>
      <c r="LB60" s="299"/>
      <c r="LC60" s="299"/>
      <c r="LD60" s="299"/>
      <c r="LE60" s="299"/>
      <c r="LF60" s="299"/>
      <c r="LG60" s="299"/>
      <c r="LH60" s="299"/>
      <c r="LI60" s="299"/>
      <c r="LJ60" s="299"/>
      <c r="LK60" s="299"/>
      <c r="LL60" s="299"/>
      <c r="LM60" s="299"/>
      <c r="LN60" s="299"/>
      <c r="LO60" s="299"/>
      <c r="LP60" s="299"/>
      <c r="LQ60" s="299"/>
      <c r="LR60" s="299"/>
      <c r="LS60" s="299"/>
      <c r="LT60" s="299"/>
      <c r="LU60" s="299"/>
      <c r="LV60" s="299"/>
      <c r="LW60" s="299"/>
      <c r="LX60" s="299"/>
      <c r="LY60" s="299"/>
      <c r="LZ60" s="299"/>
      <c r="MA60" s="299"/>
      <c r="MB60" s="299"/>
      <c r="MC60" s="299"/>
      <c r="MD60" s="299"/>
      <c r="ME60" s="299"/>
      <c r="MF60" s="307"/>
      <c r="MG60" s="307"/>
      <c r="MH60" s="307"/>
      <c r="MI60" s="307"/>
      <c r="MJ60" s="307"/>
      <c r="MK60" s="307"/>
      <c r="ML60" s="307"/>
      <c r="MM60" s="307"/>
      <c r="MN60" s="307"/>
      <c r="MO60" s="307"/>
      <c r="MP60" s="307"/>
      <c r="MQ60" s="307"/>
      <c r="MR60" s="307"/>
      <c r="MS60" s="307"/>
      <c r="MT60" s="307"/>
      <c r="MU60" s="307"/>
      <c r="MV60" s="307"/>
      <c r="MW60" s="307"/>
      <c r="MX60" s="307"/>
      <c r="MY60" s="307"/>
      <c r="MZ60" s="307"/>
      <c r="NA60" s="307"/>
      <c r="NB60" s="307"/>
      <c r="NC60" s="307"/>
      <c r="ND60" s="307"/>
      <c r="NE60" s="307"/>
      <c r="NF60" s="307"/>
      <c r="NG60" s="307"/>
      <c r="NH60" s="307"/>
      <c r="NI60" s="307"/>
    </row>
    <row r="61" spans="1:373" x14ac:dyDescent="0.2">
      <c r="A61" s="263" t="s">
        <v>739</v>
      </c>
      <c r="B61" s="264" t="s">
        <v>3586</v>
      </c>
      <c r="C61" s="265"/>
      <c r="D61" s="266" t="s">
        <v>3593</v>
      </c>
      <c r="E61" s="266">
        <v>0</v>
      </c>
      <c r="F61" s="267" t="s">
        <v>3587</v>
      </c>
      <c r="G61" s="267" t="s">
        <v>3592</v>
      </c>
      <c r="H61" s="267" t="s">
        <v>961</v>
      </c>
      <c r="I61" s="267">
        <v>0</v>
      </c>
      <c r="J61" s="267">
        <v>0</v>
      </c>
      <c r="K61" s="267">
        <v>0</v>
      </c>
      <c r="L61" s="267" t="s">
        <v>3591</v>
      </c>
      <c r="M61" s="267">
        <v>0</v>
      </c>
      <c r="N61" s="267" t="s">
        <v>1217</v>
      </c>
      <c r="O61" s="267">
        <v>0</v>
      </c>
      <c r="P61" s="267">
        <v>0</v>
      </c>
      <c r="Q61" s="267">
        <v>0</v>
      </c>
      <c r="R61" s="268"/>
      <c r="S61" s="268"/>
      <c r="T61" s="268"/>
      <c r="U61" s="268"/>
      <c r="V61" s="268"/>
      <c r="W61" s="268">
        <v>0</v>
      </c>
      <c r="X61" s="268">
        <v>0</v>
      </c>
      <c r="Y61" s="268">
        <v>0</v>
      </c>
      <c r="Z61" s="269">
        <v>0</v>
      </c>
      <c r="AA61" s="269">
        <v>8.43</v>
      </c>
      <c r="AB61" s="269">
        <v>0</v>
      </c>
      <c r="AC61" s="270">
        <v>0</v>
      </c>
      <c r="AD61" s="270">
        <v>0</v>
      </c>
      <c r="AE61" s="271">
        <v>10</v>
      </c>
      <c r="AF61" s="271">
        <v>8</v>
      </c>
      <c r="AG61" s="271">
        <v>2</v>
      </c>
      <c r="AH61" s="272">
        <v>1</v>
      </c>
      <c r="AI61" s="272" t="s">
        <v>1316</v>
      </c>
      <c r="AJ61" s="271" t="s">
        <v>3652</v>
      </c>
      <c r="AK61" s="273" t="s">
        <v>1316</v>
      </c>
      <c r="AL61" s="271" t="s">
        <v>1316</v>
      </c>
      <c r="AM61" s="274" t="s">
        <v>1316</v>
      </c>
      <c r="AN61" s="271">
        <v>0</v>
      </c>
      <c r="AO61" s="275">
        <v>0</v>
      </c>
      <c r="AP61" s="275">
        <v>0</v>
      </c>
      <c r="AQ61" s="275">
        <v>0</v>
      </c>
      <c r="AR61" s="271">
        <v>0</v>
      </c>
      <c r="AS61" s="271">
        <v>0</v>
      </c>
      <c r="AT61" s="276"/>
      <c r="AU61" s="276"/>
      <c r="AV61" s="276"/>
      <c r="AW61" s="277" t="s">
        <v>803</v>
      </c>
      <c r="AX61" s="277" t="s">
        <v>1324</v>
      </c>
      <c r="AY61" s="141"/>
      <c r="AZ61" s="141"/>
      <c r="BA61" s="141">
        <v>1</v>
      </c>
      <c r="BB61" s="141" t="s">
        <v>527</v>
      </c>
      <c r="BC61" s="141"/>
      <c r="BD61" s="141">
        <v>1</v>
      </c>
      <c r="BE61" s="278" t="s">
        <v>541</v>
      </c>
      <c r="BF61" s="279">
        <v>1</v>
      </c>
      <c r="BG61" s="280"/>
      <c r="BH61" s="281" t="s">
        <v>3584</v>
      </c>
      <c r="BI61" s="282">
        <v>9</v>
      </c>
      <c r="BJ61" s="146"/>
      <c r="BK61" s="146">
        <v>0</v>
      </c>
      <c r="BL61" s="18">
        <v>0</v>
      </c>
      <c r="BM61" s="18">
        <v>0</v>
      </c>
      <c r="BN61" s="274" t="s">
        <v>1317</v>
      </c>
      <c r="BO61" s="18" t="s">
        <v>1317</v>
      </c>
      <c r="BP61" s="283"/>
      <c r="BQ61" s="149"/>
      <c r="BR61" s="149"/>
      <c r="BS61" s="271">
        <v>1000000000</v>
      </c>
      <c r="BT61" s="284">
        <v>0</v>
      </c>
      <c r="BU61" s="285">
        <v>0</v>
      </c>
      <c r="BV61" s="284">
        <v>0</v>
      </c>
      <c r="BW61" s="286">
        <v>0</v>
      </c>
      <c r="BX61" s="286">
        <v>0</v>
      </c>
      <c r="BY61" s="286">
        <v>0</v>
      </c>
      <c r="BZ61" s="284">
        <v>0</v>
      </c>
      <c r="CA61" s="284">
        <v>0</v>
      </c>
      <c r="CB61" s="284">
        <v>0</v>
      </c>
      <c r="CC61" s="285">
        <v>0</v>
      </c>
      <c r="CD61" s="284"/>
      <c r="CE61" s="284"/>
      <c r="CF61" s="287">
        <v>0</v>
      </c>
      <c r="CG61" s="288">
        <v>0</v>
      </c>
      <c r="CH61" s="149"/>
      <c r="CI61" s="289"/>
      <c r="CJ61" s="290" t="s">
        <v>1316</v>
      </c>
      <c r="CK61" s="291" t="s">
        <v>1316</v>
      </c>
      <c r="CL61" s="288">
        <v>0</v>
      </c>
      <c r="CM61" s="288">
        <v>0</v>
      </c>
      <c r="CN61" s="285">
        <v>0</v>
      </c>
      <c r="CO61" s="285">
        <v>0</v>
      </c>
      <c r="CP61" s="292"/>
      <c r="CQ61" s="285">
        <v>0</v>
      </c>
      <c r="CR61" s="293">
        <v>0</v>
      </c>
      <c r="CS61" s="294">
        <v>43185</v>
      </c>
      <c r="CT61" s="295">
        <v>43255</v>
      </c>
      <c r="CU61" s="295">
        <v>0</v>
      </c>
      <c r="CV61" s="295">
        <v>0</v>
      </c>
      <c r="CW61" s="295" t="s">
        <v>1316</v>
      </c>
      <c r="CX61" s="295" t="s">
        <v>1316</v>
      </c>
      <c r="CY61" s="285">
        <v>1</v>
      </c>
      <c r="CZ61" s="284">
        <v>0</v>
      </c>
      <c r="DA61" s="285">
        <v>3.125E-2</v>
      </c>
      <c r="DB61" s="285">
        <v>0</v>
      </c>
      <c r="DC61" s="285">
        <v>0</v>
      </c>
      <c r="DD61" s="285">
        <v>0</v>
      </c>
      <c r="DE61" s="159">
        <v>0</v>
      </c>
      <c r="DF61" s="18" t="s">
        <v>1316</v>
      </c>
      <c r="DG61" s="18" t="s">
        <v>1316</v>
      </c>
      <c r="DH61" s="18" t="b">
        <v>0</v>
      </c>
      <c r="DI61" s="84"/>
      <c r="DJ61" s="84"/>
      <c r="DK61" s="215"/>
      <c r="DL61" s="296"/>
      <c r="DM61" s="297"/>
      <c r="DN61" s="285"/>
      <c r="DO61" s="84"/>
      <c r="DP61" s="84"/>
      <c r="DQ61" s="84"/>
      <c r="DR61" s="84"/>
      <c r="DS61" s="84"/>
      <c r="DT61" s="84"/>
      <c r="DU61" s="84"/>
      <c r="DV61" s="18"/>
      <c r="DW61" s="18"/>
      <c r="DX61" s="18"/>
      <c r="DY61" s="197"/>
      <c r="DZ61" s="197">
        <v>0</v>
      </c>
      <c r="EA61" s="197">
        <v>0</v>
      </c>
      <c r="EB61" s="197">
        <v>0</v>
      </c>
      <c r="EC61" s="197">
        <v>0</v>
      </c>
      <c r="ED61" s="197">
        <v>0</v>
      </c>
      <c r="EE61" s="197">
        <v>0</v>
      </c>
      <c r="EF61" s="197">
        <v>0</v>
      </c>
      <c r="EG61" s="298"/>
      <c r="EH61" s="299"/>
      <c r="EI61" s="299"/>
      <c r="EJ61" s="299"/>
      <c r="EK61" s="299"/>
      <c r="EL61" s="299"/>
      <c r="EM61" s="299"/>
      <c r="EN61" s="299"/>
      <c r="EO61" s="299"/>
      <c r="EP61" s="299"/>
      <c r="EQ61" s="299"/>
      <c r="ER61" s="300"/>
      <c r="ES61" s="300"/>
      <c r="ET61" s="262"/>
      <c r="EU61" s="262"/>
      <c r="EV61" s="262"/>
      <c r="EW61" s="262"/>
      <c r="EX61" s="262"/>
      <c r="EY61" s="262"/>
      <c r="EZ61" s="262"/>
      <c r="FA61" s="262"/>
      <c r="FB61" s="262"/>
      <c r="FC61" s="262"/>
      <c r="FD61" s="262"/>
      <c r="FE61" s="262"/>
      <c r="FF61" s="262"/>
      <c r="FG61" s="262"/>
      <c r="FH61" s="262"/>
      <c r="FI61" s="262"/>
      <c r="FJ61" s="262"/>
      <c r="FK61" s="262"/>
      <c r="FL61" s="262"/>
      <c r="FM61" s="262"/>
      <c r="FN61" s="262"/>
      <c r="FO61" s="262"/>
      <c r="FP61" s="262"/>
      <c r="FQ61" s="262"/>
      <c r="FR61" s="262"/>
      <c r="FS61" s="262"/>
      <c r="FT61" s="262"/>
      <c r="FU61" s="262"/>
      <c r="FV61" s="262"/>
      <c r="FW61" s="262"/>
      <c r="FX61" s="262"/>
      <c r="FY61" s="262"/>
      <c r="FZ61" s="262"/>
      <c r="GA61" s="262"/>
      <c r="GB61" s="300"/>
      <c r="GC61" s="300"/>
      <c r="GD61" s="300"/>
      <c r="GE61" s="299"/>
      <c r="GF61" s="300"/>
      <c r="GG61" s="301"/>
      <c r="GH61" s="301"/>
      <c r="GI61" s="301"/>
      <c r="GJ61" s="301"/>
      <c r="GK61" s="301"/>
      <c r="GL61" s="301"/>
      <c r="GM61" s="299"/>
      <c r="GN61" s="301"/>
      <c r="GO61" s="301"/>
      <c r="GP61" s="301"/>
      <c r="GQ61" s="301"/>
      <c r="GR61" s="301"/>
      <c r="GS61" s="301"/>
      <c r="GT61" s="301"/>
      <c r="GU61" s="301"/>
      <c r="GV61" s="301"/>
      <c r="GW61" s="301"/>
      <c r="GX61" s="301"/>
      <c r="GY61" s="301"/>
      <c r="GZ61" s="301"/>
      <c r="HA61" s="301"/>
      <c r="HB61" s="301"/>
      <c r="HC61" s="301"/>
      <c r="HD61" s="301"/>
      <c r="HE61" s="301"/>
      <c r="HF61" s="301"/>
      <c r="HG61" s="301"/>
      <c r="HH61" s="301"/>
      <c r="HI61" s="301"/>
      <c r="HJ61" s="301"/>
      <c r="HK61" s="301"/>
      <c r="HL61" s="301"/>
      <c r="HM61" s="301"/>
      <c r="HN61" s="301"/>
      <c r="HO61" s="301"/>
      <c r="HP61" s="301"/>
      <c r="HQ61" s="301"/>
      <c r="HR61" s="301"/>
      <c r="HS61" s="301"/>
      <c r="HT61" s="301"/>
      <c r="HU61" s="301"/>
      <c r="HV61" s="301"/>
      <c r="HW61" s="301"/>
      <c r="HX61" s="301"/>
      <c r="HY61" s="301"/>
      <c r="HZ61" s="301"/>
      <c r="IA61" s="301"/>
      <c r="IB61" s="301"/>
      <c r="IC61" s="301"/>
      <c r="ID61" s="301"/>
      <c r="IE61" s="301"/>
      <c r="IF61" s="301"/>
      <c r="IG61" s="301"/>
      <c r="IH61" s="301"/>
      <c r="II61" s="301"/>
      <c r="IJ61" s="299"/>
      <c r="IK61" s="302">
        <v>0</v>
      </c>
      <c r="IL61" s="308">
        <v>0</v>
      </c>
      <c r="IM61" s="299"/>
      <c r="IN61" s="299"/>
      <c r="IO61" s="299"/>
      <c r="IP61" s="299"/>
      <c r="IQ61" s="299"/>
      <c r="IR61" s="299"/>
      <c r="IS61" s="299"/>
      <c r="IT61" s="299"/>
      <c r="IU61" s="299"/>
      <c r="IV61" s="299"/>
      <c r="IW61" s="299"/>
      <c r="IX61" s="299"/>
      <c r="IY61" s="299"/>
      <c r="IZ61" s="299"/>
      <c r="JA61" s="299"/>
      <c r="JB61" s="299"/>
      <c r="JC61" s="299"/>
      <c r="JD61" s="299"/>
      <c r="JE61" s="299"/>
      <c r="JF61" s="299"/>
      <c r="JG61" s="299"/>
      <c r="JH61" s="299"/>
      <c r="JI61" s="299"/>
      <c r="JJ61" s="299"/>
      <c r="JK61" s="299"/>
      <c r="JL61" s="299"/>
      <c r="JM61" s="299"/>
      <c r="JN61" s="299"/>
      <c r="JO61" s="299"/>
      <c r="JP61" s="299"/>
      <c r="JQ61" s="299"/>
      <c r="JR61" s="299"/>
      <c r="JS61" s="299"/>
      <c r="JT61" s="299"/>
      <c r="JU61" s="299"/>
      <c r="JV61" s="299"/>
      <c r="JW61" s="299"/>
      <c r="JX61" s="299"/>
      <c r="JY61" s="299"/>
      <c r="JZ61" s="299"/>
      <c r="KA61" s="299"/>
      <c r="KB61" s="299"/>
      <c r="KC61" s="299"/>
      <c r="KD61" s="299"/>
      <c r="KE61" s="299"/>
      <c r="KF61" s="299"/>
      <c r="KG61" s="299"/>
      <c r="KH61" s="299"/>
      <c r="KI61" s="299"/>
      <c r="KJ61" s="299"/>
      <c r="KK61" s="299"/>
      <c r="KL61" s="299"/>
      <c r="KM61" s="299"/>
      <c r="KN61" s="299"/>
      <c r="KO61" s="299"/>
      <c r="KP61" s="299"/>
      <c r="KQ61" s="299"/>
      <c r="KR61" s="299"/>
      <c r="KS61" s="299"/>
      <c r="KT61" s="299"/>
      <c r="KU61" s="299"/>
      <c r="KV61" s="299"/>
      <c r="KW61" s="299"/>
      <c r="KX61" s="299"/>
      <c r="KY61" s="299"/>
      <c r="KZ61" s="299"/>
      <c r="LA61" s="299"/>
      <c r="LB61" s="299"/>
      <c r="LC61" s="299"/>
      <c r="LD61" s="299"/>
      <c r="LE61" s="299"/>
      <c r="LF61" s="299"/>
      <c r="LG61" s="299"/>
      <c r="LH61" s="299"/>
      <c r="LI61" s="299"/>
      <c r="LJ61" s="299"/>
      <c r="LK61" s="299"/>
      <c r="LL61" s="299"/>
      <c r="LM61" s="299"/>
      <c r="LN61" s="299"/>
      <c r="LO61" s="299"/>
      <c r="LP61" s="299"/>
      <c r="LQ61" s="299"/>
      <c r="LR61" s="299"/>
      <c r="LS61" s="299"/>
      <c r="LT61" s="299"/>
      <c r="LU61" s="299"/>
      <c r="LV61" s="299"/>
      <c r="LW61" s="299"/>
      <c r="LX61" s="299"/>
      <c r="LY61" s="299"/>
      <c r="LZ61" s="299"/>
      <c r="MA61" s="299"/>
      <c r="MB61" s="299"/>
      <c r="MC61" s="299"/>
      <c r="MD61" s="299"/>
      <c r="ME61" s="299"/>
      <c r="MF61" s="307"/>
      <c r="MG61" s="307"/>
      <c r="MH61" s="307"/>
      <c r="MI61" s="307"/>
      <c r="MJ61" s="307"/>
      <c r="MK61" s="307"/>
      <c r="ML61" s="307"/>
      <c r="MM61" s="307"/>
      <c r="MN61" s="307"/>
      <c r="MO61" s="307"/>
      <c r="MP61" s="307"/>
      <c r="MQ61" s="307"/>
      <c r="MR61" s="307"/>
      <c r="MS61" s="307"/>
      <c r="MT61" s="307"/>
      <c r="MU61" s="307"/>
      <c r="MV61" s="307"/>
      <c r="MW61" s="307"/>
      <c r="MX61" s="307"/>
      <c r="MY61" s="307"/>
      <c r="MZ61" s="307"/>
      <c r="NA61" s="307"/>
      <c r="NB61" s="307"/>
      <c r="NC61" s="307"/>
      <c r="ND61" s="307"/>
      <c r="NE61" s="307"/>
      <c r="NF61" s="307"/>
      <c r="NG61" s="307"/>
      <c r="NH61" s="307"/>
      <c r="NI61" s="307"/>
    </row>
  </sheetData>
  <sheetProtection algorithmName="SHA-512" hashValue="BTj6Vu7ofL7tRNPeeCVC6q2AfGSndQvg26vAzTB2XXfUvN3dJM0lJubSTodlc+EL++yAtVnzMmL8W/NXEdwdHg==" saltValue="TJUAUXwxfCQt6x4O51GDZA==" spinCount="100000" sheet="1" objects="1" scenarios="1" sort="0" autoFilter="0"/>
  <dataConsolidate/>
  <conditionalFormatting sqref="AL2:AS2 A2:AJ2 AW2:CZ2">
    <cfRule type="expression" dxfId="1059" priority="4755">
      <formula>COUNTIF(A2,"*/*")</formula>
    </cfRule>
    <cfRule type="expression" dxfId="1058" priority="4756">
      <formula>A2="*/*"</formula>
    </cfRule>
  </conditionalFormatting>
  <conditionalFormatting sqref="CR3:CR61">
    <cfRule type="expression" dxfId="1057" priority="4737">
      <formula>$CR3=0</formula>
    </cfRule>
  </conditionalFormatting>
  <conditionalFormatting sqref="AW3:AW61">
    <cfRule type="expression" dxfId="1056" priority="4200">
      <formula>IFERROR(IF(MATCH($A3&amp;$AW3,ListaBodegaProveedor,0)&gt;0,0,1),1)</formula>
    </cfRule>
  </conditionalFormatting>
  <conditionalFormatting sqref="A3:A61">
    <cfRule type="expression" dxfId="1055" priority="3933">
      <formula>SUMPRODUCT(--($A3=BodegasPermitidas))=0</formula>
    </cfRule>
  </conditionalFormatting>
  <conditionalFormatting sqref="AX3:AX61">
    <cfRule type="expression" dxfId="1054" priority="3914">
      <formula>IFERROR(IF(MATCH($A3&amp;$AX3,ListaBodegaPerfil,0)&gt;0,0,1),1)</formula>
    </cfRule>
  </conditionalFormatting>
  <conditionalFormatting sqref="BT3:BT61">
    <cfRule type="expression" dxfId="1053" priority="4631" stopIfTrue="1">
      <formula>$BT3&lt;0</formula>
    </cfRule>
    <cfRule type="expression" dxfId="1052" priority="4713" stopIfTrue="1">
      <formula>$BN3="A"</formula>
    </cfRule>
    <cfRule type="expression" dxfId="1051" priority="4714" stopIfTrue="1">
      <formula>$BN3="V"</formula>
    </cfRule>
    <cfRule type="expression" dxfId="1050" priority="4715" stopIfTrue="1">
      <formula>$BN3="R"</formula>
    </cfRule>
    <cfRule type="expression" dxfId="1049" priority="4716" stopIfTrue="1">
      <formula>$BN3="L"</formula>
    </cfRule>
    <cfRule type="expression" dxfId="1048" priority="4717" stopIfTrue="1">
      <formula>$BN3="N"</formula>
    </cfRule>
    <cfRule type="expression" dxfId="1047" priority="4718" stopIfTrue="1">
      <formula>$BN3="G"</formula>
    </cfRule>
  </conditionalFormatting>
  <conditionalFormatting sqref="CB3:CB61">
    <cfRule type="expression" dxfId="1046" priority="2938" stopIfTrue="1">
      <formula>$BO3="A"</formula>
    </cfRule>
    <cfRule type="expression" dxfId="1045" priority="2940" stopIfTrue="1">
      <formula>$BO3="V"</formula>
    </cfRule>
    <cfRule type="expression" dxfId="1044" priority="2941" stopIfTrue="1">
      <formula>$BO3="R"</formula>
    </cfRule>
    <cfRule type="expression" dxfId="1043" priority="2942" stopIfTrue="1">
      <formula>$BO3="L"</formula>
    </cfRule>
    <cfRule type="expression" dxfId="1042" priority="2943" stopIfTrue="1">
      <formula>$BO3="N"</formula>
    </cfRule>
    <cfRule type="expression" dxfId="1041" priority="2944" stopIfTrue="1">
      <formula>$BO3="G"</formula>
    </cfRule>
  </conditionalFormatting>
  <conditionalFormatting sqref="AK2">
    <cfRule type="expression" dxfId="1040" priority="462">
      <formula>COUNTIF(AK2,"*/*")</formula>
    </cfRule>
    <cfRule type="expression" dxfId="1039" priority="463">
      <formula>AK2="*/*"</formula>
    </cfRule>
  </conditionalFormatting>
  <conditionalFormatting sqref="BJ3:BJ61">
    <cfRule type="expression" dxfId="1038" priority="368" stopIfTrue="1">
      <formula>$DH3</formula>
    </cfRule>
  </conditionalFormatting>
  <conditionalFormatting sqref="CF3:CF61">
    <cfRule type="expression" dxfId="1037" priority="337" stopIfTrue="1">
      <formula>$DG3="R"</formula>
    </cfRule>
    <cfRule type="expression" dxfId="1036" priority="338" stopIfTrue="1">
      <formula>$DG3="A"</formula>
    </cfRule>
    <cfRule type="expression" dxfId="1035" priority="339" stopIfTrue="1">
      <formula>$DG3="V"</formula>
    </cfRule>
    <cfRule type="expression" dxfId="1034" priority="340" stopIfTrue="1">
      <formula>$DG3="N"</formula>
    </cfRule>
  </conditionalFormatting>
  <conditionalFormatting sqref="BI3:BI61">
    <cfRule type="expression" dxfId="1033" priority="1559789" stopIfTrue="1">
      <formula>AND($BI3&gt;$AZ3,ISNUMBER($BI3),ISNUMBER($AZ3))</formula>
    </cfRule>
    <cfRule type="expression" dxfId="1032" priority="1559790" stopIfTrue="1">
      <formula>AND($BI3&lt;$AY3,ISNUMBER($BI3),ISNUMBER($AY3))</formula>
    </cfRule>
    <cfRule type="expression" dxfId="1031" priority="1559791" stopIfTrue="1">
      <formula>AND($BI3=$BJ3,ISNUMBER($BI3))</formula>
    </cfRule>
    <cfRule type="expression" dxfId="1030" priority="1559792" stopIfTrue="1">
      <formula>AND($BI3&lt;$BJ3,ISNUMBER($BI3))</formula>
    </cfRule>
    <cfRule type="expression" dxfId="1029" priority="1559793" stopIfTrue="1">
      <formula>AND($BI3&gt;$BJ3,ISNUMBER($BI3))</formula>
    </cfRule>
  </conditionalFormatting>
  <conditionalFormatting sqref="AL3:AL61">
    <cfRule type="expression" dxfId="1028" priority="1559798" stopIfTrue="1">
      <formula>AND($AL3&lt;&gt;"",$AL3&lt;$BJ3)</formula>
    </cfRule>
    <cfRule type="expression" dxfId="1027" priority="1559799" stopIfTrue="1">
      <formula>AND($AL3&lt;&gt;"",$AL3&gt;$BJ3)</formula>
    </cfRule>
  </conditionalFormatting>
  <conditionalFormatting sqref="B3:B61">
    <cfRule type="expression" dxfId="1026" priority="1561414" stopIfTrue="1">
      <formula>SUMPRODUCT(--($A3&amp;$B3=$A$3:$A$61&amp;$B$3:$B$61))&gt;1</formula>
    </cfRule>
    <cfRule type="expression" dxfId="1025" priority="1561415">
      <formula>RIGHT($B3,1)=" "</formula>
    </cfRule>
  </conditionalFormatting>
  <conditionalFormatting sqref="EG3:NI61">
    <cfRule type="expression" dxfId="1024" priority="3">
      <formula>EG3=""</formula>
    </cfRule>
  </conditionalFormatting>
  <conditionalFormatting sqref="EG3:NI61">
    <cfRule type="expression" dxfId="1023" priority="2">
      <formula>EG$2*1=$CS3</formula>
    </cfRule>
  </conditionalFormatting>
  <conditionalFormatting sqref="EG3:NI61">
    <cfRule type="expression" dxfId="1022" priority="1">
      <formula>EG$2*1=$CT3</formula>
    </cfRule>
  </conditionalFormatting>
  <dataValidations count="19">
    <dataValidation allowBlank="1" showErrorMessage="1" errorTitle="Validación" error="Esta celda sólo puede alojar números mayores a cero, vuelva a intentar" promptTitle="Validación" sqref="CN3:CO61 AT3:AV61"/>
    <dataValidation type="list" allowBlank="1" errorTitle="Validación" error="Esta celda sólo puede alojar números mayores a cero, vuelva a intentar" promptTitle="Validación" sqref="CI3:CI61">
      <formula1>SeleccionCalendariosNueva</formula1>
    </dataValidation>
    <dataValidation errorStyle="warning" allowBlank="1" showInputMessage="1" showErrorMessage="1" error="No se pueden ingresar códigos repetidos en una hoja" sqref="B3:E61 DM3:DM61 BG3:BG61"/>
    <dataValidation type="decimal" allowBlank="1" showErrorMessage="1" errorTitle="Validación" error="Esta celda sólo puede alojar números mayores a cero, vuelva a intentar" promptTitle="Validación" sqref="BF3:BF61">
      <formula1>0</formula1>
      <formula2>1</formula2>
    </dataValidation>
    <dataValidation type="decimal" operator="greaterThanOrEqual" allowBlank="1" showInputMessage="1" showErrorMessage="1" sqref="BP3:BP61">
      <formula1>0</formula1>
    </dataValidation>
    <dataValidation type="decimal" operator="greaterThanOrEqual" allowBlank="1" showInputMessage="1" showErrorMessage="1" error="Esta celda sólo puede alojar números mayores a cero, vuelva a intentar" sqref="BJ3:BJ61">
      <formula1>0</formula1>
    </dataValidation>
    <dataValidation type="whole" operator="greaterThanOrEqual" allowBlank="1" showErrorMessage="1" errorTitle="Validación" error="El valor tiene que cer mayor que cero." promptTitle="Validación" sqref="BC3:BC61">
      <formula1>1</formula1>
    </dataValidation>
    <dataValidation type="whole" allowBlank="1" showErrorMessage="1" errorTitle="Validación" error="Esta celda sólo puede alojar números mayores a cero, vuelva a intentar" promptTitle="Validación" sqref="AR3:AS61">
      <formula1>0</formula1>
      <formula2>1.11111111111111E+21</formula2>
    </dataValidation>
    <dataValidation type="list" allowBlank="1" showDropDown="1" showErrorMessage="1" errorTitle="Validación" error="Esta celda sólo puede alojar números mayores a cero, vuelva a intentar" promptTitle="Validación" sqref="BH3:BH61">
      <formula1>RangoCausas</formula1>
    </dataValidation>
    <dataValidation type="list" allowBlank="1" showDropDown="1" showInputMessage="1" showErrorMessage="1" sqref="AW3:AW61">
      <formula1>ListaProveedores</formula1>
    </dataValidation>
    <dataValidation type="list" allowBlank="1" showDropDown="1" showInputMessage="1" showErrorMessage="1" sqref="AX3:AX61">
      <formula1>ListaPerfiles</formula1>
    </dataValidation>
    <dataValidation type="list" errorStyle="warning" allowBlank="1" showDropDown="1" showInputMessage="1" showErrorMessage="1" error="No se pueden ingresar códigos repetidos en una hoja" sqref="A3:A61">
      <formula1>BodegasPermitidas</formula1>
    </dataValidation>
    <dataValidation type="whole" operator="greaterThanOrEqual" allowBlank="1" showInputMessage="1" showErrorMessage="1" sqref="BQ3:BR61">
      <formula1>0</formula1>
    </dataValidation>
    <dataValidation type="list" allowBlank="1" showDropDown="1" showErrorMessage="1" errorTitle="Validación" error="Esta celda tiene que ser un múltiplo de la Unidad de Empaque" promptTitle="Validación" sqref="BB3:BB61">
      <formula1>ListaNombresPedidoMinimo</formula1>
    </dataValidation>
    <dataValidation type="list" allowBlank="1" showDropDown="1" showErrorMessage="1" errorTitle="Validación" error="La Unidad de Empaque tiene que ser submúltiplo del Pedido Mínimo." promptTitle="Validación" sqref="BE3:BE61">
      <formula1>"+,-,="</formula1>
    </dataValidation>
    <dataValidation type="decimal" operator="greaterThanOrEqual" allowBlank="1" showErrorMessage="1" errorTitle="Validación" error="Esta celda sólo puede alojar números mayores a cero, vuelva a intentar" promptTitle="Validación" sqref="AY3:AZ61 CH3:CH61 BI3:BI61">
      <formula1>0</formula1>
    </dataValidation>
    <dataValidation type="decimal" allowBlank="1" showErrorMessage="1" errorTitle="Validación" error="Esta celda sólo puede alojar números mayores a cero, vuelva a intentar" promptTitle="Validación" sqref="AN3:AQ61 BK3:BK61">
      <formula1>0</formula1>
      <formula2>1.11111111111111E+21</formula2>
    </dataValidation>
    <dataValidation type="custom" operator="greaterThan" allowBlank="1" showErrorMessage="1" errorTitle="Validación" error="La Unidad de Empaque tiene que ser submúltiplo del Pedido Mínimo." promptTitle="Validación" sqref="BD3:BD61">
      <formula1>IF(BA3&lt;&gt;1,MOD(BA3,BD3)=0,1)</formula1>
    </dataValidation>
    <dataValidation type="custom" allowBlank="1" showErrorMessage="1" errorTitle="Validación" error="El Pedid Min tiene que ser un múltiplo de la Unidad de Empaque." promptTitle="Validación" sqref="BA3:BA61">
      <formula1>IF(BA3&lt;&gt;1,MOD(BA3,BD3)=0,1)</formula1>
    </dataValidation>
  </dataValidations>
  <printOptions horizontalCentered="1" verticalCentered="1"/>
  <pageMargins left="0.78740157480314965" right="0.78740157480314965" top="1.93" bottom="0.96" header="0" footer="0"/>
  <pageSetup paperSize="9" scale="10" orientation="portrait" r:id="rId1"/>
  <headerFooter alignWithMargins="0"/>
  <drawing r:id="rId2"/>
  <legacyDrawing r:id="rId3"/>
  <controls>
    <mc:AlternateContent xmlns:mc="http://schemas.openxmlformats.org/markup-compatibility/2006">
      <mc:Choice Requires="x14">
        <control shapeId="651144" r:id="rId4" name="cmdAlertas">
          <controlPr defaultSize="0" print="0" autoLine="0" r:id="rId5">
            <anchor>
              <from>
                <xdr:col>1</xdr:col>
                <xdr:colOff>1038225</xdr:colOff>
                <xdr:row>0</xdr:row>
                <xdr:rowOff>1104900</xdr:rowOff>
              </from>
              <to>
                <xdr:col>3</xdr:col>
                <xdr:colOff>161925</xdr:colOff>
                <xdr:row>0</xdr:row>
                <xdr:rowOff>1343025</xdr:rowOff>
              </to>
            </anchor>
          </controlPr>
        </control>
      </mc:Choice>
      <mc:Fallback>
        <control shapeId="651144" r:id="rId4" name="cmdAlertas"/>
      </mc:Fallback>
    </mc:AlternateContent>
    <mc:AlternateContent xmlns:mc="http://schemas.openxmlformats.org/markup-compatibility/2006">
      <mc:Choice Requires="x14">
        <control shapeId="400005" r:id="rId6" name="cmdDuplicados">
          <controlPr defaultSize="0" print="0" autoLine="0" r:id="rId7">
            <anchor>
              <from>
                <xdr:col>1</xdr:col>
                <xdr:colOff>28575</xdr:colOff>
                <xdr:row>0</xdr:row>
                <xdr:rowOff>1104900</xdr:rowOff>
              </from>
              <to>
                <xdr:col>1</xdr:col>
                <xdr:colOff>266700</xdr:colOff>
                <xdr:row>0</xdr:row>
                <xdr:rowOff>1343025</xdr:rowOff>
              </to>
            </anchor>
          </controlPr>
        </control>
      </mc:Choice>
      <mc:Fallback>
        <control shapeId="400005" r:id="rId6" name="cmdDuplicados"/>
      </mc:Fallback>
    </mc:AlternateContent>
    <mc:AlternateContent xmlns:mc="http://schemas.openxmlformats.org/markup-compatibility/2006">
      <mc:Choice Requires="x14">
        <control shapeId="399810" r:id="rId8" name="cmdBuscarTexto">
          <controlPr defaultSize="0" disabled="1" autoLine="0" r:id="rId9">
            <anchor>
              <from>
                <xdr:col>5</xdr:col>
                <xdr:colOff>571500</xdr:colOff>
                <xdr:row>0</xdr:row>
                <xdr:rowOff>904875</xdr:rowOff>
              </from>
              <to>
                <xdr:col>5</xdr:col>
                <xdr:colOff>762000</xdr:colOff>
                <xdr:row>0</xdr:row>
                <xdr:rowOff>1095375</xdr:rowOff>
              </to>
            </anchor>
          </controlPr>
        </control>
      </mc:Choice>
      <mc:Fallback>
        <control shapeId="399810" r:id="rId8" name="cmdBuscarTexto"/>
      </mc:Fallback>
    </mc:AlternateContent>
    <mc:AlternateContent xmlns:mc="http://schemas.openxmlformats.org/markup-compatibility/2006">
      <mc:Choice Requires="x14">
        <control shapeId="352980" r:id="rId10" name="txtDiasGrafico">
          <controlPr defaultSize="0" autoLine="0" r:id="rId11">
            <anchor>
              <from>
                <xdr:col>3</xdr:col>
                <xdr:colOff>1200150</xdr:colOff>
                <xdr:row>0</xdr:row>
                <xdr:rowOff>647700</xdr:rowOff>
              </from>
              <to>
                <xdr:col>5</xdr:col>
                <xdr:colOff>333375</xdr:colOff>
                <xdr:row>0</xdr:row>
                <xdr:rowOff>885825</xdr:rowOff>
              </to>
            </anchor>
          </controlPr>
        </control>
      </mc:Choice>
      <mc:Fallback>
        <control shapeId="352980" r:id="rId10" name="txtDiasGrafico"/>
      </mc:Fallback>
    </mc:AlternateContent>
    <mc:AlternateContent xmlns:mc="http://schemas.openxmlformats.org/markup-compatibility/2006">
      <mc:Choice Requires="x14">
        <control shapeId="46011" r:id="rId12" name="cmdAyuda">
          <controlPr defaultSize="0" print="0" autoLine="0" r:id="rId13">
            <anchor>
              <from>
                <xdr:col>5</xdr:col>
                <xdr:colOff>504825</xdr:colOff>
                <xdr:row>0</xdr:row>
                <xdr:rowOff>647700</xdr:rowOff>
              </from>
              <to>
                <xdr:col>5</xdr:col>
                <xdr:colOff>752475</xdr:colOff>
                <xdr:row>0</xdr:row>
                <xdr:rowOff>885825</xdr:rowOff>
              </to>
            </anchor>
          </controlPr>
        </control>
      </mc:Choice>
      <mc:Fallback>
        <control shapeId="46011" r:id="rId12" name="cmdAyuda"/>
      </mc:Fallback>
    </mc:AlternateContent>
    <mc:AlternateContent xmlns:mc="http://schemas.openxmlformats.org/markup-compatibility/2006">
      <mc:Choice Requires="x14">
        <control shapeId="1366" r:id="rId14" name="cboCampos">
          <controlPr locked="0" defaultSize="0" autoLine="0" r:id="rId15">
            <anchor>
              <from>
                <xdr:col>3</xdr:col>
                <xdr:colOff>504825</xdr:colOff>
                <xdr:row>0</xdr:row>
                <xdr:rowOff>1095375</xdr:rowOff>
              </from>
              <to>
                <xdr:col>5</xdr:col>
                <xdr:colOff>752475</xdr:colOff>
                <xdr:row>0</xdr:row>
                <xdr:rowOff>1323975</xdr:rowOff>
              </to>
            </anchor>
          </controlPr>
        </control>
      </mc:Choice>
      <mc:Fallback>
        <control shapeId="1366" r:id="rId14" name="cboCampos"/>
      </mc:Fallback>
    </mc:AlternateContent>
    <mc:AlternateContent xmlns:mc="http://schemas.openxmlformats.org/markup-compatibility/2006">
      <mc:Choice Requires="x14">
        <control shapeId="1352" r:id="rId16" name="cmdPosponer">
          <controlPr defaultSize="0" autoLine="0" r:id="rId17">
            <anchor>
              <from>
                <xdr:col>3</xdr:col>
                <xdr:colOff>704850</xdr:colOff>
                <xdr:row>0</xdr:row>
                <xdr:rowOff>647700</xdr:rowOff>
              </from>
              <to>
                <xdr:col>3</xdr:col>
                <xdr:colOff>933450</xdr:colOff>
                <xdr:row>0</xdr:row>
                <xdr:rowOff>885825</xdr:rowOff>
              </to>
            </anchor>
          </controlPr>
        </control>
      </mc:Choice>
      <mc:Fallback>
        <control shapeId="1352" r:id="rId16" name="cmdPosponer"/>
      </mc:Fallback>
    </mc:AlternateContent>
    <mc:AlternateContent xmlns:mc="http://schemas.openxmlformats.org/markup-compatibility/2006">
      <mc:Choice Requires="x14">
        <control shapeId="1324" r:id="rId18" name="cmdOrdenamientoMultiple">
          <controlPr defaultSize="0" autoLine="0" r:id="rId19">
            <anchor>
              <from>
                <xdr:col>0</xdr:col>
                <xdr:colOff>800100</xdr:colOff>
                <xdr:row>0</xdr:row>
                <xdr:rowOff>1104900</xdr:rowOff>
              </from>
              <to>
                <xdr:col>0</xdr:col>
                <xdr:colOff>1057275</xdr:colOff>
                <xdr:row>0</xdr:row>
                <xdr:rowOff>1343025</xdr:rowOff>
              </to>
            </anchor>
          </controlPr>
        </control>
      </mc:Choice>
      <mc:Fallback>
        <control shapeId="1324" r:id="rId18" name="cmdOrdenamientoMultiple"/>
      </mc:Fallback>
    </mc:AlternateContent>
    <mc:AlternateContent xmlns:mc="http://schemas.openxmlformats.org/markup-compatibility/2006">
      <mc:Choice Requires="x14">
        <control shapeId="1289" r:id="rId20" name="cmdDescendente">
          <controlPr defaultSize="0" print="0" autoLine="0" r:id="rId21">
            <anchor>
              <from>
                <xdr:col>0</xdr:col>
                <xdr:colOff>628650</xdr:colOff>
                <xdr:row>0</xdr:row>
                <xdr:rowOff>1104900</xdr:rowOff>
              </from>
              <to>
                <xdr:col>0</xdr:col>
                <xdr:colOff>800100</xdr:colOff>
                <xdr:row>0</xdr:row>
                <xdr:rowOff>1343025</xdr:rowOff>
              </to>
            </anchor>
          </controlPr>
        </control>
      </mc:Choice>
      <mc:Fallback>
        <control shapeId="1289" r:id="rId20" name="cmdDescendente"/>
      </mc:Fallback>
    </mc:AlternateContent>
    <mc:AlternateContent xmlns:mc="http://schemas.openxmlformats.org/markup-compatibility/2006">
      <mc:Choice Requires="x14">
        <control shapeId="1287" r:id="rId22" name="cmdAscendente">
          <controlPr defaultSize="0" print="0" autoLine="0" r:id="rId23">
            <anchor>
              <from>
                <xdr:col>0</xdr:col>
                <xdr:colOff>466725</xdr:colOff>
                <xdr:row>0</xdr:row>
                <xdr:rowOff>1104900</xdr:rowOff>
              </from>
              <to>
                <xdr:col>0</xdr:col>
                <xdr:colOff>638175</xdr:colOff>
                <xdr:row>0</xdr:row>
                <xdr:rowOff>1343025</xdr:rowOff>
              </to>
            </anchor>
          </controlPr>
        </control>
      </mc:Choice>
      <mc:Fallback>
        <control shapeId="1287" r:id="rId22" name="cmdAscendente"/>
      </mc:Fallback>
    </mc:AlternateContent>
    <mc:AlternateContent xmlns:mc="http://schemas.openxmlformats.org/markup-compatibility/2006">
      <mc:Choice Requires="x14">
        <control shapeId="1259" r:id="rId24" name="cmdIrPrimerCampo">
          <controlPr defaultSize="0" print="0" autoLine="0" r:id="rId25">
            <anchor>
              <from>
                <xdr:col>1</xdr:col>
                <xdr:colOff>361950</xdr:colOff>
                <xdr:row>0</xdr:row>
                <xdr:rowOff>885825</xdr:rowOff>
              </from>
              <to>
                <xdr:col>1</xdr:col>
                <xdr:colOff>647700</xdr:colOff>
                <xdr:row>0</xdr:row>
                <xdr:rowOff>1123950</xdr:rowOff>
              </to>
            </anchor>
          </controlPr>
        </control>
      </mc:Choice>
      <mc:Fallback>
        <control shapeId="1259" r:id="rId24" name="cmdIrPrimerCampo"/>
      </mc:Fallback>
    </mc:AlternateContent>
    <mc:AlternateContent xmlns:mc="http://schemas.openxmlformats.org/markup-compatibility/2006">
      <mc:Choice Requires="x14">
        <control shapeId="1249" r:id="rId26" name="cmdIrFinHorizonte">
          <controlPr defaultSize="0" print="0" autoLine="0" r:id="rId27">
            <anchor>
              <from>
                <xdr:col>1</xdr:col>
                <xdr:colOff>1152525</xdr:colOff>
                <xdr:row>0</xdr:row>
                <xdr:rowOff>885825</xdr:rowOff>
              </from>
              <to>
                <xdr:col>3</xdr:col>
                <xdr:colOff>257175</xdr:colOff>
                <xdr:row>0</xdr:row>
                <xdr:rowOff>1123950</xdr:rowOff>
              </to>
            </anchor>
          </controlPr>
        </control>
      </mc:Choice>
      <mc:Fallback>
        <control shapeId="1249" r:id="rId26" name="cmdIrFinHorizonte"/>
      </mc:Fallback>
    </mc:AlternateContent>
    <mc:AlternateContent xmlns:mc="http://schemas.openxmlformats.org/markup-compatibility/2006">
      <mc:Choice Requires="x14">
        <control shapeId="1244" r:id="rId28" name="cmdFiltraErrores">
          <controlPr defaultSize="0" print="0" autoLine="0" r:id="rId29">
            <anchor>
              <from>
                <xdr:col>3</xdr:col>
                <xdr:colOff>276225</xdr:colOff>
                <xdr:row>0</xdr:row>
                <xdr:rowOff>885825</xdr:rowOff>
              </from>
              <to>
                <xdr:col>3</xdr:col>
                <xdr:colOff>504825</xdr:colOff>
                <xdr:row>0</xdr:row>
                <xdr:rowOff>1123950</xdr:rowOff>
              </to>
            </anchor>
          </controlPr>
        </control>
      </mc:Choice>
      <mc:Fallback>
        <control shapeId="1244" r:id="rId28" name="cmdFiltraErrores"/>
      </mc:Fallback>
    </mc:AlternateContent>
    <mc:AlternateContent xmlns:mc="http://schemas.openxmlformats.org/markup-compatibility/2006">
      <mc:Choice Requires="x14">
        <control shapeId="1194" r:id="rId30" name="cmdRefrescaFormulas">
          <controlPr defaultSize="0" print="0" autoLine="0" r:id="rId31">
            <anchor>
              <from>
                <xdr:col>1</xdr:col>
                <xdr:colOff>990600</xdr:colOff>
                <xdr:row>0</xdr:row>
                <xdr:rowOff>647700</xdr:rowOff>
              </from>
              <to>
                <xdr:col>3</xdr:col>
                <xdr:colOff>57150</xdr:colOff>
                <xdr:row>0</xdr:row>
                <xdr:rowOff>885825</xdr:rowOff>
              </to>
            </anchor>
          </controlPr>
        </control>
      </mc:Choice>
      <mc:Fallback>
        <control shapeId="1194" r:id="rId30" name="cmdRefrescaFormulas"/>
      </mc:Fallback>
    </mc:AlternateContent>
    <mc:AlternateContent xmlns:mc="http://schemas.openxmlformats.org/markup-compatibility/2006">
      <mc:Choice Requires="x14">
        <control shapeId="1186" r:id="rId32" name="cmdAccionesEstacionalidad">
          <controlPr defaultSize="0" autoLine="0" r:id="rId33">
            <anchor>
              <from>
                <xdr:col>3</xdr:col>
                <xdr:colOff>276225</xdr:colOff>
                <xdr:row>0</xdr:row>
                <xdr:rowOff>647700</xdr:rowOff>
              </from>
              <to>
                <xdr:col>3</xdr:col>
                <xdr:colOff>523875</xdr:colOff>
                <xdr:row>0</xdr:row>
                <xdr:rowOff>885825</xdr:rowOff>
              </to>
            </anchor>
          </controlPr>
        </control>
      </mc:Choice>
      <mc:Fallback>
        <control shapeId="1186" r:id="rId32" name="cmdAccionesEstacionalidad"/>
      </mc:Fallback>
    </mc:AlternateContent>
    <mc:AlternateContent xmlns:mc="http://schemas.openxmlformats.org/markup-compatibility/2006">
      <mc:Choice Requires="x14">
        <control shapeId="1175" r:id="rId34" name="cmdCambiaBuffer">
          <controlPr defaultSize="0" autoLine="0" r:id="rId35">
            <anchor>
              <from>
                <xdr:col>3</xdr:col>
                <xdr:colOff>514350</xdr:colOff>
                <xdr:row>0</xdr:row>
                <xdr:rowOff>647700</xdr:rowOff>
              </from>
              <to>
                <xdr:col>3</xdr:col>
                <xdr:colOff>733425</xdr:colOff>
                <xdr:row>0</xdr:row>
                <xdr:rowOff>885825</xdr:rowOff>
              </to>
            </anchor>
          </controlPr>
        </control>
      </mc:Choice>
      <mc:Fallback>
        <control shapeId="1175" r:id="rId34" name="cmdCambiaBuffer"/>
      </mc:Fallback>
    </mc:AlternateContent>
    <mc:AlternateContent xmlns:mc="http://schemas.openxmlformats.org/markup-compatibility/2006">
      <mc:Choice Requires="x14">
        <control shapeId="1168" r:id="rId36" name="cmdIrInicioHorizonte">
          <controlPr defaultSize="0" print="0" autoLine="0" r:id="rId37">
            <anchor>
              <from>
                <xdr:col>1</xdr:col>
                <xdr:colOff>895350</xdr:colOff>
                <xdr:row>0</xdr:row>
                <xdr:rowOff>885825</xdr:rowOff>
              </from>
              <to>
                <xdr:col>1</xdr:col>
                <xdr:colOff>1181100</xdr:colOff>
                <xdr:row>0</xdr:row>
                <xdr:rowOff>1123950</xdr:rowOff>
              </to>
            </anchor>
          </controlPr>
        </control>
      </mc:Choice>
      <mc:Fallback>
        <control shapeId="1168" r:id="rId36" name="cmdIrInicioHorizonte"/>
      </mc:Fallback>
    </mc:AlternateContent>
    <mc:AlternateContent xmlns:mc="http://schemas.openxmlformats.org/markup-compatibility/2006">
      <mc:Choice Requires="x14">
        <control shapeId="1082" r:id="rId38" name="cmdControl">
          <controlPr defaultSize="0" print="0" autoLine="0" r:id="rId39">
            <anchor>
              <from>
                <xdr:col>1</xdr:col>
                <xdr:colOff>428625</xdr:colOff>
                <xdr:row>0</xdr:row>
                <xdr:rowOff>647700</xdr:rowOff>
              </from>
              <to>
                <xdr:col>1</xdr:col>
                <xdr:colOff>723900</xdr:colOff>
                <xdr:row>0</xdr:row>
                <xdr:rowOff>885825</xdr:rowOff>
              </to>
            </anchor>
          </controlPr>
        </control>
      </mc:Choice>
      <mc:Fallback>
        <control shapeId="1082" r:id="rId38" name="cmdControl"/>
      </mc:Fallback>
    </mc:AlternateContent>
    <mc:AlternateContent xmlns:mc="http://schemas.openxmlformats.org/markup-compatibility/2006">
      <mc:Choice Requires="x14">
        <control shapeId="1106" r:id="rId40" name="cmdTransitoDetallado">
          <controlPr defaultSize="0" print="0" autoLine="0" r:id="rId41">
            <anchor>
              <from>
                <xdr:col>3</xdr:col>
                <xdr:colOff>38100</xdr:colOff>
                <xdr:row>0</xdr:row>
                <xdr:rowOff>647700</xdr:rowOff>
              </from>
              <to>
                <xdr:col>3</xdr:col>
                <xdr:colOff>295275</xdr:colOff>
                <xdr:row>0</xdr:row>
                <xdr:rowOff>885825</xdr:rowOff>
              </to>
            </anchor>
          </controlPr>
        </control>
      </mc:Choice>
      <mc:Fallback>
        <control shapeId="1106" r:id="rId40" name="cmdTransitoDetallado"/>
      </mc:Fallback>
    </mc:AlternateContent>
    <mc:AlternateContent xmlns:mc="http://schemas.openxmlformats.org/markup-compatibility/2006">
      <mc:Choice Requires="x14">
        <control shapeId="1111" r:id="rId42" name="cmdOcultaColumna">
          <controlPr defaultSize="0" autoLine="0" r:id="rId43">
            <anchor>
              <from>
                <xdr:col>0</xdr:col>
                <xdr:colOff>523875</xdr:colOff>
                <xdr:row>0</xdr:row>
                <xdr:rowOff>885825</xdr:rowOff>
              </from>
              <to>
                <xdr:col>0</xdr:col>
                <xdr:colOff>781050</xdr:colOff>
                <xdr:row>0</xdr:row>
                <xdr:rowOff>1123950</xdr:rowOff>
              </to>
            </anchor>
          </controlPr>
        </control>
      </mc:Choice>
      <mc:Fallback>
        <control shapeId="1111" r:id="rId42" name="cmdOcultaColumna"/>
      </mc:Fallback>
    </mc:AlternateContent>
    <mc:AlternateContent xmlns:mc="http://schemas.openxmlformats.org/markup-compatibility/2006">
      <mc:Choice Requires="x14">
        <control shapeId="1118" r:id="rId44" name="cmdVistas">
          <controlPr defaultSize="0" autoLine="0" r:id="rId45">
            <anchor>
              <from>
                <xdr:col>0</xdr:col>
                <xdr:colOff>228600</xdr:colOff>
                <xdr:row>0</xdr:row>
                <xdr:rowOff>885825</xdr:rowOff>
              </from>
              <to>
                <xdr:col>0</xdr:col>
                <xdr:colOff>523875</xdr:colOff>
                <xdr:row>0</xdr:row>
                <xdr:rowOff>1123950</xdr:rowOff>
              </to>
            </anchor>
          </controlPr>
        </control>
      </mc:Choice>
      <mc:Fallback>
        <control shapeId="1118" r:id="rId44" name="cmdVistas"/>
      </mc:Fallback>
    </mc:AlternateContent>
    <mc:AlternateContent xmlns:mc="http://schemas.openxmlformats.org/markup-compatibility/2006">
      <mc:Choice Requires="x14">
        <control shapeId="1166" r:id="rId46" name="cmdHOY">
          <controlPr defaultSize="0" print="0" autoLine="0" r:id="rId47">
            <anchor>
              <from>
                <xdr:col>1</xdr:col>
                <xdr:colOff>628650</xdr:colOff>
                <xdr:row>0</xdr:row>
                <xdr:rowOff>885825</xdr:rowOff>
              </from>
              <to>
                <xdr:col>1</xdr:col>
                <xdr:colOff>914400</xdr:colOff>
                <xdr:row>0</xdr:row>
                <xdr:rowOff>1123950</xdr:rowOff>
              </to>
            </anchor>
          </controlPr>
        </control>
      </mc:Choice>
      <mc:Fallback>
        <control shapeId="1166" r:id="rId46" name="cmdHOY"/>
      </mc:Fallback>
    </mc:AlternateContent>
    <mc:AlternateContent xmlns:mc="http://schemas.openxmlformats.org/markup-compatibility/2006">
      <mc:Choice Requires="x14">
        <control shapeId="1167" r:id="rId48" name="cmdBufferHoy">
          <controlPr defaultSize="0" print="0" autoLine="0" r:id="rId49">
            <anchor>
              <from>
                <xdr:col>1</xdr:col>
                <xdr:colOff>76200</xdr:colOff>
                <xdr:row>0</xdr:row>
                <xdr:rowOff>885825</xdr:rowOff>
              </from>
              <to>
                <xdr:col>1</xdr:col>
                <xdr:colOff>361950</xdr:colOff>
                <xdr:row>0</xdr:row>
                <xdr:rowOff>1123950</xdr:rowOff>
              </to>
            </anchor>
          </controlPr>
        </control>
      </mc:Choice>
      <mc:Fallback>
        <control shapeId="1167" r:id="rId48" name="cmdBufferHoy"/>
      </mc:Fallback>
    </mc:AlternateContent>
    <mc:AlternateContent xmlns:mc="http://schemas.openxmlformats.org/markup-compatibility/2006">
      <mc:Choice Requires="x14">
        <control shapeId="1193" r:id="rId50" name="cmdGraficoDinamico">
          <controlPr defaultSize="0" autoLine="0" r:id="rId51">
            <anchor>
              <from>
                <xdr:col>3</xdr:col>
                <xdr:colOff>942975</xdr:colOff>
                <xdr:row>0</xdr:row>
                <xdr:rowOff>647700</xdr:rowOff>
              </from>
              <to>
                <xdr:col>3</xdr:col>
                <xdr:colOff>1171575</xdr:colOff>
                <xdr:row>0</xdr:row>
                <xdr:rowOff>885825</xdr:rowOff>
              </to>
            </anchor>
          </controlPr>
        </control>
      </mc:Choice>
      <mc:Fallback>
        <control shapeId="1193" r:id="rId50" name="cmdGraficoDinamico"/>
      </mc:Fallback>
    </mc:AlternateContent>
    <mc:AlternateContent xmlns:mc="http://schemas.openxmlformats.org/markup-compatibility/2006">
      <mc:Choice Requires="x14">
        <control shapeId="1196" r:id="rId52" name="cmdRefrescaTodo">
          <controlPr defaultSize="0" print="0" autoLine="0" r:id="rId53">
            <anchor>
              <from>
                <xdr:col>1</xdr:col>
                <xdr:colOff>723900</xdr:colOff>
                <xdr:row>0</xdr:row>
                <xdr:rowOff>647700</xdr:rowOff>
              </from>
              <to>
                <xdr:col>1</xdr:col>
                <xdr:colOff>981075</xdr:colOff>
                <xdr:row>0</xdr:row>
                <xdr:rowOff>885825</xdr:rowOff>
              </to>
            </anchor>
          </controlPr>
        </control>
      </mc:Choice>
      <mc:Fallback>
        <control shapeId="1196" r:id="rId52" name="cmdRefrescaTodo"/>
      </mc:Fallback>
    </mc:AlternateContent>
    <mc:AlternateContent xmlns:mc="http://schemas.openxmlformats.org/markup-compatibility/2006">
      <mc:Choice Requires="x14">
        <control shapeId="1199" r:id="rId54" name="txtBusqueda">
          <controlPr defaultSize="0" print="0" disabled="1" autoLine="0" r:id="rId55">
            <anchor>
              <from>
                <xdr:col>3</xdr:col>
                <xdr:colOff>504825</xdr:colOff>
                <xdr:row>0</xdr:row>
                <xdr:rowOff>885825</xdr:rowOff>
              </from>
              <to>
                <xdr:col>5</xdr:col>
                <xdr:colOff>752475</xdr:colOff>
                <xdr:row>0</xdr:row>
                <xdr:rowOff>1114425</xdr:rowOff>
              </to>
            </anchor>
          </controlPr>
        </control>
      </mc:Choice>
      <mc:Fallback>
        <control shapeId="1199" r:id="rId54" name="txtBusqueda"/>
      </mc:Fallback>
    </mc:AlternateContent>
    <mc:AlternateContent xmlns:mc="http://schemas.openxmlformats.org/markup-compatibility/2006">
      <mc:Choice Requires="x14">
        <control shapeId="1204" r:id="rId56" name="cmdQuitaFiltros">
          <controlPr defaultSize="0" print="0" autoLine="0" r:id="rId57">
            <anchor>
              <from>
                <xdr:col>0</xdr:col>
                <xdr:colOff>228600</xdr:colOff>
                <xdr:row>0</xdr:row>
                <xdr:rowOff>1104900</xdr:rowOff>
              </from>
              <to>
                <xdr:col>0</xdr:col>
                <xdr:colOff>466725</xdr:colOff>
                <xdr:row>0</xdr:row>
                <xdr:rowOff>1343025</xdr:rowOff>
              </to>
            </anchor>
          </controlPr>
        </control>
      </mc:Choice>
      <mc:Fallback>
        <control shapeId="1204" r:id="rId56" name="cmdQuitaFiltros"/>
      </mc:Fallback>
    </mc:AlternateContent>
    <mc:AlternateContent xmlns:mc="http://schemas.openxmlformats.org/markup-compatibility/2006">
      <mc:Choice Requires="x14">
        <control shapeId="1284" r:id="rId58" name="cmdAnadeRegistro">
          <controlPr defaultSize="0" print="0" autoLine="0" r:id="rId59">
            <anchor>
              <from>
                <xdr:col>0</xdr:col>
                <xdr:colOff>790575</xdr:colOff>
                <xdr:row>0</xdr:row>
                <xdr:rowOff>885825</xdr:rowOff>
              </from>
              <to>
                <xdr:col>0</xdr:col>
                <xdr:colOff>981075</xdr:colOff>
                <xdr:row>0</xdr:row>
                <xdr:rowOff>1123950</xdr:rowOff>
              </to>
            </anchor>
          </controlPr>
        </control>
      </mc:Choice>
      <mc:Fallback>
        <control shapeId="1284" r:id="rId58" name="cmdAnadeRegistro"/>
      </mc:Fallback>
    </mc:AlternateContent>
    <mc:AlternateContent xmlns:mc="http://schemas.openxmlformats.org/markup-compatibility/2006">
      <mc:Choice Requires="x14">
        <control shapeId="1285" r:id="rId60" name="cmdBorraRegistro">
          <controlPr defaultSize="0" print="0" autoLine="0" r:id="rId61">
            <anchor>
              <from>
                <xdr:col>0</xdr:col>
                <xdr:colOff>962025</xdr:colOff>
                <xdr:row>0</xdr:row>
                <xdr:rowOff>885825</xdr:rowOff>
              </from>
              <to>
                <xdr:col>0</xdr:col>
                <xdr:colOff>1152525</xdr:colOff>
                <xdr:row>0</xdr:row>
                <xdr:rowOff>1123950</xdr:rowOff>
              </to>
            </anchor>
          </controlPr>
        </control>
      </mc:Choice>
      <mc:Fallback>
        <control shapeId="1285" r:id="rId60" name="cmdBorraRegistro"/>
      </mc:Fallback>
    </mc:AlternateContent>
    <mc:AlternateContent xmlns:mc="http://schemas.openxmlformats.org/markup-compatibility/2006">
      <mc:Choice Requires="x14">
        <control shapeId="1292" r:id="rId62" name="cmdEliminaColumnaHorizonte">
          <controlPr defaultSize="0" print="0" autoLine="0" r:id="rId63">
            <anchor>
              <from>
                <xdr:col>0</xdr:col>
                <xdr:colOff>1152525</xdr:colOff>
                <xdr:row>0</xdr:row>
                <xdr:rowOff>885825</xdr:rowOff>
              </from>
              <to>
                <xdr:col>1</xdr:col>
                <xdr:colOff>76200</xdr:colOff>
                <xdr:row>0</xdr:row>
                <xdr:rowOff>1123950</xdr:rowOff>
              </to>
            </anchor>
          </controlPr>
        </control>
      </mc:Choice>
      <mc:Fallback>
        <control shapeId="1292" r:id="rId62" name="cmdEliminaColumnaHorizonte"/>
      </mc:Fallback>
    </mc:AlternateContent>
    <mc:AlternateContent xmlns:mc="http://schemas.openxmlformats.org/markup-compatibility/2006">
      <mc:Choice Requires="x14">
        <control shapeId="1298" r:id="rId64" name="cmdOrdenaColores">
          <controlPr defaultSize="0" print="0" autoLine="0" r:id="rId65">
            <anchor>
              <from>
                <xdr:col>0</xdr:col>
                <xdr:colOff>1038225</xdr:colOff>
                <xdr:row>0</xdr:row>
                <xdr:rowOff>1104900</xdr:rowOff>
              </from>
              <to>
                <xdr:col>1</xdr:col>
                <xdr:colOff>28575</xdr:colOff>
                <xdr:row>0</xdr:row>
                <xdr:rowOff>1343025</xdr:rowOff>
              </to>
            </anchor>
          </controlPr>
        </control>
      </mc:Choice>
      <mc:Fallback>
        <control shapeId="1298" r:id="rId64" name="cmdOrdenaColores"/>
      </mc:Fallback>
    </mc:AlternateContent>
    <mc:AlternateContent xmlns:mc="http://schemas.openxmlformats.org/markup-compatibility/2006">
      <mc:Choice Requires="x14">
        <control shapeId="400139" r:id="rId66" name="cmdCeldasVisibles">
          <controlPr defaultSize="0" print="0" autoLine="0" r:id="rId67">
            <anchor>
              <from>
                <xdr:col>1</xdr:col>
                <xdr:colOff>342900</xdr:colOff>
                <xdr:row>0</xdr:row>
                <xdr:rowOff>1104900</xdr:rowOff>
              </from>
              <to>
                <xdr:col>1</xdr:col>
                <xdr:colOff>581025</xdr:colOff>
                <xdr:row>0</xdr:row>
                <xdr:rowOff>1343025</xdr:rowOff>
              </to>
            </anchor>
          </controlPr>
        </control>
      </mc:Choice>
      <mc:Fallback>
        <control shapeId="400139" r:id="rId66" name="cmdCeldasVisibles"/>
      </mc:Fallback>
    </mc:AlternateContent>
    <mc:AlternateContent xmlns:mc="http://schemas.openxmlformats.org/markup-compatibility/2006">
      <mc:Choice Requires="x14">
        <control shapeId="400160" r:id="rId68" name="cmdCeldasBlanco">
          <controlPr defaultSize="0" print="0" autoLine="0" r:id="rId69">
            <anchor>
              <from>
                <xdr:col>1</xdr:col>
                <xdr:colOff>581025</xdr:colOff>
                <xdr:row>0</xdr:row>
                <xdr:rowOff>1104900</xdr:rowOff>
              </from>
              <to>
                <xdr:col>1</xdr:col>
                <xdr:colOff>819150</xdr:colOff>
                <xdr:row>0</xdr:row>
                <xdr:rowOff>1343025</xdr:rowOff>
              </to>
            </anchor>
          </controlPr>
        </control>
      </mc:Choice>
      <mc:Fallback>
        <control shapeId="400160" r:id="rId68" name="cmdCeldasBlanco"/>
      </mc:Fallback>
    </mc:AlternateContent>
    <mc:AlternateContent xmlns:mc="http://schemas.openxmlformats.org/markup-compatibility/2006">
      <mc:Choice Requires="x14">
        <control shapeId="400204" r:id="rId70" name="cmdDesprotege">
          <controlPr defaultSize="0" print="0" autoLine="0" r:id="rId71">
            <anchor>
              <from>
                <xdr:col>0</xdr:col>
                <xdr:colOff>962025</xdr:colOff>
                <xdr:row>0</xdr:row>
                <xdr:rowOff>885825</xdr:rowOff>
              </from>
              <to>
                <xdr:col>0</xdr:col>
                <xdr:colOff>1152525</xdr:colOff>
                <xdr:row>0</xdr:row>
                <xdr:rowOff>1123950</xdr:rowOff>
              </to>
            </anchor>
          </controlPr>
        </control>
      </mc:Choice>
      <mc:Fallback>
        <control shapeId="400204" r:id="rId70" name="cmdDesprotege"/>
      </mc:Fallback>
    </mc:AlternateContent>
    <mc:AlternateContent xmlns:mc="http://schemas.openxmlformats.org/markup-compatibility/2006">
      <mc:Choice Requires="x14">
        <control shapeId="1025880" r:id="rId72" name="TempCombo">
          <controlPr defaultSize="0" autoLine="0" autoPict="0" r:id="rId73">
            <anchor moveWithCells="1">
              <from>
                <xdr:col>0</xdr:col>
                <xdr:colOff>123825</xdr:colOff>
                <xdr:row>0</xdr:row>
                <xdr:rowOff>123825</xdr:rowOff>
              </from>
              <to>
                <xdr:col>0</xdr:col>
                <xdr:colOff>123825</xdr:colOff>
                <xdr:row>0</xdr:row>
                <xdr:rowOff>352425</xdr:rowOff>
              </to>
            </anchor>
          </controlPr>
        </control>
      </mc:Choice>
      <mc:Fallback>
        <control shapeId="1025880" r:id="rId72" name="TempCombo"/>
      </mc:Fallback>
    </mc:AlternateContent>
  </controls>
  <tableParts count="1">
    <tablePart r:id="rId74"/>
  </tableParts>
  <extLst>
    <ext xmlns:x15="http://schemas.microsoft.com/office/spreadsheetml/2010/11/main" uri="{3A4CF648-6AED-40f4-86FF-DC5316D8AED3}">
      <x14:slicerList xmlns:x14="http://schemas.microsoft.com/office/spreadsheetml/2009/9/main">
        <x14:slicer r:id="rId75"/>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tabColor rgb="FF6600CC"/>
  </sheetPr>
  <dimension ref="A1:DZ15"/>
  <sheetViews>
    <sheetView showGridLines="0" topLeftCell="CU1" zoomScale="80" zoomScaleNormal="80" workbookViewId="0">
      <selection activeCell="DR4" sqref="DR4"/>
    </sheetView>
  </sheetViews>
  <sheetFormatPr baseColWidth="10" defaultColWidth="11.42578125" defaultRowHeight="12.75" x14ac:dyDescent="0.2"/>
  <cols>
    <col min="3" max="4" width="11.42578125" style="68"/>
    <col min="5" max="5" width="21.7109375" style="68" bestFit="1" customWidth="1"/>
    <col min="9" max="12" width="11.42578125" style="68"/>
    <col min="14" max="25" width="11.42578125" style="68"/>
    <col min="28" max="30" width="11.42578125" style="68"/>
    <col min="39" max="39" width="11.42578125" style="68"/>
    <col min="42" max="43" width="11.42578125" style="68"/>
    <col min="46" max="53" width="11.42578125" style="68"/>
    <col min="56" max="56" width="11.42578125" style="68"/>
    <col min="57" max="57" width="13.5703125" bestFit="1" customWidth="1"/>
    <col min="58" max="58" width="13.5703125" style="68" customWidth="1"/>
    <col min="61" max="61" width="11.42578125" style="68"/>
    <col min="71" max="71" width="12" bestFit="1" customWidth="1"/>
    <col min="72" max="72" width="13" bestFit="1" customWidth="1"/>
    <col min="76" max="78" width="11.42578125" style="68"/>
    <col min="82" max="85" width="11.42578125" style="68"/>
    <col min="95" max="95" width="11.42578125" style="68"/>
    <col min="98" max="98" width="11.42578125" style="68"/>
    <col min="102" max="105" width="11.42578125" style="68"/>
    <col min="108" max="108" width="11.42578125" style="68"/>
    <col min="110" max="110" width="8.42578125" bestFit="1" customWidth="1"/>
    <col min="114" max="125" width="11.42578125" style="68"/>
    <col min="126" max="126" width="12.7109375" style="68" bestFit="1" customWidth="1"/>
    <col min="127" max="127" width="12.7109375" style="68" customWidth="1"/>
    <col min="128" max="128" width="11.42578125" style="68"/>
  </cols>
  <sheetData>
    <row r="1" spans="1:130" s="68" customFormat="1" x14ac:dyDescent="0.2"/>
    <row r="2" spans="1:130" ht="63.75" x14ac:dyDescent="0.2">
      <c r="A2" s="52" t="s">
        <v>63</v>
      </c>
      <c r="B2" s="52" t="s">
        <v>3</v>
      </c>
      <c r="C2" s="53" t="s">
        <v>352</v>
      </c>
      <c r="D2" s="53" t="s">
        <v>350</v>
      </c>
      <c r="E2" s="53" t="s">
        <v>351</v>
      </c>
      <c r="F2" s="53" t="s">
        <v>4</v>
      </c>
      <c r="G2" s="52" t="s">
        <v>23</v>
      </c>
      <c r="H2" s="52" t="s">
        <v>37</v>
      </c>
      <c r="I2" s="52" t="s">
        <v>279</v>
      </c>
      <c r="J2" s="52" t="s">
        <v>281</v>
      </c>
      <c r="K2" s="52" t="s">
        <v>282</v>
      </c>
      <c r="L2" s="52" t="s">
        <v>283</v>
      </c>
      <c r="M2" s="52" t="s">
        <v>22</v>
      </c>
      <c r="N2" s="52" t="s">
        <v>284</v>
      </c>
      <c r="O2" s="52" t="s">
        <v>280</v>
      </c>
      <c r="P2" s="52" t="s">
        <v>290</v>
      </c>
      <c r="Q2" s="52" t="s">
        <v>1314</v>
      </c>
      <c r="R2" s="52" t="s">
        <v>285</v>
      </c>
      <c r="S2" s="52" t="s">
        <v>286</v>
      </c>
      <c r="T2" s="52" t="s">
        <v>287</v>
      </c>
      <c r="U2" s="52" t="s">
        <v>288</v>
      </c>
      <c r="V2" s="52" t="s">
        <v>289</v>
      </c>
      <c r="W2" s="52" t="s">
        <v>403</v>
      </c>
      <c r="X2" s="52" t="s">
        <v>489</v>
      </c>
      <c r="Y2" s="52" t="s">
        <v>490</v>
      </c>
      <c r="Z2" s="52" t="s">
        <v>58</v>
      </c>
      <c r="AA2" s="52" t="s">
        <v>59</v>
      </c>
      <c r="AB2" s="52" t="s">
        <v>491</v>
      </c>
      <c r="AC2" s="52" t="s">
        <v>492</v>
      </c>
      <c r="AD2" s="52" t="s">
        <v>493</v>
      </c>
      <c r="AE2" s="52" t="s">
        <v>209</v>
      </c>
      <c r="AF2" s="52" t="s">
        <v>210</v>
      </c>
      <c r="AG2" s="52" t="s">
        <v>211</v>
      </c>
      <c r="AH2" s="48" t="s">
        <v>118</v>
      </c>
      <c r="AI2" s="48" t="s">
        <v>97</v>
      </c>
      <c r="AJ2" s="48" t="s">
        <v>485</v>
      </c>
      <c r="AK2" s="49" t="s">
        <v>615</v>
      </c>
      <c r="AL2" s="49" t="s">
        <v>13</v>
      </c>
      <c r="AM2" s="49" t="s">
        <v>379</v>
      </c>
      <c r="AN2" s="49" t="s">
        <v>256</v>
      </c>
      <c r="AO2" s="83" t="s">
        <v>372</v>
      </c>
      <c r="AP2" s="83" t="s">
        <v>373</v>
      </c>
      <c r="AQ2" s="83" t="s">
        <v>377</v>
      </c>
      <c r="AR2" s="83" t="s">
        <v>374</v>
      </c>
      <c r="AS2" s="83" t="s">
        <v>488</v>
      </c>
      <c r="AT2" s="28" t="s">
        <v>391</v>
      </c>
      <c r="AU2" s="28" t="s">
        <v>392</v>
      </c>
      <c r="AV2" s="28" t="s">
        <v>393</v>
      </c>
      <c r="AW2" s="71" t="s">
        <v>48</v>
      </c>
      <c r="AX2" s="71" t="s">
        <v>234</v>
      </c>
      <c r="AY2" s="71" t="s">
        <v>122</v>
      </c>
      <c r="AZ2" s="71" t="s">
        <v>375</v>
      </c>
      <c r="BA2" s="72" t="s">
        <v>130</v>
      </c>
      <c r="BB2" s="72" t="s">
        <v>522</v>
      </c>
      <c r="BC2" s="72" t="s">
        <v>353</v>
      </c>
      <c r="BD2" s="72" t="s">
        <v>263</v>
      </c>
      <c r="BE2" s="72" t="s">
        <v>521</v>
      </c>
      <c r="BF2" s="72" t="s">
        <v>131</v>
      </c>
      <c r="BG2" s="72" t="s">
        <v>205</v>
      </c>
      <c r="BH2" s="69" t="s">
        <v>52</v>
      </c>
      <c r="BI2" s="121" t="s">
        <v>14</v>
      </c>
      <c r="BJ2" s="121" t="s">
        <v>9</v>
      </c>
      <c r="BK2" s="121" t="s">
        <v>255</v>
      </c>
      <c r="BL2" s="122" t="s">
        <v>15</v>
      </c>
      <c r="BM2" s="122" t="s">
        <v>5</v>
      </c>
      <c r="BN2" s="39" t="s">
        <v>77</v>
      </c>
      <c r="BO2" s="122" t="s">
        <v>267</v>
      </c>
      <c r="BP2" s="121" t="s">
        <v>136</v>
      </c>
      <c r="BQ2" s="121" t="s">
        <v>165</v>
      </c>
      <c r="BR2" s="121" t="s">
        <v>164</v>
      </c>
      <c r="BS2" s="39" t="s">
        <v>53</v>
      </c>
      <c r="BT2" s="39" t="s">
        <v>16</v>
      </c>
      <c r="BU2" s="39" t="s">
        <v>17</v>
      </c>
      <c r="BV2" s="39" t="s">
        <v>10</v>
      </c>
      <c r="BW2" s="39" t="s">
        <v>354</v>
      </c>
      <c r="BX2" s="39" t="s">
        <v>355</v>
      </c>
      <c r="BY2" s="39" t="s">
        <v>356</v>
      </c>
      <c r="BZ2" s="39" t="s">
        <v>26</v>
      </c>
      <c r="CA2" s="39" t="s">
        <v>12</v>
      </c>
      <c r="CB2" s="39" t="s">
        <v>11</v>
      </c>
      <c r="CC2" s="39" t="s">
        <v>370</v>
      </c>
      <c r="CD2" s="39" t="s">
        <v>389</v>
      </c>
      <c r="CE2" s="39" t="s">
        <v>390</v>
      </c>
      <c r="CF2" s="121" t="s">
        <v>24</v>
      </c>
      <c r="CG2" s="39" t="s">
        <v>106</v>
      </c>
      <c r="CH2" s="71" t="s">
        <v>25</v>
      </c>
      <c r="CI2" s="71" t="s">
        <v>163</v>
      </c>
      <c r="CJ2" s="70" t="s">
        <v>200</v>
      </c>
      <c r="CK2" s="70" t="s">
        <v>199</v>
      </c>
      <c r="CL2" s="73" t="s">
        <v>107</v>
      </c>
      <c r="CM2" s="73" t="s">
        <v>108</v>
      </c>
      <c r="CN2" s="73" t="s">
        <v>35</v>
      </c>
      <c r="CO2" s="73" t="s">
        <v>371</v>
      </c>
      <c r="CP2" s="73" t="s">
        <v>105</v>
      </c>
      <c r="CQ2" s="73" t="s">
        <v>78</v>
      </c>
      <c r="CR2" s="121" t="s">
        <v>88</v>
      </c>
      <c r="CS2" s="73" t="s">
        <v>115</v>
      </c>
      <c r="CT2" s="73" t="s">
        <v>116</v>
      </c>
      <c r="CU2" s="73" t="s">
        <v>404</v>
      </c>
      <c r="CV2" s="73" t="s">
        <v>405</v>
      </c>
      <c r="CW2" s="73" t="s">
        <v>613</v>
      </c>
      <c r="CX2" s="73" t="s">
        <v>614</v>
      </c>
      <c r="CY2" s="73" t="s">
        <v>121</v>
      </c>
      <c r="CZ2" s="40" t="s">
        <v>8</v>
      </c>
      <c r="DA2" s="41" t="s">
        <v>6</v>
      </c>
      <c r="DB2" s="42" t="s">
        <v>0</v>
      </c>
      <c r="DC2" s="43" t="s">
        <v>1</v>
      </c>
      <c r="DD2" s="44" t="s">
        <v>2</v>
      </c>
      <c r="DE2" s="45" t="s">
        <v>7</v>
      </c>
      <c r="DF2" s="196" t="s">
        <v>378</v>
      </c>
      <c r="DG2" s="196" t="s">
        <v>618</v>
      </c>
      <c r="DH2" s="196" t="s">
        <v>616</v>
      </c>
      <c r="DI2" s="123" t="s">
        <v>380</v>
      </c>
      <c r="DJ2" s="123" t="s">
        <v>557</v>
      </c>
      <c r="DK2" s="123" t="s">
        <v>123</v>
      </c>
      <c r="DL2" s="123" t="s">
        <v>117</v>
      </c>
      <c r="DM2" s="123" t="s">
        <v>524</v>
      </c>
      <c r="DN2" s="123" t="s">
        <v>264</v>
      </c>
      <c r="DO2" s="123" t="s">
        <v>539</v>
      </c>
      <c r="DP2" s="123" t="s">
        <v>540</v>
      </c>
      <c r="DQ2" s="123" t="s">
        <v>546</v>
      </c>
      <c r="DR2" s="244" t="s">
        <v>547</v>
      </c>
      <c r="DS2" s="123" t="s">
        <v>551</v>
      </c>
      <c r="DT2" s="123" t="s">
        <v>552</v>
      </c>
      <c r="DU2" s="123" t="s">
        <v>543</v>
      </c>
      <c r="DV2" s="123" t="s">
        <v>617</v>
      </c>
      <c r="DW2" s="123" t="s">
        <v>649</v>
      </c>
      <c r="DX2" s="123" t="s">
        <v>545</v>
      </c>
      <c r="DY2" s="202" t="s">
        <v>260</v>
      </c>
      <c r="DZ2" s="202" t="s">
        <v>394</v>
      </c>
    </row>
    <row r="3" spans="1:130" ht="15" x14ac:dyDescent="0.25">
      <c r="C3" s="86"/>
      <c r="D3">
        <f>IFERROR(IF(ISTEXT(CONTROL[[#This Row],[Coincidir Bodega Codigo en Inventario]]),INDEX(tbl_inventario_con_descripciones[COD_VINCULADO_ip],1*SUBSTITUTE(CONTROL[[#This Row],[Coincidir Bodega Codigo en Inventario]],"P","")),INDEX(tbl_inventario_con_descripciones[COD_VINCULADO_ip],CONTROL[[#This Row],[Coincidir Bodega Codigo en Inventario]])),"")</f>
        <v>0</v>
      </c>
      <c r="E3">
        <f>IFERROR(IF(ISTEXT(CONTROL[[#This Row],[Coincidir Bodega Codigo en Inventario]]),INDEX(tbl_inventario_con_descripciones[COD_GENERICO_ip],1*SUBSTITUTE(CONTROL[[#This Row],[Coincidir Bodega Codigo en Inventario]],"P","")),INDEX(tbl_inventario_con_descripciones[COD_GENERICO_ip],CONTROL[[#This Row],[Coincidir Bodega Codigo en Inventario]])),"")</f>
        <v>0</v>
      </c>
      <c r="F3">
        <f>IFERROR(IF(ISTEXT(CONTROL[[#This Row],[Coincidir Bodega Codigo en Inventario]]),INDEX(tbl_inventario_con_descripciones[DESCRIPCION],1*SUBSTITUTE(CONTROL[[#This Row],[Coincidir Bodega Codigo en Inventario]],"P","")),INDEX(tbl_inventario_con_descripciones[DESCRIPCION],CONTROL[[#This Row],[Coincidir Bodega Codigo en Inventario]])),"")</f>
        <v>0</v>
      </c>
      <c r="G3">
        <f>IFERROR(IF(ISTEXT(CONTROL[[#This Row],[Coincidir Bodega Codigo en Inventario]]),INDEX(tbl_inventario_con_descripciones[GRUPO_ip],1*SUBSTITUTE(CONTROL[[#This Row],[Coincidir Bodega Codigo en Inventario]],"P","")),INDEX(tbl_inventario_con_descripciones[GRUPO_ip],CONTROL[[#This Row],[Coincidir Bodega Codigo en Inventario]])),"")</f>
        <v>0</v>
      </c>
      <c r="H3">
        <f>IFERROR(IF(ISTEXT(CONTROL[[#This Row],[Coincidir Bodega Codigo en Inventario]]),INDEX(tbl_inventario_con_descripciones[LINEA_ip],1*SUBSTITUTE(CONTROL[[#This Row],[Coincidir Bodega Codigo en Inventario]],"P","")),INDEX(tbl_inventario_con_descripciones[LINEA_ip],CONTROL[[#This Row],[Coincidir Bodega Codigo en Inventario]])),"")</f>
        <v>0</v>
      </c>
      <c r="I3">
        <f>IFERROR(IF(ISTEXT(CONTROL[[#This Row],[Coincidir Bodega Codigo en Inventario]]),INDEX(tbl_inventario_con_descripciones[SUBLINEA_ip],1*SUBSTITUTE(CONTROL[[#This Row],[Coincidir Bodega Codigo en Inventario]],"P","")),INDEX(tbl_inventario_con_descripciones[SUBLINEA_ip],CONTROL[[#This Row],[Coincidir Bodega Codigo en Inventario]])),"")</f>
        <v>0</v>
      </c>
      <c r="J3">
        <f>IFERROR(IF(ISTEXT(CONTROL[[#This Row],[Coincidir Bodega Codigo en Inventario]]),INDEX(tbl_inventario_con_descripciones[FAMILIA_ip],1*SUBSTITUTE(CONTROL[[#This Row],[Coincidir Bodega Codigo en Inventario]],"P","")),INDEX(tbl_inventario_con_descripciones[FAMILIA_ip],CONTROL[[#This Row],[Coincidir Bodega Codigo en Inventario]])),"")</f>
        <v>0</v>
      </c>
      <c r="K3">
        <f>IFERROR(IF(ISTEXT(CONTROL[[#This Row],[Coincidir Bodega Codigo en Inventario]]),INDEX(tbl_inventario_con_descripciones[SUBFAMILIA_ip],1*SUBSTITUTE(CONTROL[[#This Row],[Coincidir Bodega Codigo en Inventario]],"P","")),INDEX(tbl_inventario_con_descripciones[SUBFAMILIA_ip],CONTROL[[#This Row],[Coincidir Bodega Codigo en Inventario]])),"")</f>
        <v>0</v>
      </c>
      <c r="L3">
        <f>IFERROR(IF(ISTEXT(CONTROL[[#This Row],[Coincidir Bodega Codigo en Inventario]]),INDEX(tbl_inventario_con_descripciones[CATEGORIA_ip],1*SUBSTITUTE(CONTROL[[#This Row],[Coincidir Bodega Codigo en Inventario]],"P","")),INDEX(tbl_inventario_con_descripciones[CATEGORIA_ip],CONTROL[[#This Row],[Coincidir Bodega Codigo en Inventario]])),"")</f>
        <v>0</v>
      </c>
      <c r="M3">
        <f>IFERROR(IF(ISTEXT(CONTROL[[#This Row],[Coincidir Bodega Codigo en Inventario]]),INDEX(tbl_inventario_con_descripciones[TIPO_ip],1*SUBSTITUTE(CONTROL[[#This Row],[Coincidir Bodega Codigo en Inventario]],"P","")),INDEX(tbl_inventario_con_descripciones[TIPO_ip],CONTROL[[#This Row],[Coincidir Bodega Codigo en Inventario]])),"")</f>
        <v>0</v>
      </c>
      <c r="N3">
        <f>IFERROR(IF(ISTEXT(CONTROL[[#This Row],[Coincidir Bodega Codigo en Inventario]]),INDEX(tbl_inventario_con_descripciones[MARCA_ip],1*SUBSTITUTE(CONTROL[[#This Row],[Coincidir Bodega Codigo en Inventario]],"P","")),INDEX(tbl_inventario_con_descripciones[MARCA_ip],CONTROL[[#This Row],[Coincidir Bodega Codigo en Inventario]])),"")</f>
        <v>0</v>
      </c>
      <c r="O3">
        <f>IFERROR(IF(ISTEXT(CONTROL[[#This Row],[Coincidir Bodega Codigo en Inventario]]),INDEX(tbl_inventario_con_descripciones[MODELO_ip],1*SUBSTITUTE(CONTROL[[#This Row],[Coincidir Bodega Codigo en Inventario]],"P","")),INDEX(tbl_inventario_con_descripciones[MODELO_ip],CONTROL[[#This Row],[Coincidir Bodega Codigo en Inventario]])),"")</f>
        <v>0</v>
      </c>
      <c r="P3">
        <f>IFERROR(IF(ISTEXT(CONTROL[[#This Row],[Coincidir Bodega Codigo en Inventario]]),INDEX(tbl_inventario_con_descripciones[CAT_MANAGEMENT_ip],1*SUBSTITUTE(CONTROL[[#This Row],[Coincidir Bodega Codigo en Inventario]],"P","")),INDEX(tbl_inventario_con_descripciones[CAT_MANAGEMENT_ip],CONTROL[[#This Row],[Coincidir Bodega Codigo en Inventario]])),"")</f>
        <v>0</v>
      </c>
      <c r="Q3" s="68">
        <f>IFERROR(IF(ISTEXT(CONTROL[[#This Row],[Coincidir Bodega Codigo en Inventario]]),INDEX(tbl_inventario_con_descripciones[NUEVO_ip],1*SUBSTITUTE(CONTROL[[#This Row],[Coincidir Bodega Codigo en Inventario]],"P","")),INDEX(tbl_inventario_con_descripciones[NUEVO_ip],CONTROL[[#This Row],[Coincidir Bodega Codigo en Inventario]])),0)</f>
        <v>0</v>
      </c>
      <c r="R3"/>
      <c r="S3"/>
      <c r="T3"/>
      <c r="U3"/>
      <c r="V3"/>
      <c r="W3" s="68">
        <f>IFERROR(IF(ISTEXT(CONTROL[[#This Row],[Coincidir Bodega Codigo en Inventario]]),INDEX(tbl_inventario_con_descripciones[ESTATUS_ip],1*SUBSTITUTE(CONTROL[[#This Row],[Coincidir Bodega Codigo en Inventario]],"P","")),INDEX(tbl_inventario_con_descripciones[ESTATUS_ip],CONTROL[[#This Row],[Coincidir Bodega Codigo en Inventario]])),"")</f>
        <v>0</v>
      </c>
      <c r="X3" s="68">
        <f>IFERROR(IF(ISTEXT(CONTROL[[#This Row],[Coincidir Bodega Codigo en Inventario]]),INDEX(tbl_inventario_con_descripciones[CLASIFICACION_ip],1*SUBSTITUTE(CONTROL[[#This Row],[Coincidir Bodega Codigo en Inventario]],"P","")),INDEX(tbl_inventario_con_descripciones[CLASIFICACION_ip],CONTROL[[#This Row],[Coincidir Bodega Codigo en Inventario]])),"")</f>
        <v>0</v>
      </c>
      <c r="Y3" s="68">
        <f>IFERROR(IF(ISTEXT(CONTROL[[#This Row],[Coincidir Bodega Codigo en Inventario]]),INDEX(tbl_inventario_con_descripciones[RESPONSABLE_ip],1*SUBSTITUTE(CONTROL[[#This Row],[Coincidir Bodega Codigo en Inventario]],"P","")),INDEX(tbl_inventario_con_descripciones[RESPONSABLE_ip],CONTROL[[#This Row],[Coincidir Bodega Codigo en Inventario]])),"")</f>
        <v>0</v>
      </c>
      <c r="Z3">
        <f>IFERROR(IF(ISTEXT(CONTROL[[#This Row],[Coincidir Bodega Codigo en Inventario]]),1*INDEX(tbl_inventario_con_descripciones[CTV_ip],1*SUBSTITUTE(CONTROL[[#This Row],[Coincidir Bodega Codigo en Inventario]],"P","")),1*INDEX(tbl_inventario_con_descripciones[CTV_ip],CONTROL[[#This Row],[Coincidir Bodega Codigo en Inventario]])),0)</f>
        <v>0</v>
      </c>
      <c r="AA3">
        <f>IFERROR(IF(ISTEXT(CONTROL[[#This Row],[Coincidir Bodega Codigo en Inventario]]),1*INDEX(tbl_inventario_con_descripciones[PRECIO_ip],1*SUBSTITUTE(CONTROL[[#This Row],[Coincidir Bodega Codigo en Inventario]],"P","")),1*INDEX(tbl_inventario_con_descripciones[PRECIO_ip],CONTROL[[#This Row],[Coincidir Bodega Codigo en Inventario]])),0)</f>
        <v>0</v>
      </c>
      <c r="AB3" s="68">
        <f>IFERROR(IF(ISTEXT(CONTROL[[#This Row],[Coincidir Bodega Codigo en Inventario]]),1*INDEX(tbl_inventario_con_descripciones[PRECIO PROMOCION_ip],1*SUBSTITUTE(CONTROL[[#This Row],[Coincidir Bodega Codigo en Inventario]],"P","")),1*INDEX(tbl_inventario_con_descripciones[COD_VINCULADO_ip],CONTROL[[#This Row],[Coincidir Bodega Codigo en Inventario]])),0)</f>
        <v>0</v>
      </c>
      <c r="AC3" s="68">
        <f>IFERROR(IF(ISTEXT(CONTROL[[#This Row],[Coincidir Bodega Codigo en Inventario]]),1*INDEX(tbl_inventario_con_descripciones[PROMOCION_DESDE_ip],1*SUBSTITUTE(CONTROL[[#This Row],[Coincidir Bodega Codigo en Inventario]],"P","")),1*INDEX(tbl_inventario_con_descripciones[PROMOCION_DESDE_ip],CONTROL[[#This Row],[Coincidir Bodega Codigo en Inventario]])),0)</f>
        <v>0</v>
      </c>
      <c r="AD3" s="68">
        <f>IFERROR(IF(ISTEXT(CONTROL[[#This Row],[Coincidir Bodega Codigo en Inventario]]),1*INDEX(tbl_inventario_con_descripciones[PROMOCION_HASTA_ip],1*SUBSTITUTE(CONTROL[[#This Row],[Coincidir Bodega Codigo en Inventario]],"P","")),1*INDEX(tbl_inventario_con_descripciones[PROMOCION_HASTA_ip],CONTROL[[#This Row],[Coincidir Bodega Codigo en Inventario]])),0)</f>
        <v>0</v>
      </c>
      <c r="AE3">
        <f>IF(ISERROR(CONTROL[[#This Row],[Coincidir Bodega Perfil]]),"",INDEX(Tabla_ArchivosBodegas[HORIZONTE],CONTROL[[#This Row],[Coincidir Bodega Perfil]],1))</f>
        <v>24</v>
      </c>
      <c r="AF3">
        <f>IF(ISERROR(CONTROL[[#This Row],[Coincidir Bodega Perfil]]),"",INDEX(Tabla_ArchivosBodegas[TIEMP SUMINIS],CONTROL[[#This Row],[Coincidir Bodega Perfil]],1))</f>
        <v>16</v>
      </c>
      <c r="AG3">
        <f>IF(ISERROR(CONTROL[[#This Row],[Coincidir Bodega Perfil]]),"",INDEX(Tabla_ArchivosBodegas[FREC REP],CONTROL[[#This Row],[Coincidir Bodega Perfil]],1))</f>
        <v>8</v>
      </c>
      <c r="AH3">
        <f>IF(CONTROL[[#This Row],[Calendario Estacional]]&lt;&gt;"",IF(IFERROR(SUMPRODUCT((--(CONTROL[[#This Row],[Perfil]]=Tabla_Est[Perfil])),(--(CONTROL[[#This Row],[Calendario Estacional]]=Tabla_Est[CALENDARIO])),Tabla_Est[Dentro de Cambios por Estacionalidad?])&lt;&gt;0,0),0,1),1)</f>
        <v>1</v>
      </c>
      <c r="AI3" t="str">
        <f ca="1">IF(AND(CONTROL[[#This Row],[NUEVO]]=0,CONTROL[[#This Row],[GDB]]=1,CONTROL[[#This Row],[Color]]&lt;&gt;"L",CONTROL[[#This Row],[No es Gris]]),IF(AND(OR(CONTROL[[#This Row],[Estado Reposiciones]]="OK",IFERROR(SEARCH("SAC",CONTROL[[#This Row],[Estado Reposiciones]]),FALSE)),LEFT(CONTROL[[#This Row],[Etapa]],5)="LIBRE"),"+-",IF(CONTROL[[#This Row],[Ult Cambio]]&lt;HOY,"-","")),"")</f>
        <v>-</v>
      </c>
      <c r="AJ3" s="68" t="str">
        <f ca="1">IF(CONTROL[[#This Row],[NUEVO]],"NUEVO",IF((CONTROL[[#This Row],[Ult Cambio]]+(CONTROL[[#This Row],[Horizonte]]*7))&gt;HOY,"SUSP"&amp;"-"&amp;(CONTROL[[#This Row],[Ult Cambio]]+(CONTROL[[#This Row],[Horizonte]]*7))-HOY,"LIBRE"&amp;"-"&amp;HOY-(CONTROL[[#This Row],[Ult Cambio]]+(CONTROL[[#This Row],[Horizonte]]*7))))</f>
        <v>SUSP-26</v>
      </c>
      <c r="AK3" t="str">
        <f ca="1">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MFR-73</v>
      </c>
      <c r="AL3">
        <f ca="1">IF(OR(HOY&lt;CONTROL[[#This Row],[Posponer GDB]],CONTROL[[#This Row],[Nuevo Buff Ingles]]&gt;(IF(ISNUMBER(CONTROL[[#This Row],[Buff Max]]),CONTROL[[#This Row],[Buff Max]],100000000000)),CONTROL[[#This Row],[Nuevo Buff Ingles]]&lt;CONTROL[[#This Row],[Buff Min]]),"",CONTROL[[#This Row],[Nuevo Buff Ingles]])</f>
        <v>0</v>
      </c>
      <c r="AM3" s="1" t="str">
        <f>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
      </c>
      <c r="AN3">
        <f>IFERROR(1*INDEX(tbl_inventario_con_descripciones[CONSUMO_ic],CONTROL[[#This Row],[Coincidir Bodega Codigo en Inventario]]),0)</f>
        <v>0</v>
      </c>
      <c r="AO3">
        <f>IF(CONTROL[[#This Row],[Consumo]]=0,0,CONTROL[[#This Row],[Buff Act]]/(CONTROL[[#This Row],[Consumo]]*4))</f>
        <v>3.3783783783783785</v>
      </c>
      <c r="AP3">
        <f>IF(CONTROL[[#This Row],[Consumo]]=0,0,CONTROL[[#This Row],[Inv Proy Act]]/(CONTROL[[#This Row],[Consumo]]*4))</f>
        <v>1.3513513513513513</v>
      </c>
      <c r="AQ3">
        <f>IF(CONTROL[[#This Row],[Consumo]]=0,0,CONTROL[[#This Row],[PEDID Min]]/(CONTROL[[#This Row],[Consumo]]*4))</f>
        <v>4.8262548262548263E-2</v>
      </c>
      <c r="AR3">
        <f ca="1">IF(CONTROL[[#This Row],[No es Gris]],SUMPRODUCT((--((HORIZONTE*1)&gt;(HOY-30))),(--((HORIZONTE*1)&lt;=HOY)),(--ISNUMBER(OFFSET(PRIMER_CAMPO,CONTROL[[#This Row],[Numero Fila]],0,1,COLUMNS(HORIZONTE)))),(--(OFFSET(PRIMER_CAMPO,CONTROL[[#This Row],[Numero Fila]],0,1,COLUMNS(HORIZONTE))=0))),0)</f>
        <v>0</v>
      </c>
      <c r="AS3" s="68">
        <f>IFERROR(INDEX(Tabla_Inventario[inv_ventas_perdidas],MATCH(INDEX(Tabla_Bodegas_Permitidas[COD_BODEGA],MATCH(CONTROL[[#This Row],[BODEGA]],Tabla_Bodegas_Permitidas[BODEGA],0),1)&amp;CONTROL[[#This Row],[CODIGO]],Tabla_Inventario[BODEGASKU],0),1),0)</f>
        <v>0</v>
      </c>
      <c r="AW3"/>
      <c r="AX3"/>
      <c r="AY3"/>
      <c r="AZ3"/>
      <c r="BA3"/>
      <c r="BB3" s="68"/>
      <c r="BD3"/>
      <c r="BE3" s="68"/>
      <c r="BF3"/>
      <c r="BI3" s="217">
        <f>ROUNDUP(IF(AND(CONTROL[[#This Row],[Acción Estacional]]="SÍ EST: Llenar buff anterior a estación, buff estacional y cambiar el buff actual.",LEFT(CONTROL[[#This Row],[Etapa Estacional]],7)="Aumento"),CONTROL[[#This Row],[Buff Act]]+((((1+INDEX(Tabla_Esta[% CAMBIO],MATCH(CONTROL[[#This Row],[Calendario Estacional]],Tabla_Esta[CALENDARIO],0)))*CONTROL[[#This Row],[Buff Act]])-CONTROL[[#This Row],[Buff Act]])*((MID(CONTROL[[#This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Estacional]],7)="Aumento"),CONTROL[[#This Row],[Buff Ant Estacion]]+((CONTROL[[#This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Estacional]],11)="Disminución"),CONTROL[[#This Row],[Buff Estacional]]-((CONTROL[[#This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Estacional]],1)+2))*1))),IF(CONTROL[[#This Row],[Acción Estacional]]="NO EST: Volver el buffer actual al buffer anterior a la estación.",CONTROL[[#This Row],[Buff Ant Estacion]],0)))),0)</f>
        <v>0</v>
      </c>
      <c r="BK3">
        <f>ROUNDUP(CONTROL[[#This Row],[Consumo]]*1.5*(CONTROL[[#This Row],[T Suministro]]+CONTROL[[#This Row],[Frec Repos]]),0)</f>
        <v>78</v>
      </c>
      <c r="BL3">
        <f>IF(CONTROL[[#This Row],[Buff Act]]=2,2,ROUND(CONTROL[[#This Row],[Buff Act]]*(1-((1-(INDEX(Tabla_ArchivosBodegas[PORCENT LINEA ROJA],MATCH(CONTROL[[#This Row],[Perfil]],Tabla_ArchivosBodegas[PERFIL],0),1)))/2)),0))</f>
        <v>47</v>
      </c>
      <c r="BM3">
        <f>IF(CONTROL[[#This Row],[Buff Act]]=1,0.5,ROUND(CONTROL[[#This Row],[Buff Act]]*((INDEX(Tabla_ArchivosBodegas[PORCENT LINEA ROJA],MATCH(CONTROL[[#This Row],[Perfil]],Tabla_ArchivosBodegas[PERFIL],0),1))),0))</f>
        <v>23</v>
      </c>
      <c r="BN3"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A</v>
      </c>
      <c r="BO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A</v>
      </c>
      <c r="BS3">
        <f>1000000000</f>
        <v>1000000000</v>
      </c>
      <c r="BT3">
        <f>IFERROR(IF(INDEX(Tabla_ArchivosBodegas[USA_FISICO],CONTROL[[#This Row],[Coincidir Bodega Perfil]]),IFERROR(1*INDEX(tbl_inventario_con_descripciones[FISICO_ii],CONTROL[[#This Row],[Coincidir Bodega Codigo en Inventario]]),0),0),0)</f>
        <v>0</v>
      </c>
      <c r="BU3">
        <f>IF(CONTROL[[#This Row],[Buff Act]]&lt;=0,0,IFERROR(ROUND((CONTROL[[#This Row],[Buff Act]]-CONTROL[[#This Row],[Inv Fís Act]])/CONTROL[[#This Row],[Buff Act]],2),0))</f>
        <v>0.6</v>
      </c>
      <c r="BV3">
        <f>IFERROR(IF(INDEX(Tabla_ArchivosBodegas[USA_TRANSITO],CONTROL[[#This Row],[Coincidir Bodega Perfil]])=1,IF(INDEX(Tabla_ArchivosBodegas[TIPO_TRANSITO],CONTROL[[#This Row],[Coincidir Bodega Perfil]])="ERP",IFERROR(1*INDEX(tbl_inventario_con_descripciones[TRANSITO_ii],CONTROL[[#This Row],[Coincidir Bodega Codigo en Inventario]]),0),IF(INDEX(Tabla_ArchivosBodegas[TIPO_TRANSITO],CONTROL[[#This Row],[Coincidir Bodega Perfil]])="Transferencias",INDEX(Tabla_TRANSFERENCIAS[TRANSITO],CONTROL[[#This Row],[Coincidir Bodega Codigo en Servicio]]),INDEX(Tabla_TRANSFERENCIAS[TRANSITO],CONTROL[[#This Row],[Coincidir Bodega Codigo en Servicio]])+INDEX(Tabla_Inventario[inv_transito],CONTROL[[#This Row],[Coincidir Bodega Codigo en Inventario]],1))),0),0)</f>
        <v>0</v>
      </c>
      <c r="BW3">
        <f>IFERROR(IF(INDEX(Tabla_ArchivosBodegas[USA_TRANSITO],CONTROL[[#This Row],[Coincidir Bodega Perfil]])=1,IFERROR(1*INDEX(tbl_inventario_con_descripciones[NEGOCIACION_ii],CONTROL[[#This Row],[Coincidir Bodega Codigo en Inventario]]),0),0),0)</f>
        <v>0</v>
      </c>
      <c r="BX3">
        <f>IFERROR(IF(INDEX(Tabla_ArchivosBodegas[USA_TRANSITO],CONTROL[[#This Row],[Coincidir Bodega Perfil]])=1,IFERROR(1*INDEX(tbl_inventario_con_descripciones[PRODUCCION_ii],CONTROL[[#This Row],[Coincidir Bodega Codigo en Inventario]]),0),0),0)</f>
        <v>0</v>
      </c>
      <c r="BY3">
        <f>IFERROR(IF(INDEX(Tabla_ArchivosBodegas[USA_TRANSITO],CONTROL[[#This Row],[Coincidir Bodega Perfil]])=1,IFERROR(1*INDEX(tbl_inventario_con_descripciones[EMBARCADO_ii],CONTROL[[#This Row],[Coincidir Bodega Codigo en Inventario]]),0),0),0)</f>
        <v>0</v>
      </c>
      <c r="BZ3">
        <f>IFERROR(IF(INDEX(Tabla_ArchivosBodegas[USA_COMPROMETIDO],CONTROL[[#This Row],[Coincidir Bodega Perfil]])=1,IF(INDEX(Tabla_ArchivosBodegas[TIPO_COMPROMETIDO],CONTROL[[#This Row],[Coincidir Bodega Perfil]])="ERP",IFERROR(1*INDEX(tbl_inventario_con_descripciones[COMPROMETIDO_ii],CONTROL[[#This Row],[Coincidir Bodega Codigo en Inventario]]),0),SUMIFS(Tabla_Comprometidos[CANTIDAD],Tabla_Comprometidos[BODEGA],CONTROL[[#This Row],[BODEGA]],Tabla_Comprometidos[CODIGO],CONTROL[[#This Row],[CODIGO]])),0),0)</f>
        <v>0</v>
      </c>
      <c r="CA3">
        <f>IFERROR(IF(INDEX(Tabla_ArchivosBodegas[USA_BACKORDER],CONTROL[[#This Row],[Coincidir Bodega Perfil]])=1,IF(INDEX(Tabla_ArchivosBodegas[TIPO_BACKORDER],CONTROL[[#This Row],[Coincidir Bodega Perfil]])="ERP",IFERROR(1*INDEX(tbl_inventario_con_descripciones[BACKORDER-ii],CONTROL[[#This Row],[Coincidir Bodega Codigo en Inventario]]),0),SUMIFS(Tabla_Backorders[CANTIDAD],Tabla_Backorders[BODEGA],CONTROL[[#This Row],[BODEGA]],Tabla_Backorders[CODIGO],CONTROL[[#This Row],[CODIGO]])),0),0)</f>
        <v>0</v>
      </c>
      <c r="CB3">
        <f>CONTROL[[#This Row],[Inv Fís Act]]+CONTROL[[#This Row],[Tráns Act]]-CONTROL[[#This Row],[Comprom]]+CONTROL[[#This Row],[Backorders]]</f>
        <v>28</v>
      </c>
      <c r="CC3">
        <f>IF(CONTROL[[#This Row],[Buff Act]]&lt;=0,0,IFERROR(ROUND((CONTROL[[#This Row],[Buff Act]]-CONTROL[[#This Row],[Inv Proy Act]])/CONTROL[[#This Row],[Buff Act]],2),0))</f>
        <v>0.6</v>
      </c>
      <c r="CF3">
        <f>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0</v>
      </c>
      <c r="CG3">
        <f>IF(CONTROL[[#This Row],[No es Gris]],IFERROR(ROUND((CONTROL[[#This Row],[Buff Act]]*CONTROL[[#This Row],[Frec Repos]])/(CONTROL[[#This Row],[T Suministro]]+CONTROL[[#This Row],[Frec Repos]]),0),0),0)</f>
        <v>0</v>
      </c>
      <c r="CJ3"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3"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3">
        <f>IF(CONTROL[[#This Row],[No es Gris]],IF(OR(CONTROL[[#This Row],[Color]]="R",CONTROL[[#This Row],[Color]]="N"),CONTROL[[#This Row],[Zona Roja]]-CONTROL[[#This Row],[Inv Fís Act]],0)*(CONTROL[[#This Row],[PV]]-CONTROL[[#This Row],[CTV]]),0)</f>
        <v>0</v>
      </c>
      <c r="CM3">
        <f>IF(CONTROL[[#This Row],[No es Gris]],IF(CONTROL[[#This Row],[Inv Fís Act]]&gt;CONTROL[[#This Row],[Buff Act]],CONTROL[[#This Row],[Inv Fís Act]]-CONTROL[[#This Row],[Buff Act]],0)*(CONTROL[[#This Row],[CTV]]),0)</f>
        <v>0</v>
      </c>
      <c r="CN3">
        <f>IF(CONTROL[[#This Row],[No es Gris]],IFERROR(INDEX(Tabla_Rentabilidad[ROI],MATCH(CONTROL[[#This Row],[CODIGO]],Tabla_Rentabilidad[CODIGO],0),1),0),0)</f>
        <v>0</v>
      </c>
      <c r="CO3">
        <f>IF(CONTROL[[#This Row],[No es Gris]],IFERROR((((CONTROL[[#This Row],[Buff Act]]/(CONTROL[[#This Row],[T Suministro]]+CONTROL[[#This Row],[Frec Repos]]))*4)*(CONTROL[[#This Row],[PV]]-CONTROL[[#This Row],[CTV]])*12)/(CONTROL[[#This Row],[Buff Act]]*CONTROL[[#This Row],[CTV]]),0),0)</f>
        <v>0</v>
      </c>
      <c r="CQ3">
        <f>IFERROR(INDEX(Tabla_TRANSFERENCIAS[SERVICIO],CONTROL[[#This Row],[Coincidir Bodega Codigo en Servicio]]),0)</f>
        <v>0</v>
      </c>
      <c r="CR3">
        <f>IFERROR(INDEX(Tabla_Ultimo_Cambio_Buffer[FECHA],CONTROL[[#This Row],[Coincidir Bodega Codigo en Ultimo Cambio]],0),0)</f>
        <v>0</v>
      </c>
      <c r="CS3">
        <f>CONTROL[[#This Row],[Nuevo Inicio]]</f>
        <v>0</v>
      </c>
      <c r="CT3">
        <f t="array" aca="1" ref="CT3" ca="1">IF(MAX(CONTROL[[#This Row],[Inicio Per]]+CONTROL[[#This Row],[Horizonte]]*7,HOY)=HOY,HOY,INDEX(--HORIZONTE,IFERROR(MATCH(CONTROL[[#This Row],[Inicio Per]]+CONTROL[[#This Row],[Horizonte]]*7,--HORIZONTE,0),1+MATCH(CONTROL[[#This Row],[Inicio Per]]+CONTROL[[#This Row],[Horizonte]]*7,--HORIZONTE,1))))</f>
        <v>43283</v>
      </c>
      <c r="CU3" s="68">
        <f>IFERROR(INDEX(Tabla_TRANSFERENCIAS[ULT FECHA INI],CONTROL[[#This Row],[Coincidir Bodega Codigo en Servicio]]),0)</f>
        <v>0</v>
      </c>
      <c r="CV3" s="68">
        <f>IFERROR(INDEX(Tabla_TRANSFERENCIAS[ULT FECHA FIN],CONTROL[[#This Row],[Coincidir Bodega Codigo en Servicio]]),0)</f>
        <v>0</v>
      </c>
      <c r="CW3" s="68">
        <f>IF(CONTROL[[#This Row],[Ult Transfer Inicial]]&gt;0,CONTROL[[#This Row],[Ult Transfer Inicial]]+(CONTROL[[#This Row],[Frec Repos]]*7),"")</f>
        <v>43182</v>
      </c>
      <c r="CX3" s="68">
        <f ca="1">IF(AND(CONTROL[[#This Row],[Ult Transfer Inicial]]&gt;0,CONTROL[[#This Row],[Ult Transfer Final]]&gt;HOY),CONTROL[[#This Row],[Ult Transfer Final]],IF(AND(CONTROL[[#This Row],[Ult Transfer Inicial]]&gt;0,CONTROL[[#This Row],[Ult Transfer Final]]&lt;=HOY),CONTROL[[#This Row],[Ult Transfer Inicial]]+(CONTROL[[#This Row],[T Suministro]]*7),""))</f>
        <v>43224</v>
      </c>
      <c r="CY3">
        <f ca="1">IFERROR(STDEV(INDIRECT("CONTROL[@["&amp;TEXT(CONTROL[[#This Row],[Inicio Per]],"dd/mm/yyyy")&amp;"]:["&amp;TEXT(CONTROL[[#This Row],[Fin Per]],"dd/mm/yyyy")&amp;"]]"))/AVERAGE(INDIRECT("CONTROL[@["&amp;TEXT(CONTROL[[#This Row],[Inicio Per]],"dd/mm/yyyy")&amp;"]:["&amp;TEXT(CONTROL[[#This Row],[Fin Per]],"dd/mm/yyyy")&amp;"]]")),100%)</f>
        <v>0.11568772653376092</v>
      </c>
      <c r="CZ3">
        <f t="array" aca="1" ref="CZ3"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3" t="e">
        <f ca="1">COUNTIF(INDIRECT("CONTROL[@["&amp;TEXT(CONTROL[[#This Row],[Inicio Per]],"dd/mm/yyyy")&amp;"]:["&amp;TEXT(CONTROL[[#This Row],[Fin Per]],"dd/mm/yyyy")&amp;"]]"),"=0")/CONTROL[[#This Row],[Columnas Horizonte]]</f>
        <v>#DIV/0!</v>
      </c>
      <c r="DB3" t="e">
        <f ca="1">COUNTIFS(INDIRECT("CONTROL[@["&amp;TEXT(CONTROL[[#This Row],[Inicio Per]],"dd/mm/yyyy")&amp;"]:["&amp;TEXT(CONTROL[[#This Row],[Fin Per]],"dd/mm/yyyy")&amp;"]]"),"&gt;0",INDIRECT("CONTROL[@["&amp;TEXT(CONTROL[[#This Row],[Inicio Per]],"dd/mm/yyyy")&amp;"]:["&amp;TEXT(CONTROL[[#This Row],[Fin Per]],"dd/mm/yyyy")&amp;"]]"),"&lt;="&amp;CONTROL[[#This Row],[Zona Roja]])/CONTROL[[#This Row],[Columnas Horizonte]]</f>
        <v>#DIV/0!</v>
      </c>
      <c r="DC3" t="e">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#DIV/0!</v>
      </c>
      <c r="DD3" t="e">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#DIV/0!</v>
      </c>
      <c r="DE3" t="e">
        <f ca="1">COUNTIF(INDIRECT("CONTROL[@["&amp;TEXT(CONTROL[[#This Row],[Inicio Per]],"dd/mm/yyyy")&amp;"]:["&amp;TEXT(CONTROL[[#This Row],[Fin Per]],"dd/mm/yyyy")&amp;"]]"),"&gt;"&amp;CONTROL[[#This Row],[Buff Act]])/CONTROL[[#This Row],[Columnas Horizonte]]</f>
        <v>#DIV/0!</v>
      </c>
      <c r="DF3" s="68" t="str">
        <f t="array" ref="DF3">IF(OR(CONTROL[[#This Row],[CODIGO GENERICO]]="",CONTROL[[#This Row],[CODIGO GENERICO]]=0),"",IFERROR(STDEV(IF((CONTROL[[#This Row],[CODIGO GENERICO]]=CONTROL[CODIGO GENERICO]),CONTROL[PEDID Min Grupo],"")),0))</f>
        <v/>
      </c>
      <c r="DG3" s="68"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N</v>
      </c>
      <c r="DH3" s="68" t="b">
        <f>AND(CONTROL[[#This Row],[Estado Reposiciones]]&lt;&gt;"OK",CONTROL[[#This Row],[Estado Reposiciones]]&lt;&gt;"",LEFT(CONTROL[[#This Row],[Etapa]],5)="LIBRE",CONTROL[[#This Row],[Condicion aumentar buffer]])</f>
        <v>0</v>
      </c>
      <c r="DI3" s="68">
        <f>ROW()-Fila_Cabecera_Control</f>
        <v>1</v>
      </c>
      <c r="DK3" t="str">
        <f>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3">
        <f t="array" aca="1" ref="DL3"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43211</v>
      </c>
      <c r="DM3" s="68">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42</v>
      </c>
      <c r="DN3">
        <f>SUM(CONTROL[[#This Row],[Negro]:[Lila]])</f>
        <v>0.66666666666666663</v>
      </c>
      <c r="DP3" s="68" t="str">
        <f>INDEX(Tabla_Bodegas_Permitidas[COD_BODEGA],MATCH(CONTROL[[#This Row],[BODEGA]],Tabla_Bodegas_Permitidas[BODEGA],0),1)&amp;CONTROL[[#This Row],[CODIGO]]</f>
        <v>Bodega Central Agrota150220102453393</v>
      </c>
      <c r="DR3" s="68" t="str">
        <f>IFERROR(MATCH(CONTROL[[#This Row],[Bodega-Codigo]],tbl_inventario_con_descripciones[BODEGA_CODIGO],0),"P"&amp;IFERROR(MATCH(CONTROL[[#This Row],[CODIGO]],tbl_inventario_con_descripciones[COD_PRODUCTO_ii],0),FALSE))</f>
        <v>PFALSO</v>
      </c>
      <c r="DS3" s="68" t="e">
        <f>MATCH(CONTROL[[#This Row],[CODIGO]]&amp;"-"&amp;CONTROL[[#This Row],[BODEGA]],Tabla_TRANSFERENCIAS[UNIDO],0)</f>
        <v>#N/A</v>
      </c>
      <c r="DT3" s="68" t="e">
        <f>MATCH(CONTROL[[#This Row],[Bodega-Codigo]],Tabla_Ultimo_Cambio_Buffer[Bodega-Codigo],0)</f>
        <v>#N/A</v>
      </c>
      <c r="DU3" s="68">
        <f>MATCH(CONTROL[[#This Row],[BODEGA]]&amp;CONTROL[[#This Row],[Perfil]],Tabla_ArchivosBodegas[BodegaPerfil],0)</f>
        <v>1</v>
      </c>
      <c r="DV3" s="68" t="b">
        <f>CONTROL[[#This Row],[Rojo Acum]]&gt;=CONTROL[[#This Row],[Zona Amar]]</f>
        <v>0</v>
      </c>
      <c r="DW3" s="68" t="b">
        <f>CONTROL[[#This Row],[Color]]&lt;&gt;"G"</f>
        <v>1</v>
      </c>
      <c r="DX3" s="68">
        <f ca="1">COLUMNS(INDIRECT("CONTROL[@["&amp;TEXT(CONTROL[[#This Row],[Inicio Per]],"dd/mm/yyyy")&amp;"]:["&amp;TEXT(CONTROL[[#This Row],[Fin Per]],"dd/mm/yyyy")&amp;"]]"))</f>
        <v>63</v>
      </c>
      <c r="DY3">
        <f ca="1">IF(IDIOMA="Inglés",SUMPRODUCT((--(CONTROL[[#This Row],[BODEGA]]=tblRecupBuffHist[BODEGA]))*(--(CONTROL[[#This Row],[CODIGO]]=tblRecupBuffHist[CODIGO]))*(--((INDIRECT("CONTROL[[#Headers]"&amp;sep_lis&amp;"[25/01/2018]]")*1)=1*tblRecupBuffHist[FECHA]))*tblRecupBuffHist[InvFisAct]),SUMPRODUCT((--(CONTROL[[#This Row],[BODEGA]]=tblRecupBuffHist[BODEGA]))*(--(CONTROL[[#This Row],[CODIGO]]=tblRecupBuffHist[CODIGO]))*(--((INDIRECT("CONTROL[[#Encabezados]"&amp;sep_lis&amp;"[25/01/2018]]")*1)=1*tblRecupBuffHist[FECHA]))*tblRecupBuffHist[InvFisAct]))</f>
        <v>0</v>
      </c>
      <c r="DZ3" t="e">
        <f t="array" aca="1" ref="DZ3" ca="1">IF(IDIOMA="Inglés",SUMPRODUCT((--(CONTROL[[#This Row],[BODEGA]]=tblRecupBuffHist[BODEGA]))*(--(CONTROL[[#This Row],[CODIGO]]=tblRecupBuffHist[CODIGO]))*(--((INDIRECT("CONTROL[[#Headers]"&amp;sep_lis&amp;"[01/03/2013]]")*1)=1*tblRecupBuffHist[FECHA]))*tblRecupBuffHist[InvFisAct]),SUMPRODUCT((--(CONTROL[[#This Row],[BODEGA]]=tblRecupBuffHist[BODEGA]))*(--(CONTROL[[#This Row],[CODIGO]]=tblRecupBuffHist[CODIGO]))*(--((INDIRECT("CONTROL[[#Encabezados]"&amp;sep_lis&amp;"[01/03/2013]]")*1)=1*tblRecupBuffHist[FECHA]))*tblRecupBuffHist[InvFisAct]))</f>
        <v>#REF!</v>
      </c>
    </row>
    <row r="4" spans="1:130" x14ac:dyDescent="0.2">
      <c r="C4" s="86"/>
      <c r="F4" s="67"/>
      <c r="H4" s="1"/>
      <c r="I4" s="1"/>
      <c r="J4" s="1"/>
      <c r="K4" s="1"/>
      <c r="L4" s="1"/>
    </row>
    <row r="11" spans="1:130" x14ac:dyDescent="0.2">
      <c r="C11" s="88"/>
      <c r="AP11"/>
      <c r="AQ11"/>
      <c r="AW11"/>
      <c r="AY11"/>
      <c r="AZ11"/>
      <c r="BA11"/>
      <c r="BD11"/>
      <c r="BX11"/>
      <c r="BY11"/>
      <c r="BZ11"/>
      <c r="CD11"/>
      <c r="CQ11"/>
      <c r="CT11"/>
      <c r="DD11"/>
    </row>
    <row r="12" spans="1:130" x14ac:dyDescent="0.2">
      <c r="C12" s="88"/>
      <c r="AP12"/>
      <c r="AQ12"/>
      <c r="AW12"/>
      <c r="AY12"/>
      <c r="AZ12"/>
      <c r="BA12"/>
      <c r="BD12"/>
      <c r="BX12"/>
      <c r="BY12"/>
      <c r="BZ12"/>
      <c r="CD12"/>
      <c r="CQ12"/>
      <c r="CT12"/>
      <c r="DD12"/>
    </row>
    <row r="13" spans="1:130" x14ac:dyDescent="0.2">
      <c r="C13" s="88"/>
      <c r="AP13"/>
      <c r="AQ13"/>
      <c r="AW13"/>
      <c r="AY13"/>
      <c r="AZ13"/>
      <c r="BA13"/>
      <c r="BD13"/>
      <c r="BX13"/>
      <c r="BY13"/>
      <c r="BZ13"/>
      <c r="CD13"/>
      <c r="CQ13"/>
      <c r="CT13"/>
      <c r="DD13"/>
    </row>
    <row r="14" spans="1:130" x14ac:dyDescent="0.2">
      <c r="C14" s="88"/>
      <c r="AP14"/>
      <c r="AQ14"/>
      <c r="AW14"/>
      <c r="AY14"/>
      <c r="AZ14"/>
      <c r="BA14"/>
      <c r="BD14"/>
      <c r="BX14"/>
      <c r="BY14"/>
      <c r="BZ14"/>
      <c r="CD14"/>
      <c r="CQ14"/>
      <c r="CT14"/>
      <c r="DD14"/>
    </row>
    <row r="15" spans="1:130" x14ac:dyDescent="0.2">
      <c r="C15" s="88"/>
      <c r="AP15"/>
      <c r="AQ15"/>
      <c r="AW15"/>
      <c r="AY15"/>
      <c r="AZ15"/>
      <c r="BA15"/>
      <c r="BD15"/>
      <c r="BX15"/>
      <c r="BY15"/>
      <c r="BZ15"/>
      <c r="CD15"/>
      <c r="CQ15"/>
      <c r="CT15"/>
      <c r="DD15"/>
    </row>
  </sheetData>
  <conditionalFormatting sqref="AL2:AS2 A2:AJ2 AW2:CZ2">
    <cfRule type="expression" dxfId="280" priority="3">
      <formula>COUNTIF(A2,"*/*")</formula>
    </cfRule>
    <cfRule type="expression" dxfId="279" priority="4">
      <formula>A2="*/*"</formula>
    </cfRule>
  </conditionalFormatting>
  <conditionalFormatting sqref="AK2">
    <cfRule type="expression" dxfId="278" priority="1">
      <formula>COUNTIF(AK2,"*/*")</formula>
    </cfRule>
    <cfRule type="expression" dxfId="277" priority="2">
      <formula>AK2="*/*"</formula>
    </cfRule>
  </conditionalFormatting>
  <dataValidations count="5">
    <dataValidation allowBlank="1" showErrorMessage="1" errorTitle="Validación" error="Esta celda sólo puede alojar números mayores a cero, vuelva a intentar" promptTitle="Validación" sqref="CN3:CO3"/>
    <dataValidation type="list" allowBlank="1" errorTitle="Validación" error="Esta celda sólo puede alojar números mayores a cero, vuelva a intentar" promptTitle="Validación" sqref="CI3">
      <formula1>SeleccionCalendarios</formula1>
    </dataValidation>
    <dataValidation type="decimal" allowBlank="1" showErrorMessage="1" errorTitle="Validación" error="Esta celda sólo puede alojar números mayores a cero, vuelva a intentar" promptTitle="Validación" sqref="CH3">
      <formula1>0</formula1>
      <formula2>1.11111111111111E+21</formula2>
    </dataValidation>
    <dataValidation type="custom" allowBlank="1" showInputMessage="1" showErrorMessage="1" sqref="BP3:BR3">
      <formula1>""</formula1>
    </dataValidation>
    <dataValidation type="list" allowBlank="1" showErrorMessage="1" errorTitle="Validación" error="Esta celda sólo puede alojar números mayores a cero, vuelva a intentar" promptTitle="Validación" sqref="BH3">
      <formula1>RangoCausas</formula1>
    </dataValidation>
  </dataValidations>
  <pageMargins left="0.7" right="0.7" top="0.75" bottom="0.75" header="0.3" footer="0.3"/>
  <pageSetup orientation="portrait" r:id="rId1"/>
  <legacy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0"/>
  <dimension ref="A1:BF2"/>
  <sheetViews>
    <sheetView showGridLines="0" topLeftCell="A2695" workbookViewId="0">
      <selection activeCell="A2" sqref="A2:BF14297"/>
    </sheetView>
  </sheetViews>
  <sheetFormatPr baseColWidth="10" defaultColWidth="15.7109375" defaultRowHeight="16.5" customHeight="1" x14ac:dyDescent="0.25"/>
  <cols>
    <col min="1" max="1" width="18.5703125" style="235" customWidth="1"/>
    <col min="2" max="2" width="13.7109375" style="235" customWidth="1"/>
    <col min="3" max="3" width="17.7109375" style="235" customWidth="1"/>
    <col min="4" max="4" width="23.7109375" style="235" bestFit="1" customWidth="1"/>
    <col min="5" max="5" width="20.140625" style="235" customWidth="1"/>
    <col min="6" max="6" width="39.140625" style="235" bestFit="1" customWidth="1"/>
    <col min="7" max="7" width="21.42578125" style="235" customWidth="1"/>
    <col min="8" max="8" width="19.85546875" style="235" customWidth="1"/>
    <col min="9" max="9" width="22.28515625" style="235" customWidth="1"/>
    <col min="10" max="10" width="43.140625" style="235" bestFit="1" customWidth="1"/>
    <col min="11" max="11" width="17.28515625" style="235" customWidth="1"/>
    <col min="12" max="12" width="24.42578125" style="235" bestFit="1" customWidth="1"/>
    <col min="13" max="13" width="15.85546875" style="235" customWidth="1"/>
    <col min="14" max="14" width="19.5703125" style="235" bestFit="1" customWidth="1"/>
    <col min="15" max="15" width="19.42578125" style="235" customWidth="1"/>
    <col min="16" max="16" width="14.5703125" style="235" customWidth="1"/>
    <col min="17" max="17" width="18.5703125" style="235" customWidth="1"/>
    <col min="18" max="18" width="13.7109375" style="235" customWidth="1"/>
    <col min="19" max="19" width="18.140625" style="235" customWidth="1"/>
    <col min="20" max="20" width="13.28515625" style="235" customWidth="1"/>
    <col min="21" max="21" width="21.7109375" style="235" customWidth="1"/>
    <col min="22" max="22" width="16.85546875" style="235" customWidth="1"/>
    <col min="23" max="23" width="21" style="235" customWidth="1"/>
    <col min="24" max="24" width="24.85546875" style="235" bestFit="1" customWidth="1"/>
    <col min="25" max="25" width="14.85546875" style="235" customWidth="1"/>
    <col min="26" max="26" width="10" style="235" customWidth="1"/>
    <col min="27" max="27" width="17.42578125" style="235" customWidth="1"/>
    <col min="28" max="28" width="13.85546875" style="235" bestFit="1" customWidth="1"/>
    <col min="29" max="29" width="28.7109375" style="235" customWidth="1"/>
    <col min="30" max="30" width="23.85546875" style="235" customWidth="1"/>
    <col min="31" max="31" width="21.85546875" style="235" customWidth="1"/>
    <col min="32" max="32" width="10.42578125" style="235" customWidth="1"/>
    <col min="33" max="33" width="18.7109375" style="235" customWidth="1"/>
    <col min="34" max="34" width="15.140625" style="235" customWidth="1"/>
    <col min="35" max="35" width="23.42578125" style="235" customWidth="1"/>
    <col min="36" max="36" width="17.28515625" style="235" customWidth="1"/>
    <col min="37" max="37" width="22" style="235" customWidth="1"/>
    <col min="38" max="38" width="12.28515625" style="235" customWidth="1"/>
    <col min="39" max="39" width="9.28515625" style="235" customWidth="1"/>
    <col min="40" max="40" width="19.5703125" style="235" customWidth="1"/>
    <col min="41" max="41" width="28.28515625" style="235" customWidth="1"/>
    <col min="42" max="42" width="13.140625" style="235" customWidth="1"/>
    <col min="43" max="43" width="13.5703125" style="235" customWidth="1"/>
    <col min="44" max="44" width="19.28515625" style="235" customWidth="1"/>
    <col min="45" max="45" width="18.28515625" style="235" customWidth="1"/>
    <col min="46" max="46" width="24.28515625" style="235" customWidth="1"/>
    <col min="47" max="47" width="24" style="235" customWidth="1"/>
    <col min="48" max="49" width="24.28515625" style="235" customWidth="1"/>
    <col min="50" max="50" width="11" style="235" customWidth="1"/>
    <col min="51" max="51" width="14.140625" style="235" customWidth="1"/>
    <col min="52" max="52" width="18.140625" style="235" customWidth="1"/>
    <col min="53" max="53" width="17.42578125" style="235" customWidth="1"/>
    <col min="54" max="54" width="16.85546875" style="235" customWidth="1"/>
    <col min="55" max="55" width="20.5703125" style="235" customWidth="1"/>
    <col min="56" max="56" width="15.7109375" style="235" customWidth="1"/>
    <col min="57" max="57" width="19.42578125" style="235" customWidth="1"/>
    <col min="58" max="16384" width="15.7109375" style="235"/>
  </cols>
  <sheetData>
    <row r="1" spans="1:58" ht="16.5" customHeight="1" x14ac:dyDescent="0.25">
      <c r="A1" s="235" t="s">
        <v>1160</v>
      </c>
      <c r="B1" s="235" t="s">
        <v>1161</v>
      </c>
      <c r="C1" s="235" t="s">
        <v>1162</v>
      </c>
      <c r="D1" s="235" t="s">
        <v>1163</v>
      </c>
      <c r="E1" s="235" t="s">
        <v>1164</v>
      </c>
      <c r="F1" s="235" t="s">
        <v>1165</v>
      </c>
      <c r="G1" s="235" t="s">
        <v>1166</v>
      </c>
      <c r="H1" s="235" t="s">
        <v>1167</v>
      </c>
      <c r="I1" s="235" t="s">
        <v>1168</v>
      </c>
      <c r="J1" s="235" t="s">
        <v>4</v>
      </c>
      <c r="K1" s="235" t="s">
        <v>1169</v>
      </c>
      <c r="L1" s="235" t="s">
        <v>1170</v>
      </c>
      <c r="M1" s="235" t="s">
        <v>1171</v>
      </c>
      <c r="N1" s="235" t="s">
        <v>1172</v>
      </c>
      <c r="O1" s="235" t="s">
        <v>1173</v>
      </c>
      <c r="P1" s="235" t="s">
        <v>1174</v>
      </c>
      <c r="Q1" s="235" t="s">
        <v>1175</v>
      </c>
      <c r="R1" s="235" t="s">
        <v>1176</v>
      </c>
      <c r="S1" s="235" t="s">
        <v>1177</v>
      </c>
      <c r="T1" s="235" t="s">
        <v>1178</v>
      </c>
      <c r="U1" s="235" t="s">
        <v>1179</v>
      </c>
      <c r="V1" s="235" t="s">
        <v>1180</v>
      </c>
      <c r="W1" s="235" t="s">
        <v>1181</v>
      </c>
      <c r="X1" s="235" t="s">
        <v>1182</v>
      </c>
      <c r="Y1" s="235" t="s">
        <v>1183</v>
      </c>
      <c r="Z1" s="235" t="s">
        <v>1184</v>
      </c>
      <c r="AA1" s="235" t="s">
        <v>1185</v>
      </c>
      <c r="AB1" s="235" t="s">
        <v>1186</v>
      </c>
      <c r="AC1" s="235" t="s">
        <v>1187</v>
      </c>
      <c r="AD1" s="235" t="s">
        <v>1188</v>
      </c>
      <c r="AE1" s="235" t="s">
        <v>1189</v>
      </c>
      <c r="AF1" s="235" t="s">
        <v>1190</v>
      </c>
      <c r="AG1" s="235" t="s">
        <v>1191</v>
      </c>
      <c r="AH1" s="235" t="s">
        <v>1192</v>
      </c>
      <c r="AI1" s="235" t="s">
        <v>1193</v>
      </c>
      <c r="AJ1" s="235" t="s">
        <v>1194</v>
      </c>
      <c r="AK1" s="235" t="s">
        <v>1195</v>
      </c>
      <c r="AL1" s="235" t="s">
        <v>1196</v>
      </c>
      <c r="AM1" s="235" t="s">
        <v>1197</v>
      </c>
      <c r="AN1" s="235" t="s">
        <v>1198</v>
      </c>
      <c r="AO1" s="235" t="s">
        <v>1199</v>
      </c>
      <c r="AP1" s="235" t="s">
        <v>1200</v>
      </c>
      <c r="AQ1" s="235" t="s">
        <v>1201</v>
      </c>
      <c r="AR1" s="235" t="s">
        <v>1202</v>
      </c>
      <c r="AS1" s="235" t="s">
        <v>1203</v>
      </c>
      <c r="AT1" s="235" t="s">
        <v>1204</v>
      </c>
      <c r="AU1" s="235" t="s">
        <v>1205</v>
      </c>
      <c r="AV1" s="235" t="s">
        <v>1206</v>
      </c>
      <c r="AW1" s="245" t="s">
        <v>1315</v>
      </c>
      <c r="AX1" s="235" t="s">
        <v>1207</v>
      </c>
      <c r="AY1" s="235" t="s">
        <v>1208</v>
      </c>
      <c r="AZ1" s="235" t="s">
        <v>1209</v>
      </c>
      <c r="BA1" s="235" t="s">
        <v>1210</v>
      </c>
      <c r="BB1" s="235" t="s">
        <v>1211</v>
      </c>
      <c r="BC1" s="235" t="s">
        <v>1212</v>
      </c>
      <c r="BD1" s="235" t="s">
        <v>1213</v>
      </c>
      <c r="BE1" s="235" t="s">
        <v>1214</v>
      </c>
      <c r="BF1" s="235" t="s">
        <v>1215</v>
      </c>
    </row>
    <row r="2" spans="1:58" ht="16.5" customHeight="1" x14ac:dyDescent="0.25">
      <c r="A2" s="237"/>
      <c r="B2" s="237"/>
      <c r="C2" s="237"/>
      <c r="D2" s="237"/>
      <c r="E2" s="237"/>
      <c r="F2" s="237"/>
      <c r="G2" s="237"/>
      <c r="H2" s="237"/>
      <c r="I2" s="237"/>
      <c r="J2" s="237"/>
      <c r="K2" s="237"/>
      <c r="L2" s="237"/>
      <c r="M2" s="237"/>
      <c r="N2" s="237"/>
      <c r="O2" s="237"/>
      <c r="P2" s="237"/>
      <c r="Q2" s="237"/>
      <c r="R2" s="237"/>
      <c r="S2" s="237"/>
      <c r="T2" s="237"/>
      <c r="U2" s="237"/>
      <c r="V2" s="237"/>
      <c r="W2" s="237"/>
      <c r="X2" s="237"/>
      <c r="Y2" s="237"/>
      <c r="Z2" s="237"/>
      <c r="AA2" s="237"/>
      <c r="AB2" s="237"/>
      <c r="AC2" s="237"/>
      <c r="AD2" s="237"/>
      <c r="AE2" s="237"/>
      <c r="AO2" s="236"/>
      <c r="AU2" s="236"/>
      <c r="AV2" s="236"/>
      <c r="AW2" s="246"/>
      <c r="BF2" s="238"/>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8"/>
  <dimension ref="A1:AF4867"/>
  <sheetViews>
    <sheetView showGridLines="0" workbookViewId="0">
      <selection activeCell="AB2" sqref="AB2:AF2"/>
    </sheetView>
  </sheetViews>
  <sheetFormatPr baseColWidth="10" defaultRowHeight="15" x14ac:dyDescent="0.25"/>
  <cols>
    <col min="1" max="2" width="11.42578125" style="160"/>
    <col min="3" max="3" width="57.85546875" style="160" bestFit="1" customWidth="1"/>
    <col min="4" max="16" width="11.42578125" style="160"/>
    <col min="17" max="17" width="17" style="160" customWidth="1"/>
    <col min="18" max="18" width="13.85546875" style="160" customWidth="1"/>
    <col min="19" max="19" width="11.42578125" style="160"/>
    <col min="20" max="20" width="12" style="160" customWidth="1"/>
    <col min="21" max="22" width="17.85546875" style="160" customWidth="1"/>
    <col min="23" max="23" width="11.42578125" style="160"/>
    <col min="24" max="24" width="14.85546875" style="160" customWidth="1"/>
    <col min="25" max="25" width="11.42578125" style="160"/>
    <col min="26" max="26" width="11.85546875" style="160" bestFit="1" customWidth="1"/>
    <col min="27" max="27" width="11.42578125" style="160"/>
    <col min="28" max="28" width="18.28515625" style="160" bestFit="1" customWidth="1"/>
    <col min="29" max="16384" width="11.42578125" style="160"/>
  </cols>
  <sheetData>
    <row r="1" spans="1:32" x14ac:dyDescent="0.25">
      <c r="A1" t="s">
        <v>574</v>
      </c>
      <c r="B1" t="s">
        <v>3</v>
      </c>
      <c r="C1" t="s">
        <v>4</v>
      </c>
      <c r="D1" t="s">
        <v>23</v>
      </c>
      <c r="E1" t="s">
        <v>37</v>
      </c>
      <c r="F1" t="s">
        <v>575</v>
      </c>
      <c r="G1" t="s">
        <v>57</v>
      </c>
      <c r="H1" t="s">
        <v>54</v>
      </c>
      <c r="I1" t="s">
        <v>576</v>
      </c>
      <c r="J1" t="s">
        <v>577</v>
      </c>
      <c r="K1" t="s">
        <v>578</v>
      </c>
      <c r="L1" t="s">
        <v>579</v>
      </c>
      <c r="M1" t="s">
        <v>580</v>
      </c>
      <c r="N1" t="s">
        <v>581</v>
      </c>
      <c r="P1" t="s">
        <v>63</v>
      </c>
      <c r="Q1" t="s">
        <v>590</v>
      </c>
      <c r="R1" t="s">
        <v>576</v>
      </c>
      <c r="S1" t="s">
        <v>3</v>
      </c>
      <c r="T1" t="s">
        <v>575</v>
      </c>
      <c r="U1" s="68" t="s">
        <v>592</v>
      </c>
      <c r="V1" s="68" t="s">
        <v>593</v>
      </c>
      <c r="X1" t="s">
        <v>591</v>
      </c>
      <c r="Y1" t="s">
        <v>576</v>
      </c>
      <c r="Z1" t="s">
        <v>593</v>
      </c>
      <c r="AB1" s="1" t="s">
        <v>592</v>
      </c>
      <c r="AC1" s="68" t="s">
        <v>590</v>
      </c>
      <c r="AD1" s="1" t="s">
        <v>646</v>
      </c>
      <c r="AE1" s="1" t="s">
        <v>645</v>
      </c>
      <c r="AF1" s="1" t="s">
        <v>648</v>
      </c>
    </row>
    <row r="2" spans="1:32" x14ac:dyDescent="0.25">
      <c r="A2" s="160">
        <v>374</v>
      </c>
      <c r="B2" s="160" t="s">
        <v>923</v>
      </c>
      <c r="C2" s="160" t="s">
        <v>959</v>
      </c>
      <c r="D2" s="160" t="s">
        <v>960</v>
      </c>
      <c r="E2" s="160" t="s">
        <v>961</v>
      </c>
      <c r="F2" s="160">
        <v>34</v>
      </c>
      <c r="G2" s="160" t="s">
        <v>790</v>
      </c>
      <c r="H2" s="160" t="s">
        <v>739</v>
      </c>
      <c r="I2" s="160" t="s">
        <v>1105</v>
      </c>
      <c r="J2" s="161">
        <v>0</v>
      </c>
      <c r="L2" s="162"/>
      <c r="M2" s="162"/>
      <c r="N2" s="162"/>
      <c r="P2" s="167" t="s">
        <v>739</v>
      </c>
      <c r="Q2" s="167">
        <v>351</v>
      </c>
      <c r="R2" s="167" t="s">
        <v>3390</v>
      </c>
      <c r="S2" s="167" t="s">
        <v>3377</v>
      </c>
      <c r="T2" s="167">
        <v>2</v>
      </c>
      <c r="U2" s="167" t="s">
        <v>3391</v>
      </c>
      <c r="V2" s="167" t="s">
        <v>3392</v>
      </c>
      <c r="X2" s="167">
        <v>351</v>
      </c>
      <c r="Y2" s="167" t="s">
        <v>3390</v>
      </c>
      <c r="Z2" s="167" t="s">
        <v>3392</v>
      </c>
      <c r="AB2" s="167" t="s">
        <v>1521</v>
      </c>
      <c r="AC2" s="167">
        <v>356</v>
      </c>
      <c r="AD2" s="203">
        <v>43139</v>
      </c>
      <c r="AE2" s="203">
        <v>0</v>
      </c>
      <c r="AF2" s="167" t="s">
        <v>3469</v>
      </c>
    </row>
    <row r="3" spans="1:32" x14ac:dyDescent="0.25">
      <c r="P3" s="167" t="s">
        <v>739</v>
      </c>
      <c r="Q3" s="167">
        <v>351</v>
      </c>
      <c r="R3" s="167" t="s">
        <v>3390</v>
      </c>
      <c r="S3" s="167" t="s">
        <v>3381</v>
      </c>
      <c r="T3" s="167">
        <v>8</v>
      </c>
      <c r="U3" s="167" t="s">
        <v>3393</v>
      </c>
      <c r="V3" s="167" t="s">
        <v>3392</v>
      </c>
      <c r="X3" s="167">
        <v>353</v>
      </c>
      <c r="Y3" s="167" t="s">
        <v>3407</v>
      </c>
      <c r="Z3" s="167" t="s">
        <v>3409</v>
      </c>
      <c r="AB3" s="167" t="s">
        <v>1523</v>
      </c>
      <c r="AC3" s="167">
        <v>356</v>
      </c>
      <c r="AD3" s="203">
        <v>43139</v>
      </c>
      <c r="AE3" s="203">
        <v>0</v>
      </c>
      <c r="AF3" s="167" t="s">
        <v>3469</v>
      </c>
    </row>
    <row r="4" spans="1:32" x14ac:dyDescent="0.25">
      <c r="P4" s="167" t="s">
        <v>739</v>
      </c>
      <c r="Q4" s="167">
        <v>351</v>
      </c>
      <c r="R4" s="167" t="s">
        <v>3390</v>
      </c>
      <c r="S4" s="167" t="s">
        <v>3382</v>
      </c>
      <c r="T4" s="167">
        <v>2</v>
      </c>
      <c r="U4" s="167" t="s">
        <v>3394</v>
      </c>
      <c r="V4" s="167" t="s">
        <v>3392</v>
      </c>
      <c r="X4" s="167">
        <v>356</v>
      </c>
      <c r="Y4" s="167" t="s">
        <v>3397</v>
      </c>
      <c r="Z4" s="167" t="s">
        <v>3398</v>
      </c>
      <c r="AB4" s="167" t="s">
        <v>1525</v>
      </c>
      <c r="AC4" s="167">
        <v>356</v>
      </c>
      <c r="AD4" s="203">
        <v>43139</v>
      </c>
      <c r="AE4" s="203">
        <v>0</v>
      </c>
      <c r="AF4" s="167" t="s">
        <v>3469</v>
      </c>
    </row>
    <row r="5" spans="1:32" x14ac:dyDescent="0.25">
      <c r="P5" s="167" t="s">
        <v>739</v>
      </c>
      <c r="Q5" s="167">
        <v>351</v>
      </c>
      <c r="R5" s="167" t="s">
        <v>3390</v>
      </c>
      <c r="S5" s="167" t="s">
        <v>3383</v>
      </c>
      <c r="T5" s="167">
        <v>4</v>
      </c>
      <c r="U5" s="167" t="s">
        <v>3395</v>
      </c>
      <c r="V5" s="167" t="s">
        <v>3392</v>
      </c>
      <c r="X5" s="167">
        <v>365</v>
      </c>
      <c r="Y5" s="167" t="s">
        <v>3403</v>
      </c>
      <c r="Z5" s="167" t="s">
        <v>3404</v>
      </c>
      <c r="AB5" s="167" t="s">
        <v>1527</v>
      </c>
      <c r="AC5" s="167">
        <v>356</v>
      </c>
      <c r="AD5" s="203">
        <v>43139</v>
      </c>
      <c r="AE5" s="203">
        <v>0</v>
      </c>
      <c r="AF5" s="167" t="s">
        <v>3469</v>
      </c>
    </row>
    <row r="6" spans="1:32" x14ac:dyDescent="0.25">
      <c r="P6" s="167" t="s">
        <v>739</v>
      </c>
      <c r="Q6" s="167">
        <v>351</v>
      </c>
      <c r="R6" s="167" t="s">
        <v>3390</v>
      </c>
      <c r="S6" s="167" t="s">
        <v>3386</v>
      </c>
      <c r="T6" s="167">
        <v>2</v>
      </c>
      <c r="U6" s="167" t="s">
        <v>3396</v>
      </c>
      <c r="V6" s="167" t="s">
        <v>3392</v>
      </c>
      <c r="X6" s="167">
        <v>368</v>
      </c>
      <c r="Y6" s="167" t="s">
        <v>3445</v>
      </c>
      <c r="Z6" s="167" t="s">
        <v>3447</v>
      </c>
      <c r="AB6" s="167" t="s">
        <v>1528</v>
      </c>
      <c r="AC6" s="167">
        <v>327</v>
      </c>
      <c r="AD6" s="203">
        <v>43074</v>
      </c>
      <c r="AE6" s="203">
        <v>43131</v>
      </c>
      <c r="AF6" s="167" t="s">
        <v>3470</v>
      </c>
    </row>
    <row r="7" spans="1:32" x14ac:dyDescent="0.25">
      <c r="P7" s="167" t="s">
        <v>739</v>
      </c>
      <c r="Q7" s="167">
        <v>356</v>
      </c>
      <c r="R7" s="167" t="s">
        <v>3397</v>
      </c>
      <c r="S7" s="167" t="s">
        <v>1520</v>
      </c>
      <c r="T7" s="167">
        <v>8</v>
      </c>
      <c r="U7" s="167" t="s">
        <v>1521</v>
      </c>
      <c r="V7" s="167" t="s">
        <v>3398</v>
      </c>
      <c r="X7" s="167">
        <v>373</v>
      </c>
      <c r="Y7" s="167" t="s">
        <v>3464</v>
      </c>
      <c r="Z7" s="167" t="s">
        <v>3465</v>
      </c>
      <c r="AB7" s="167" t="s">
        <v>1528</v>
      </c>
      <c r="AC7" s="167">
        <v>327</v>
      </c>
      <c r="AD7" s="203">
        <v>43074</v>
      </c>
      <c r="AE7" s="203">
        <v>43131</v>
      </c>
      <c r="AF7" s="167" t="s">
        <v>3470</v>
      </c>
    </row>
    <row r="8" spans="1:32" x14ac:dyDescent="0.25">
      <c r="P8" s="167" t="s">
        <v>739</v>
      </c>
      <c r="Q8" s="167">
        <v>356</v>
      </c>
      <c r="R8" s="167" t="s">
        <v>3397</v>
      </c>
      <c r="S8" s="167" t="s">
        <v>1522</v>
      </c>
      <c r="T8" s="167">
        <v>5</v>
      </c>
      <c r="U8" s="167" t="s">
        <v>1523</v>
      </c>
      <c r="V8" s="167" t="s">
        <v>3398</v>
      </c>
      <c r="X8" s="167">
        <v>374</v>
      </c>
      <c r="Y8" s="167" t="s">
        <v>1105</v>
      </c>
      <c r="Z8" s="167" t="s">
        <v>3450</v>
      </c>
      <c r="AB8" s="167" t="s">
        <v>1530</v>
      </c>
      <c r="AC8" s="167">
        <v>356</v>
      </c>
      <c r="AD8" s="203">
        <v>43139</v>
      </c>
      <c r="AE8" s="203">
        <v>0</v>
      </c>
      <c r="AF8" s="167" t="s">
        <v>3469</v>
      </c>
    </row>
    <row r="9" spans="1:32" x14ac:dyDescent="0.25">
      <c r="P9" s="167" t="s">
        <v>739</v>
      </c>
      <c r="Q9" s="167">
        <v>356</v>
      </c>
      <c r="R9" s="167" t="s">
        <v>3397</v>
      </c>
      <c r="S9" s="167" t="s">
        <v>1524</v>
      </c>
      <c r="T9" s="167">
        <v>4</v>
      </c>
      <c r="U9" s="167" t="s">
        <v>1525</v>
      </c>
      <c r="V9" s="167" t="s">
        <v>3398</v>
      </c>
      <c r="AB9" s="167" t="s">
        <v>1532</v>
      </c>
      <c r="AC9" s="167">
        <v>356</v>
      </c>
      <c r="AD9" s="203">
        <v>43139</v>
      </c>
      <c r="AE9" s="203">
        <v>0</v>
      </c>
      <c r="AF9" s="167" t="s">
        <v>3469</v>
      </c>
    </row>
    <row r="10" spans="1:32" x14ac:dyDescent="0.25">
      <c r="P10" s="167" t="s">
        <v>739</v>
      </c>
      <c r="Q10" s="167">
        <v>356</v>
      </c>
      <c r="R10" s="167" t="s">
        <v>3397</v>
      </c>
      <c r="S10" s="167" t="s">
        <v>1526</v>
      </c>
      <c r="T10" s="167">
        <v>6</v>
      </c>
      <c r="U10" s="167" t="s">
        <v>1527</v>
      </c>
      <c r="V10" s="167" t="s">
        <v>3398</v>
      </c>
      <c r="AB10" s="167" t="s">
        <v>1534</v>
      </c>
      <c r="AC10" s="167">
        <v>356</v>
      </c>
      <c r="AD10" s="203">
        <v>43139</v>
      </c>
      <c r="AE10" s="203">
        <v>0</v>
      </c>
      <c r="AF10" s="167" t="s">
        <v>3469</v>
      </c>
    </row>
    <row r="11" spans="1:32" x14ac:dyDescent="0.25">
      <c r="P11" s="167" t="s">
        <v>739</v>
      </c>
      <c r="Q11" s="167">
        <v>356</v>
      </c>
      <c r="R11" s="167" t="s">
        <v>3397</v>
      </c>
      <c r="S11" s="167" t="s">
        <v>1529</v>
      </c>
      <c r="T11" s="167">
        <v>5</v>
      </c>
      <c r="U11" s="167" t="s">
        <v>1530</v>
      </c>
      <c r="V11" s="167" t="s">
        <v>3398</v>
      </c>
      <c r="AB11" s="167" t="s">
        <v>3408</v>
      </c>
      <c r="AC11" s="167">
        <v>323</v>
      </c>
      <c r="AD11" s="203">
        <v>43074</v>
      </c>
      <c r="AE11" s="203">
        <v>43111</v>
      </c>
      <c r="AF11" s="167" t="s">
        <v>3470</v>
      </c>
    </row>
    <row r="12" spans="1:32" x14ac:dyDescent="0.25">
      <c r="P12" s="167" t="s">
        <v>739</v>
      </c>
      <c r="Q12" s="167">
        <v>356</v>
      </c>
      <c r="R12" s="167" t="s">
        <v>3397</v>
      </c>
      <c r="S12" s="167" t="s">
        <v>1531</v>
      </c>
      <c r="T12" s="167">
        <v>4</v>
      </c>
      <c r="U12" s="167" t="s">
        <v>1532</v>
      </c>
      <c r="V12" s="167" t="s">
        <v>3398</v>
      </c>
      <c r="AB12" s="167" t="s">
        <v>3408</v>
      </c>
      <c r="AC12" s="167">
        <v>340</v>
      </c>
      <c r="AD12" s="203">
        <v>43133</v>
      </c>
      <c r="AE12" s="203">
        <v>43168</v>
      </c>
      <c r="AF12" s="167" t="s">
        <v>3470</v>
      </c>
    </row>
    <row r="13" spans="1:32" x14ac:dyDescent="0.25">
      <c r="P13" s="167" t="s">
        <v>739</v>
      </c>
      <c r="Q13" s="167">
        <v>356</v>
      </c>
      <c r="R13" s="167" t="s">
        <v>3397</v>
      </c>
      <c r="S13" s="167" t="s">
        <v>1533</v>
      </c>
      <c r="T13" s="167">
        <v>4</v>
      </c>
      <c r="U13" s="167" t="s">
        <v>1534</v>
      </c>
      <c r="V13" s="167" t="s">
        <v>3398</v>
      </c>
      <c r="AB13" s="167" t="s">
        <v>3408</v>
      </c>
      <c r="AC13" s="167">
        <v>357</v>
      </c>
      <c r="AD13" s="203">
        <v>43139</v>
      </c>
      <c r="AE13" s="203">
        <v>43164</v>
      </c>
      <c r="AF13" s="167" t="s">
        <v>3470</v>
      </c>
    </row>
    <row r="14" spans="1:32" x14ac:dyDescent="0.25">
      <c r="P14" s="167" t="s">
        <v>739</v>
      </c>
      <c r="Q14" s="167">
        <v>356</v>
      </c>
      <c r="R14" s="167" t="s">
        <v>3397</v>
      </c>
      <c r="S14" s="167" t="s">
        <v>1877</v>
      </c>
      <c r="T14" s="167">
        <v>5</v>
      </c>
      <c r="U14" s="167" t="s">
        <v>1878</v>
      </c>
      <c r="V14" s="167" t="s">
        <v>3398</v>
      </c>
      <c r="AB14" s="167" t="s">
        <v>3408</v>
      </c>
      <c r="AC14" s="167">
        <v>353</v>
      </c>
      <c r="AD14" s="203">
        <v>43180</v>
      </c>
      <c r="AE14" s="203">
        <v>0</v>
      </c>
      <c r="AF14" s="167" t="s">
        <v>3469</v>
      </c>
    </row>
    <row r="15" spans="1:32" x14ac:dyDescent="0.25">
      <c r="P15" s="167" t="s">
        <v>739</v>
      </c>
      <c r="Q15" s="167">
        <v>356</v>
      </c>
      <c r="R15" s="167" t="s">
        <v>3397</v>
      </c>
      <c r="S15" s="167" t="s">
        <v>1879</v>
      </c>
      <c r="T15" s="167">
        <v>1</v>
      </c>
      <c r="U15" s="167" t="s">
        <v>1880</v>
      </c>
      <c r="V15" s="167" t="s">
        <v>3398</v>
      </c>
      <c r="AB15" s="167" t="s">
        <v>1536</v>
      </c>
      <c r="AC15" s="167">
        <v>357</v>
      </c>
      <c r="AD15" s="203">
        <v>43139</v>
      </c>
      <c r="AE15" s="203">
        <v>43164</v>
      </c>
      <c r="AF15" s="167" t="s">
        <v>3470</v>
      </c>
    </row>
    <row r="16" spans="1:32" x14ac:dyDescent="0.25">
      <c r="P16" s="167" t="s">
        <v>739</v>
      </c>
      <c r="Q16" s="167">
        <v>356</v>
      </c>
      <c r="R16" s="167" t="s">
        <v>3397</v>
      </c>
      <c r="S16" s="167" t="s">
        <v>1881</v>
      </c>
      <c r="T16" s="167">
        <v>1</v>
      </c>
      <c r="U16" s="167" t="s">
        <v>1882</v>
      </c>
      <c r="V16" s="167" t="s">
        <v>3398</v>
      </c>
      <c r="AB16" s="167" t="s">
        <v>1536</v>
      </c>
      <c r="AC16" s="167">
        <v>353</v>
      </c>
      <c r="AD16" s="203">
        <v>43180</v>
      </c>
      <c r="AE16" s="203">
        <v>0</v>
      </c>
      <c r="AF16" s="167" t="s">
        <v>3469</v>
      </c>
    </row>
    <row r="17" spans="16:32" x14ac:dyDescent="0.25">
      <c r="P17" s="167" t="s">
        <v>739</v>
      </c>
      <c r="Q17" s="167">
        <v>356</v>
      </c>
      <c r="R17" s="167" t="s">
        <v>3397</v>
      </c>
      <c r="S17" s="167" t="s">
        <v>1917</v>
      </c>
      <c r="T17" s="167">
        <v>21</v>
      </c>
      <c r="U17" s="167" t="s">
        <v>1918</v>
      </c>
      <c r="V17" s="167" t="s">
        <v>3398</v>
      </c>
      <c r="AB17" s="167" t="s">
        <v>1536</v>
      </c>
      <c r="AC17" s="167">
        <v>353</v>
      </c>
      <c r="AD17" s="203">
        <v>43180</v>
      </c>
      <c r="AE17" s="203">
        <v>0</v>
      </c>
      <c r="AF17" s="167" t="s">
        <v>3469</v>
      </c>
    </row>
    <row r="18" spans="16:32" x14ac:dyDescent="0.25">
      <c r="P18" s="167" t="s">
        <v>739</v>
      </c>
      <c r="Q18" s="167">
        <v>356</v>
      </c>
      <c r="R18" s="167" t="s">
        <v>3397</v>
      </c>
      <c r="S18" s="167" t="s">
        <v>1021</v>
      </c>
      <c r="T18" s="167">
        <v>8</v>
      </c>
      <c r="U18" s="167" t="s">
        <v>3399</v>
      </c>
      <c r="V18" s="167" t="s">
        <v>3398</v>
      </c>
      <c r="AB18" s="167" t="s">
        <v>1536</v>
      </c>
      <c r="AC18" s="167">
        <v>353</v>
      </c>
      <c r="AD18" s="203">
        <v>43180</v>
      </c>
      <c r="AE18" s="203">
        <v>0</v>
      </c>
      <c r="AF18" s="167" t="s">
        <v>3469</v>
      </c>
    </row>
    <row r="19" spans="16:32" x14ac:dyDescent="0.25">
      <c r="P19" s="167" t="s">
        <v>739</v>
      </c>
      <c r="Q19" s="167">
        <v>356</v>
      </c>
      <c r="R19" s="167" t="s">
        <v>3397</v>
      </c>
      <c r="S19" s="167" t="s">
        <v>1028</v>
      </c>
      <c r="T19" s="167">
        <v>5</v>
      </c>
      <c r="U19" s="167" t="s">
        <v>2086</v>
      </c>
      <c r="V19" s="167" t="s">
        <v>3398</v>
      </c>
      <c r="AB19" s="167" t="s">
        <v>1536</v>
      </c>
      <c r="AC19" s="167">
        <v>353</v>
      </c>
      <c r="AD19" s="203">
        <v>43180</v>
      </c>
      <c r="AE19" s="203">
        <v>0</v>
      </c>
      <c r="AF19" s="167" t="s">
        <v>3469</v>
      </c>
    </row>
    <row r="20" spans="16:32" x14ac:dyDescent="0.25">
      <c r="P20" s="167" t="s">
        <v>739</v>
      </c>
      <c r="Q20" s="167">
        <v>356</v>
      </c>
      <c r="R20" s="167" t="s">
        <v>3397</v>
      </c>
      <c r="S20" s="167" t="s">
        <v>3359</v>
      </c>
      <c r="T20" s="167">
        <v>1</v>
      </c>
      <c r="U20" s="167" t="s">
        <v>3400</v>
      </c>
      <c r="V20" s="167" t="s">
        <v>3398</v>
      </c>
      <c r="AB20" s="167" t="s">
        <v>1536</v>
      </c>
      <c r="AC20" s="167">
        <v>374</v>
      </c>
      <c r="AD20" s="203">
        <v>43195</v>
      </c>
      <c r="AE20" s="203">
        <v>0</v>
      </c>
      <c r="AF20" s="167" t="s">
        <v>3469</v>
      </c>
    </row>
    <row r="21" spans="16:32" x14ac:dyDescent="0.25">
      <c r="P21" s="167" t="s">
        <v>739</v>
      </c>
      <c r="Q21" s="167">
        <v>356</v>
      </c>
      <c r="R21" s="167" t="s">
        <v>3397</v>
      </c>
      <c r="S21" s="167" t="s">
        <v>1058</v>
      </c>
      <c r="T21" s="167">
        <v>21</v>
      </c>
      <c r="U21" s="167" t="s">
        <v>2259</v>
      </c>
      <c r="V21" s="167" t="s">
        <v>3398</v>
      </c>
      <c r="AB21" s="167" t="s">
        <v>1538</v>
      </c>
      <c r="AC21" s="167">
        <v>357</v>
      </c>
      <c r="AD21" s="203">
        <v>43139</v>
      </c>
      <c r="AE21" s="203">
        <v>43164</v>
      </c>
      <c r="AF21" s="167" t="s">
        <v>3470</v>
      </c>
    </row>
    <row r="22" spans="16:32" x14ac:dyDescent="0.25">
      <c r="P22" s="167" t="s">
        <v>739</v>
      </c>
      <c r="Q22" s="167">
        <v>356</v>
      </c>
      <c r="R22" s="167" t="s">
        <v>3397</v>
      </c>
      <c r="S22" s="167" t="s">
        <v>1091</v>
      </c>
      <c r="T22" s="167">
        <v>5</v>
      </c>
      <c r="U22" s="167" t="s">
        <v>3401</v>
      </c>
      <c r="V22" s="167" t="s">
        <v>3398</v>
      </c>
      <c r="AB22" s="167" t="s">
        <v>1538</v>
      </c>
      <c r="AC22" s="167">
        <v>364</v>
      </c>
      <c r="AD22" s="203">
        <v>43168</v>
      </c>
      <c r="AE22" s="203">
        <v>43179</v>
      </c>
      <c r="AF22" s="167" t="s">
        <v>3470</v>
      </c>
    </row>
    <row r="23" spans="16:32" x14ac:dyDescent="0.25">
      <c r="P23" s="167" t="s">
        <v>739</v>
      </c>
      <c r="Q23" s="167">
        <v>356</v>
      </c>
      <c r="R23" s="167" t="s">
        <v>3397</v>
      </c>
      <c r="S23" s="167" t="s">
        <v>3370</v>
      </c>
      <c r="T23" s="167">
        <v>2</v>
      </c>
      <c r="U23" s="167" t="s">
        <v>3402</v>
      </c>
      <c r="V23" s="167" t="s">
        <v>3398</v>
      </c>
      <c r="AB23" s="167" t="s">
        <v>1538</v>
      </c>
      <c r="AC23" s="167">
        <v>353</v>
      </c>
      <c r="AD23" s="203">
        <v>43180</v>
      </c>
      <c r="AE23" s="203">
        <v>0</v>
      </c>
      <c r="AF23" s="167" t="s">
        <v>3469</v>
      </c>
    </row>
    <row r="24" spans="16:32" x14ac:dyDescent="0.25">
      <c r="P24" s="167" t="s">
        <v>739</v>
      </c>
      <c r="Q24" s="167">
        <v>356</v>
      </c>
      <c r="R24" s="167" t="s">
        <v>3397</v>
      </c>
      <c r="S24" s="167" t="s">
        <v>3039</v>
      </c>
      <c r="T24" s="167">
        <v>10</v>
      </c>
      <c r="U24" s="167" t="s">
        <v>3040</v>
      </c>
      <c r="V24" s="167" t="s">
        <v>3398</v>
      </c>
      <c r="AB24" s="167" t="s">
        <v>1538</v>
      </c>
      <c r="AC24" s="167">
        <v>353</v>
      </c>
      <c r="AD24" s="203">
        <v>43180</v>
      </c>
      <c r="AE24" s="203">
        <v>0</v>
      </c>
      <c r="AF24" s="167" t="s">
        <v>3469</v>
      </c>
    </row>
    <row r="25" spans="16:32" x14ac:dyDescent="0.25">
      <c r="P25" s="167" t="s">
        <v>739</v>
      </c>
      <c r="Q25" s="167">
        <v>356</v>
      </c>
      <c r="R25" s="167" t="s">
        <v>3397</v>
      </c>
      <c r="S25" s="167" t="s">
        <v>3072</v>
      </c>
      <c r="T25" s="167">
        <v>1</v>
      </c>
      <c r="U25" s="167" t="s">
        <v>3073</v>
      </c>
      <c r="V25" s="167" t="s">
        <v>3398</v>
      </c>
      <c r="AB25" s="167" t="s">
        <v>1539</v>
      </c>
      <c r="AC25" s="167">
        <v>347</v>
      </c>
      <c r="AD25" s="203">
        <v>43118</v>
      </c>
      <c r="AE25" s="203">
        <v>43133</v>
      </c>
      <c r="AF25" s="167" t="s">
        <v>3470</v>
      </c>
    </row>
    <row r="26" spans="16:32" x14ac:dyDescent="0.25">
      <c r="P26" s="167" t="s">
        <v>739</v>
      </c>
      <c r="Q26" s="167">
        <v>356</v>
      </c>
      <c r="R26" s="167" t="s">
        <v>3397</v>
      </c>
      <c r="S26" s="167" t="s">
        <v>3153</v>
      </c>
      <c r="T26" s="167">
        <v>6</v>
      </c>
      <c r="U26" s="167" t="s">
        <v>3154</v>
      </c>
      <c r="V26" s="167" t="s">
        <v>3398</v>
      </c>
      <c r="AB26" s="167" t="s">
        <v>1539</v>
      </c>
      <c r="AC26" s="167">
        <v>340</v>
      </c>
      <c r="AD26" s="203">
        <v>43133</v>
      </c>
      <c r="AE26" s="203">
        <v>43168</v>
      </c>
      <c r="AF26" s="167" t="s">
        <v>3470</v>
      </c>
    </row>
    <row r="27" spans="16:32" x14ac:dyDescent="0.25">
      <c r="P27" s="167" t="s">
        <v>739</v>
      </c>
      <c r="Q27" s="167">
        <v>356</v>
      </c>
      <c r="R27" s="167" t="s">
        <v>3397</v>
      </c>
      <c r="S27" s="167" t="s">
        <v>3155</v>
      </c>
      <c r="T27" s="167">
        <v>2</v>
      </c>
      <c r="U27" s="167" t="s">
        <v>3156</v>
      </c>
      <c r="V27" s="167" t="s">
        <v>3398</v>
      </c>
      <c r="AB27" s="167" t="s">
        <v>1539</v>
      </c>
      <c r="AC27" s="167">
        <v>340</v>
      </c>
      <c r="AD27" s="203">
        <v>43133</v>
      </c>
      <c r="AE27" s="203">
        <v>43168</v>
      </c>
      <c r="AF27" s="167" t="s">
        <v>3470</v>
      </c>
    </row>
    <row r="28" spans="16:32" x14ac:dyDescent="0.25">
      <c r="P28" s="167" t="s">
        <v>739</v>
      </c>
      <c r="Q28" s="167">
        <v>356</v>
      </c>
      <c r="R28" s="167" t="s">
        <v>3397</v>
      </c>
      <c r="S28" s="167" t="s">
        <v>3332</v>
      </c>
      <c r="T28" s="167">
        <v>4</v>
      </c>
      <c r="U28" s="167" t="s">
        <v>3333</v>
      </c>
      <c r="V28" s="167" t="s">
        <v>3398</v>
      </c>
      <c r="AB28" s="167" t="s">
        <v>1539</v>
      </c>
      <c r="AC28" s="167">
        <v>357</v>
      </c>
      <c r="AD28" s="203">
        <v>43139</v>
      </c>
      <c r="AE28" s="203">
        <v>43164</v>
      </c>
      <c r="AF28" s="167" t="s">
        <v>3470</v>
      </c>
    </row>
    <row r="29" spans="16:32" x14ac:dyDescent="0.25">
      <c r="P29" s="167" t="s">
        <v>739</v>
      </c>
      <c r="Q29" s="167">
        <v>356</v>
      </c>
      <c r="R29" s="167" t="s">
        <v>3397</v>
      </c>
      <c r="S29" s="167" t="s">
        <v>3334</v>
      </c>
      <c r="T29" s="167">
        <v>2</v>
      </c>
      <c r="U29" s="167" t="s">
        <v>3335</v>
      </c>
      <c r="V29" s="167" t="s">
        <v>3398</v>
      </c>
      <c r="AB29" s="167" t="s">
        <v>1539</v>
      </c>
      <c r="AC29" s="167">
        <v>364</v>
      </c>
      <c r="AD29" s="203">
        <v>43168</v>
      </c>
      <c r="AE29" s="203">
        <v>43179</v>
      </c>
      <c r="AF29" s="167" t="s">
        <v>3470</v>
      </c>
    </row>
    <row r="30" spans="16:32" x14ac:dyDescent="0.25">
      <c r="P30" s="167" t="s">
        <v>739</v>
      </c>
      <c r="Q30" s="167">
        <v>365</v>
      </c>
      <c r="R30" s="167" t="s">
        <v>3403</v>
      </c>
      <c r="S30" s="167" t="s">
        <v>1097</v>
      </c>
      <c r="T30" s="167">
        <v>55</v>
      </c>
      <c r="U30" s="167" t="s">
        <v>2974</v>
      </c>
      <c r="V30" s="167" t="s">
        <v>3404</v>
      </c>
      <c r="AB30" s="167" t="s">
        <v>1539</v>
      </c>
      <c r="AC30" s="167">
        <v>353</v>
      </c>
      <c r="AD30" s="203">
        <v>43180</v>
      </c>
      <c r="AE30" s="203">
        <v>0</v>
      </c>
      <c r="AF30" s="167" t="s">
        <v>3469</v>
      </c>
    </row>
    <row r="31" spans="16:32" x14ac:dyDescent="0.25">
      <c r="P31" s="167" t="s">
        <v>739</v>
      </c>
      <c r="Q31" s="167">
        <v>365</v>
      </c>
      <c r="R31" s="167" t="s">
        <v>3403</v>
      </c>
      <c r="S31" s="167" t="s">
        <v>1098</v>
      </c>
      <c r="T31" s="167">
        <v>40</v>
      </c>
      <c r="U31" s="167" t="s">
        <v>2975</v>
      </c>
      <c r="V31" s="167" t="s">
        <v>3404</v>
      </c>
      <c r="AB31" s="167" t="s">
        <v>1539</v>
      </c>
      <c r="AC31" s="167">
        <v>353</v>
      </c>
      <c r="AD31" s="203">
        <v>43180</v>
      </c>
      <c r="AE31" s="203">
        <v>0</v>
      </c>
      <c r="AF31" s="167" t="s">
        <v>3469</v>
      </c>
    </row>
    <row r="32" spans="16:32" x14ac:dyDescent="0.25">
      <c r="P32" s="167" t="s">
        <v>739</v>
      </c>
      <c r="Q32" s="167">
        <v>365</v>
      </c>
      <c r="R32" s="167" t="s">
        <v>3403</v>
      </c>
      <c r="S32" s="167" t="s">
        <v>1099</v>
      </c>
      <c r="T32" s="167">
        <v>20</v>
      </c>
      <c r="U32" s="167" t="s">
        <v>3047</v>
      </c>
      <c r="V32" s="167" t="s">
        <v>3404</v>
      </c>
      <c r="AB32" s="167" t="s">
        <v>1540</v>
      </c>
      <c r="AC32" s="167">
        <v>347</v>
      </c>
      <c r="AD32" s="203">
        <v>43118</v>
      </c>
      <c r="AE32" s="203">
        <v>43133</v>
      </c>
      <c r="AF32" s="167" t="s">
        <v>3470</v>
      </c>
    </row>
    <row r="33" spans="16:32" x14ac:dyDescent="0.25">
      <c r="P33" s="167" t="s">
        <v>739</v>
      </c>
      <c r="Q33" s="167">
        <v>365</v>
      </c>
      <c r="R33" s="167" t="s">
        <v>3403</v>
      </c>
      <c r="S33" s="167" t="s">
        <v>1100</v>
      </c>
      <c r="T33" s="167">
        <v>20</v>
      </c>
      <c r="U33" s="167" t="s">
        <v>3048</v>
      </c>
      <c r="V33" s="167" t="s">
        <v>3404</v>
      </c>
      <c r="AB33" s="167" t="s">
        <v>1540</v>
      </c>
      <c r="AC33" s="167">
        <v>340</v>
      </c>
      <c r="AD33" s="203">
        <v>43133</v>
      </c>
      <c r="AE33" s="203">
        <v>43168</v>
      </c>
      <c r="AF33" s="167" t="s">
        <v>3470</v>
      </c>
    </row>
    <row r="34" spans="16:32" x14ac:dyDescent="0.25">
      <c r="P34" s="167" t="s">
        <v>739</v>
      </c>
      <c r="Q34" s="167">
        <v>365</v>
      </c>
      <c r="R34" s="167" t="s">
        <v>3403</v>
      </c>
      <c r="S34" s="167" t="s">
        <v>1101</v>
      </c>
      <c r="T34" s="167">
        <v>65</v>
      </c>
      <c r="U34" s="167" t="s">
        <v>3049</v>
      </c>
      <c r="V34" s="167" t="s">
        <v>3404</v>
      </c>
      <c r="AB34" s="167" t="s">
        <v>1540</v>
      </c>
      <c r="AC34" s="167">
        <v>357</v>
      </c>
      <c r="AD34" s="203">
        <v>43139</v>
      </c>
      <c r="AE34" s="203">
        <v>43164</v>
      </c>
      <c r="AF34" s="167" t="s">
        <v>3470</v>
      </c>
    </row>
    <row r="35" spans="16:32" x14ac:dyDescent="0.25">
      <c r="P35" s="167" t="s">
        <v>739</v>
      </c>
      <c r="Q35" s="167">
        <v>365</v>
      </c>
      <c r="R35" s="167" t="s">
        <v>3403</v>
      </c>
      <c r="S35" s="167" t="s">
        <v>3384</v>
      </c>
      <c r="T35" s="167">
        <v>35</v>
      </c>
      <c r="U35" s="167" t="s">
        <v>3405</v>
      </c>
      <c r="V35" s="167" t="s">
        <v>3404</v>
      </c>
      <c r="AB35" s="167" t="s">
        <v>1540</v>
      </c>
      <c r="AC35" s="167">
        <v>364</v>
      </c>
      <c r="AD35" s="203">
        <v>43168</v>
      </c>
      <c r="AE35" s="203">
        <v>43179</v>
      </c>
      <c r="AF35" s="167" t="s">
        <v>3470</v>
      </c>
    </row>
    <row r="36" spans="16:32" x14ac:dyDescent="0.25">
      <c r="P36" s="167" t="s">
        <v>739</v>
      </c>
      <c r="Q36" s="167">
        <v>365</v>
      </c>
      <c r="R36" s="167" t="s">
        <v>3403</v>
      </c>
      <c r="S36" s="167" t="s">
        <v>3385</v>
      </c>
      <c r="T36" s="167">
        <v>35</v>
      </c>
      <c r="U36" s="167" t="s">
        <v>3406</v>
      </c>
      <c r="V36" s="167" t="s">
        <v>3404</v>
      </c>
      <c r="AB36" s="167" t="s">
        <v>1540</v>
      </c>
      <c r="AC36" s="167">
        <v>353</v>
      </c>
      <c r="AD36" s="203">
        <v>43180</v>
      </c>
      <c r="AE36" s="203">
        <v>0</v>
      </c>
      <c r="AF36" s="167" t="s">
        <v>3469</v>
      </c>
    </row>
    <row r="37" spans="16:32" x14ac:dyDescent="0.25">
      <c r="P37" s="167" t="s">
        <v>739</v>
      </c>
      <c r="Q37" s="167">
        <v>353</v>
      </c>
      <c r="R37" s="167" t="s">
        <v>3407</v>
      </c>
      <c r="S37" s="167" t="s">
        <v>3340</v>
      </c>
      <c r="T37" s="167">
        <v>11</v>
      </c>
      <c r="U37" s="167" t="s">
        <v>3408</v>
      </c>
      <c r="V37" s="167" t="s">
        <v>3409</v>
      </c>
      <c r="AB37" s="167" t="s">
        <v>1540</v>
      </c>
      <c r="AC37" s="167">
        <v>353</v>
      </c>
      <c r="AD37" s="203">
        <v>43180</v>
      </c>
      <c r="AE37" s="203">
        <v>0</v>
      </c>
      <c r="AF37" s="167" t="s">
        <v>3469</v>
      </c>
    </row>
    <row r="38" spans="16:32" x14ac:dyDescent="0.25">
      <c r="P38" s="167" t="s">
        <v>739</v>
      </c>
      <c r="Q38" s="167">
        <v>353</v>
      </c>
      <c r="R38" s="167" t="s">
        <v>3407</v>
      </c>
      <c r="S38" s="167" t="s">
        <v>1535</v>
      </c>
      <c r="T38" s="167">
        <v>7</v>
      </c>
      <c r="U38" s="167" t="s">
        <v>1536</v>
      </c>
      <c r="V38" s="167" t="s">
        <v>3409</v>
      </c>
      <c r="AB38" s="167" t="s">
        <v>1540</v>
      </c>
      <c r="AC38" s="167">
        <v>353</v>
      </c>
      <c r="AD38" s="203">
        <v>43180</v>
      </c>
      <c r="AE38" s="203">
        <v>0</v>
      </c>
      <c r="AF38" s="167" t="s">
        <v>3469</v>
      </c>
    </row>
    <row r="39" spans="16:32" x14ac:dyDescent="0.25">
      <c r="P39" s="167" t="s">
        <v>739</v>
      </c>
      <c r="Q39" s="167">
        <v>353</v>
      </c>
      <c r="R39" s="167" t="s">
        <v>3407</v>
      </c>
      <c r="S39" s="167" t="s">
        <v>1535</v>
      </c>
      <c r="T39" s="167">
        <v>10</v>
      </c>
      <c r="U39" s="167" t="s">
        <v>1536</v>
      </c>
      <c r="V39" s="167" t="s">
        <v>3409</v>
      </c>
      <c r="AB39" s="167" t="s">
        <v>3410</v>
      </c>
      <c r="AC39" s="167">
        <v>327</v>
      </c>
      <c r="AD39" s="203">
        <v>43074</v>
      </c>
      <c r="AE39" s="203">
        <v>43131</v>
      </c>
      <c r="AF39" s="167" t="s">
        <v>3470</v>
      </c>
    </row>
    <row r="40" spans="16:32" x14ac:dyDescent="0.25">
      <c r="P40" s="167" t="s">
        <v>739</v>
      </c>
      <c r="Q40" s="167">
        <v>353</v>
      </c>
      <c r="R40" s="167" t="s">
        <v>3407</v>
      </c>
      <c r="S40" s="167" t="s">
        <v>1535</v>
      </c>
      <c r="T40" s="167">
        <v>8</v>
      </c>
      <c r="U40" s="167" t="s">
        <v>1536</v>
      </c>
      <c r="V40" s="167" t="s">
        <v>3409</v>
      </c>
      <c r="AB40" s="167" t="s">
        <v>3410</v>
      </c>
      <c r="AC40" s="167">
        <v>347</v>
      </c>
      <c r="AD40" s="203">
        <v>43118</v>
      </c>
      <c r="AE40" s="203">
        <v>43133</v>
      </c>
      <c r="AF40" s="167" t="s">
        <v>3470</v>
      </c>
    </row>
    <row r="41" spans="16:32" x14ac:dyDescent="0.25">
      <c r="P41" s="167" t="s">
        <v>739</v>
      </c>
      <c r="Q41" s="167">
        <v>353</v>
      </c>
      <c r="R41" s="167" t="s">
        <v>3407</v>
      </c>
      <c r="S41" s="167" t="s">
        <v>1535</v>
      </c>
      <c r="T41" s="167">
        <v>2</v>
      </c>
      <c r="U41" s="167" t="s">
        <v>1536</v>
      </c>
      <c r="V41" s="167" t="s">
        <v>3409</v>
      </c>
      <c r="AB41" s="167" t="s">
        <v>3410</v>
      </c>
      <c r="AC41" s="167">
        <v>340</v>
      </c>
      <c r="AD41" s="203">
        <v>43133</v>
      </c>
      <c r="AE41" s="203">
        <v>43168</v>
      </c>
      <c r="AF41" s="167" t="s">
        <v>3470</v>
      </c>
    </row>
    <row r="42" spans="16:32" x14ac:dyDescent="0.25">
      <c r="P42" s="167" t="s">
        <v>739</v>
      </c>
      <c r="Q42" s="167">
        <v>353</v>
      </c>
      <c r="R42" s="167" t="s">
        <v>3407</v>
      </c>
      <c r="S42" s="167" t="s">
        <v>1537</v>
      </c>
      <c r="T42" s="167">
        <v>3</v>
      </c>
      <c r="U42" s="167" t="s">
        <v>1538</v>
      </c>
      <c r="V42" s="167" t="s">
        <v>3409</v>
      </c>
      <c r="AB42" s="167" t="s">
        <v>3410</v>
      </c>
      <c r="AC42" s="167">
        <v>357</v>
      </c>
      <c r="AD42" s="203">
        <v>43139</v>
      </c>
      <c r="AE42" s="203">
        <v>43164</v>
      </c>
      <c r="AF42" s="167" t="s">
        <v>3470</v>
      </c>
    </row>
    <row r="43" spans="16:32" x14ac:dyDescent="0.25">
      <c r="P43" s="167" t="s">
        <v>739</v>
      </c>
      <c r="Q43" s="167">
        <v>353</v>
      </c>
      <c r="R43" s="167" t="s">
        <v>3407</v>
      </c>
      <c r="S43" s="167" t="s">
        <v>1537</v>
      </c>
      <c r="T43" s="167">
        <v>7</v>
      </c>
      <c r="U43" s="167" t="s">
        <v>1538</v>
      </c>
      <c r="V43" s="167" t="s">
        <v>3409</v>
      </c>
      <c r="AB43" s="167" t="s">
        <v>3410</v>
      </c>
      <c r="AC43" s="167">
        <v>364</v>
      </c>
      <c r="AD43" s="203">
        <v>43168</v>
      </c>
      <c r="AE43" s="203">
        <v>43179</v>
      </c>
      <c r="AF43" s="167" t="s">
        <v>3470</v>
      </c>
    </row>
    <row r="44" spans="16:32" x14ac:dyDescent="0.25">
      <c r="P44" s="167" t="s">
        <v>739</v>
      </c>
      <c r="Q44" s="167">
        <v>353</v>
      </c>
      <c r="R44" s="167" t="s">
        <v>3407</v>
      </c>
      <c r="S44" s="167" t="s">
        <v>963</v>
      </c>
      <c r="T44" s="167">
        <v>10</v>
      </c>
      <c r="U44" s="167" t="s">
        <v>1539</v>
      </c>
      <c r="V44" s="167" t="s">
        <v>3409</v>
      </c>
      <c r="AB44" s="167" t="s">
        <v>3410</v>
      </c>
      <c r="AC44" s="167">
        <v>353</v>
      </c>
      <c r="AD44" s="203">
        <v>43180</v>
      </c>
      <c r="AE44" s="203">
        <v>0</v>
      </c>
      <c r="AF44" s="167" t="s">
        <v>3469</v>
      </c>
    </row>
    <row r="45" spans="16:32" x14ac:dyDescent="0.25">
      <c r="P45" s="167" t="s">
        <v>739</v>
      </c>
      <c r="Q45" s="167">
        <v>353</v>
      </c>
      <c r="R45" s="167" t="s">
        <v>3407</v>
      </c>
      <c r="S45" s="167" t="s">
        <v>963</v>
      </c>
      <c r="T45" s="167">
        <v>4</v>
      </c>
      <c r="U45" s="167" t="s">
        <v>1539</v>
      </c>
      <c r="V45" s="167" t="s">
        <v>3409</v>
      </c>
      <c r="AB45" s="167" t="s">
        <v>3410</v>
      </c>
      <c r="AC45" s="167">
        <v>353</v>
      </c>
      <c r="AD45" s="203">
        <v>43180</v>
      </c>
      <c r="AE45" s="203">
        <v>0</v>
      </c>
      <c r="AF45" s="167" t="s">
        <v>3469</v>
      </c>
    </row>
    <row r="46" spans="16:32" x14ac:dyDescent="0.25">
      <c r="P46" s="167" t="s">
        <v>739</v>
      </c>
      <c r="Q46" s="167">
        <v>353</v>
      </c>
      <c r="R46" s="167" t="s">
        <v>3407</v>
      </c>
      <c r="S46" s="167" t="s">
        <v>964</v>
      </c>
      <c r="T46" s="167">
        <v>17</v>
      </c>
      <c r="U46" s="167" t="s">
        <v>1540</v>
      </c>
      <c r="V46" s="167" t="s">
        <v>3409</v>
      </c>
      <c r="AB46" s="167" t="s">
        <v>1541</v>
      </c>
      <c r="AC46" s="167">
        <v>327</v>
      </c>
      <c r="AD46" s="203">
        <v>43074</v>
      </c>
      <c r="AE46" s="203">
        <v>43131</v>
      </c>
      <c r="AF46" s="167" t="s">
        <v>3470</v>
      </c>
    </row>
    <row r="47" spans="16:32" x14ac:dyDescent="0.25">
      <c r="P47" s="167" t="s">
        <v>739</v>
      </c>
      <c r="Q47" s="167">
        <v>353</v>
      </c>
      <c r="R47" s="167" t="s">
        <v>3407</v>
      </c>
      <c r="S47" s="167" t="s">
        <v>964</v>
      </c>
      <c r="T47" s="167">
        <v>100</v>
      </c>
      <c r="U47" s="167" t="s">
        <v>1540</v>
      </c>
      <c r="V47" s="167" t="s">
        <v>3409</v>
      </c>
      <c r="AB47" s="167" t="s">
        <v>1541</v>
      </c>
      <c r="AC47" s="167">
        <v>327</v>
      </c>
      <c r="AD47" s="203">
        <v>43074</v>
      </c>
      <c r="AE47" s="203">
        <v>43131</v>
      </c>
      <c r="AF47" s="167" t="s">
        <v>3470</v>
      </c>
    </row>
    <row r="48" spans="16:32" x14ac:dyDescent="0.25">
      <c r="P48" s="167" t="s">
        <v>739</v>
      </c>
      <c r="Q48" s="167">
        <v>353</v>
      </c>
      <c r="R48" s="167" t="s">
        <v>3407</v>
      </c>
      <c r="S48" s="167" t="s">
        <v>964</v>
      </c>
      <c r="T48" s="167">
        <v>31</v>
      </c>
      <c r="U48" s="167" t="s">
        <v>1540</v>
      </c>
      <c r="V48" s="167" t="s">
        <v>3409</v>
      </c>
      <c r="AB48" s="167" t="s">
        <v>1541</v>
      </c>
      <c r="AC48" s="167">
        <v>327</v>
      </c>
      <c r="AD48" s="203">
        <v>43074</v>
      </c>
      <c r="AE48" s="203">
        <v>43131</v>
      </c>
      <c r="AF48" s="167" t="s">
        <v>3470</v>
      </c>
    </row>
    <row r="49" spans="16:32" x14ac:dyDescent="0.25">
      <c r="P49" s="167" t="s">
        <v>739</v>
      </c>
      <c r="Q49" s="167">
        <v>353</v>
      </c>
      <c r="R49" s="167" t="s">
        <v>3407</v>
      </c>
      <c r="S49" s="167" t="s">
        <v>3341</v>
      </c>
      <c r="T49" s="167">
        <v>8</v>
      </c>
      <c r="U49" s="167" t="s">
        <v>3410</v>
      </c>
      <c r="V49" s="167" t="s">
        <v>3409</v>
      </c>
      <c r="AB49" s="167" t="s">
        <v>1541</v>
      </c>
      <c r="AC49" s="167">
        <v>347</v>
      </c>
      <c r="AD49" s="203">
        <v>43118</v>
      </c>
      <c r="AE49" s="203">
        <v>43133</v>
      </c>
      <c r="AF49" s="167" t="s">
        <v>3470</v>
      </c>
    </row>
    <row r="50" spans="16:32" x14ac:dyDescent="0.25">
      <c r="P50" s="167" t="s">
        <v>739</v>
      </c>
      <c r="Q50" s="167">
        <v>353</v>
      </c>
      <c r="R50" s="167" t="s">
        <v>3407</v>
      </c>
      <c r="S50" s="167" t="s">
        <v>3341</v>
      </c>
      <c r="T50" s="167">
        <v>3</v>
      </c>
      <c r="U50" s="167" t="s">
        <v>3410</v>
      </c>
      <c r="V50" s="167" t="s">
        <v>3409</v>
      </c>
      <c r="AB50" s="167" t="s">
        <v>1541</v>
      </c>
      <c r="AC50" s="167">
        <v>340</v>
      </c>
      <c r="AD50" s="203">
        <v>43133</v>
      </c>
      <c r="AE50" s="203">
        <v>43168</v>
      </c>
      <c r="AF50" s="167" t="s">
        <v>3470</v>
      </c>
    </row>
    <row r="51" spans="16:32" x14ac:dyDescent="0.25">
      <c r="P51" s="167" t="s">
        <v>739</v>
      </c>
      <c r="Q51" s="167">
        <v>353</v>
      </c>
      <c r="R51" s="167" t="s">
        <v>3407</v>
      </c>
      <c r="S51" s="167" t="s">
        <v>1542</v>
      </c>
      <c r="T51" s="167">
        <v>1</v>
      </c>
      <c r="U51" s="167" t="s">
        <v>1543</v>
      </c>
      <c r="V51" s="167" t="s">
        <v>3409</v>
      </c>
      <c r="AB51" s="167" t="s">
        <v>1543</v>
      </c>
      <c r="AC51" s="167">
        <v>327</v>
      </c>
      <c r="AD51" s="203">
        <v>43074</v>
      </c>
      <c r="AE51" s="203">
        <v>43131</v>
      </c>
      <c r="AF51" s="167" t="s">
        <v>3470</v>
      </c>
    </row>
    <row r="52" spans="16:32" x14ac:dyDescent="0.25">
      <c r="P52" s="167" t="s">
        <v>739</v>
      </c>
      <c r="Q52" s="167">
        <v>353</v>
      </c>
      <c r="R52" s="167" t="s">
        <v>3407</v>
      </c>
      <c r="S52" s="167" t="s">
        <v>1542</v>
      </c>
      <c r="T52" s="167">
        <v>4</v>
      </c>
      <c r="U52" s="167" t="s">
        <v>1543</v>
      </c>
      <c r="V52" s="167" t="s">
        <v>3409</v>
      </c>
      <c r="AB52" s="167" t="s">
        <v>1543</v>
      </c>
      <c r="AC52" s="167">
        <v>340</v>
      </c>
      <c r="AD52" s="203">
        <v>43133</v>
      </c>
      <c r="AE52" s="203">
        <v>43168</v>
      </c>
      <c r="AF52" s="167" t="s">
        <v>3470</v>
      </c>
    </row>
    <row r="53" spans="16:32" x14ac:dyDescent="0.25">
      <c r="P53" s="167" t="s">
        <v>739</v>
      </c>
      <c r="Q53" s="167">
        <v>353</v>
      </c>
      <c r="R53" s="167" t="s">
        <v>3407</v>
      </c>
      <c r="S53" s="167" t="s">
        <v>1544</v>
      </c>
      <c r="T53" s="167">
        <v>3</v>
      </c>
      <c r="U53" s="167" t="s">
        <v>1545</v>
      </c>
      <c r="V53" s="167" t="s">
        <v>3409</v>
      </c>
      <c r="AB53" s="167" t="s">
        <v>1543</v>
      </c>
      <c r="AC53" s="167">
        <v>357</v>
      </c>
      <c r="AD53" s="203">
        <v>43139</v>
      </c>
      <c r="AE53" s="203">
        <v>43164</v>
      </c>
      <c r="AF53" s="167" t="s">
        <v>3470</v>
      </c>
    </row>
    <row r="54" spans="16:32" x14ac:dyDescent="0.25">
      <c r="P54" s="167" t="s">
        <v>739</v>
      </c>
      <c r="Q54" s="167">
        <v>353</v>
      </c>
      <c r="R54" s="167" t="s">
        <v>3407</v>
      </c>
      <c r="S54" s="167" t="s">
        <v>1546</v>
      </c>
      <c r="T54" s="167">
        <v>8</v>
      </c>
      <c r="U54" s="167" t="s">
        <v>1547</v>
      </c>
      <c r="V54" s="167" t="s">
        <v>3409</v>
      </c>
      <c r="AB54" s="167" t="s">
        <v>1543</v>
      </c>
      <c r="AC54" s="167">
        <v>364</v>
      </c>
      <c r="AD54" s="203">
        <v>43168</v>
      </c>
      <c r="AE54" s="203">
        <v>43179</v>
      </c>
      <c r="AF54" s="167" t="s">
        <v>3470</v>
      </c>
    </row>
    <row r="55" spans="16:32" x14ac:dyDescent="0.25">
      <c r="P55" s="167" t="s">
        <v>739</v>
      </c>
      <c r="Q55" s="167">
        <v>353</v>
      </c>
      <c r="R55" s="167" t="s">
        <v>3407</v>
      </c>
      <c r="S55" s="167" t="s">
        <v>1546</v>
      </c>
      <c r="T55" s="167">
        <v>12</v>
      </c>
      <c r="U55" s="167" t="s">
        <v>1547</v>
      </c>
      <c r="V55" s="167" t="s">
        <v>3409</v>
      </c>
      <c r="AB55" s="167" t="s">
        <v>1543</v>
      </c>
      <c r="AC55" s="167">
        <v>353</v>
      </c>
      <c r="AD55" s="203">
        <v>43180</v>
      </c>
      <c r="AE55" s="203">
        <v>0</v>
      </c>
      <c r="AF55" s="167" t="s">
        <v>3469</v>
      </c>
    </row>
    <row r="56" spans="16:32" x14ac:dyDescent="0.25">
      <c r="P56" s="167" t="s">
        <v>739</v>
      </c>
      <c r="Q56" s="167">
        <v>353</v>
      </c>
      <c r="R56" s="167" t="s">
        <v>3407</v>
      </c>
      <c r="S56" s="167" t="s">
        <v>1557</v>
      </c>
      <c r="T56" s="167">
        <v>2</v>
      </c>
      <c r="U56" s="167" t="s">
        <v>1558</v>
      </c>
      <c r="V56" s="167" t="s">
        <v>3409</v>
      </c>
      <c r="AB56" s="167" t="s">
        <v>1543</v>
      </c>
      <c r="AC56" s="167">
        <v>353</v>
      </c>
      <c r="AD56" s="203">
        <v>43180</v>
      </c>
      <c r="AE56" s="203">
        <v>0</v>
      </c>
      <c r="AF56" s="167" t="s">
        <v>3469</v>
      </c>
    </row>
    <row r="57" spans="16:32" x14ac:dyDescent="0.25">
      <c r="P57" s="167" t="s">
        <v>739</v>
      </c>
      <c r="Q57" s="167">
        <v>353</v>
      </c>
      <c r="R57" s="167" t="s">
        <v>3407</v>
      </c>
      <c r="S57" s="167" t="s">
        <v>1559</v>
      </c>
      <c r="T57" s="167">
        <v>6</v>
      </c>
      <c r="U57" s="167" t="s">
        <v>1560</v>
      </c>
      <c r="V57" s="167" t="s">
        <v>3409</v>
      </c>
      <c r="AB57" s="167" t="s">
        <v>1545</v>
      </c>
      <c r="AC57" s="167">
        <v>347</v>
      </c>
      <c r="AD57" s="203">
        <v>43118</v>
      </c>
      <c r="AE57" s="203">
        <v>43133</v>
      </c>
      <c r="AF57" s="167" t="s">
        <v>3470</v>
      </c>
    </row>
    <row r="58" spans="16:32" x14ac:dyDescent="0.25">
      <c r="P58" s="167" t="s">
        <v>739</v>
      </c>
      <c r="Q58" s="167">
        <v>353</v>
      </c>
      <c r="R58" s="167" t="s">
        <v>3407</v>
      </c>
      <c r="S58" s="167" t="s">
        <v>1561</v>
      </c>
      <c r="T58" s="167">
        <v>3</v>
      </c>
      <c r="U58" s="167" t="s">
        <v>1562</v>
      </c>
      <c r="V58" s="167" t="s">
        <v>3409</v>
      </c>
      <c r="AB58" s="167" t="s">
        <v>1545</v>
      </c>
      <c r="AC58" s="167">
        <v>340</v>
      </c>
      <c r="AD58" s="203">
        <v>43133</v>
      </c>
      <c r="AE58" s="203">
        <v>43168</v>
      </c>
      <c r="AF58" s="167" t="s">
        <v>3470</v>
      </c>
    </row>
    <row r="59" spans="16:32" x14ac:dyDescent="0.25">
      <c r="P59" s="167" t="s">
        <v>739</v>
      </c>
      <c r="Q59" s="167">
        <v>353</v>
      </c>
      <c r="R59" s="167" t="s">
        <v>3407</v>
      </c>
      <c r="S59" s="167" t="s">
        <v>1564</v>
      </c>
      <c r="T59" s="167">
        <v>3</v>
      </c>
      <c r="U59" s="167" t="s">
        <v>1565</v>
      </c>
      <c r="V59" s="167" t="s">
        <v>3409</v>
      </c>
      <c r="AB59" s="167" t="s">
        <v>1545</v>
      </c>
      <c r="AC59" s="167">
        <v>364</v>
      </c>
      <c r="AD59" s="203">
        <v>43168</v>
      </c>
      <c r="AE59" s="203">
        <v>43179</v>
      </c>
      <c r="AF59" s="167" t="s">
        <v>3470</v>
      </c>
    </row>
    <row r="60" spans="16:32" x14ac:dyDescent="0.25">
      <c r="P60" s="167" t="s">
        <v>739</v>
      </c>
      <c r="Q60" s="167">
        <v>353</v>
      </c>
      <c r="R60" s="167" t="s">
        <v>3407</v>
      </c>
      <c r="S60" s="167" t="s">
        <v>1568</v>
      </c>
      <c r="T60" s="167">
        <v>16</v>
      </c>
      <c r="U60" s="167" t="s">
        <v>1569</v>
      </c>
      <c r="V60" s="167" t="s">
        <v>3409</v>
      </c>
      <c r="AB60" s="167" t="s">
        <v>1545</v>
      </c>
      <c r="AC60" s="167">
        <v>353</v>
      </c>
      <c r="AD60" s="203">
        <v>43180</v>
      </c>
      <c r="AE60" s="203">
        <v>0</v>
      </c>
      <c r="AF60" s="167" t="s">
        <v>3469</v>
      </c>
    </row>
    <row r="61" spans="16:32" x14ac:dyDescent="0.25">
      <c r="P61" s="167" t="s">
        <v>739</v>
      </c>
      <c r="Q61" s="167">
        <v>353</v>
      </c>
      <c r="R61" s="167" t="s">
        <v>3407</v>
      </c>
      <c r="S61" s="167" t="s">
        <v>1572</v>
      </c>
      <c r="T61" s="167">
        <v>4</v>
      </c>
      <c r="U61" s="167" t="s">
        <v>1573</v>
      </c>
      <c r="V61" s="167" t="s">
        <v>3409</v>
      </c>
      <c r="AB61" s="167" t="s">
        <v>1547</v>
      </c>
      <c r="AC61" s="167">
        <v>357</v>
      </c>
      <c r="AD61" s="203">
        <v>43139</v>
      </c>
      <c r="AE61" s="203">
        <v>43164</v>
      </c>
      <c r="AF61" s="167" t="s">
        <v>3470</v>
      </c>
    </row>
    <row r="62" spans="16:32" x14ac:dyDescent="0.25">
      <c r="P62" s="167" t="s">
        <v>739</v>
      </c>
      <c r="Q62" s="167">
        <v>353</v>
      </c>
      <c r="R62" s="167" t="s">
        <v>3407</v>
      </c>
      <c r="S62" s="167" t="s">
        <v>1577</v>
      </c>
      <c r="T62" s="167">
        <v>4</v>
      </c>
      <c r="U62" s="167" t="s">
        <v>1578</v>
      </c>
      <c r="V62" s="167" t="s">
        <v>3409</v>
      </c>
      <c r="AB62" s="167" t="s">
        <v>1547</v>
      </c>
      <c r="AC62" s="167">
        <v>364</v>
      </c>
      <c r="AD62" s="203">
        <v>43168</v>
      </c>
      <c r="AE62" s="203">
        <v>43179</v>
      </c>
      <c r="AF62" s="167" t="s">
        <v>3470</v>
      </c>
    </row>
    <row r="63" spans="16:32" x14ac:dyDescent="0.25">
      <c r="P63" s="167" t="s">
        <v>739</v>
      </c>
      <c r="Q63" s="167">
        <v>353</v>
      </c>
      <c r="R63" s="167" t="s">
        <v>3407</v>
      </c>
      <c r="S63" s="167" t="s">
        <v>1577</v>
      </c>
      <c r="T63" s="167">
        <v>17</v>
      </c>
      <c r="U63" s="167" t="s">
        <v>1578</v>
      </c>
      <c r="V63" s="167" t="s">
        <v>3409</v>
      </c>
      <c r="AB63" s="167" t="s">
        <v>1547</v>
      </c>
      <c r="AC63" s="167">
        <v>353</v>
      </c>
      <c r="AD63" s="203">
        <v>43180</v>
      </c>
      <c r="AE63" s="203">
        <v>0</v>
      </c>
      <c r="AF63" s="167" t="s">
        <v>3469</v>
      </c>
    </row>
    <row r="64" spans="16:32" x14ac:dyDescent="0.25">
      <c r="P64" s="167" t="s">
        <v>739</v>
      </c>
      <c r="Q64" s="167">
        <v>353</v>
      </c>
      <c r="R64" s="167" t="s">
        <v>3407</v>
      </c>
      <c r="S64" s="167" t="s">
        <v>1577</v>
      </c>
      <c r="T64" s="167">
        <v>2</v>
      </c>
      <c r="U64" s="167" t="s">
        <v>1578</v>
      </c>
      <c r="V64" s="167" t="s">
        <v>3409</v>
      </c>
      <c r="AB64" s="167" t="s">
        <v>1547</v>
      </c>
      <c r="AC64" s="167">
        <v>353</v>
      </c>
      <c r="AD64" s="203">
        <v>43180</v>
      </c>
      <c r="AE64" s="203">
        <v>0</v>
      </c>
      <c r="AF64" s="167" t="s">
        <v>3469</v>
      </c>
    </row>
    <row r="65" spans="16:32" x14ac:dyDescent="0.25">
      <c r="P65" s="167" t="s">
        <v>739</v>
      </c>
      <c r="Q65" s="167">
        <v>353</v>
      </c>
      <c r="R65" s="167" t="s">
        <v>3407</v>
      </c>
      <c r="S65" s="167" t="s">
        <v>967</v>
      </c>
      <c r="T65" s="167">
        <v>37</v>
      </c>
      <c r="U65" s="167" t="s">
        <v>1579</v>
      </c>
      <c r="V65" s="167" t="s">
        <v>3409</v>
      </c>
      <c r="AB65" s="167" t="s">
        <v>1548</v>
      </c>
      <c r="AC65" s="167">
        <v>347</v>
      </c>
      <c r="AD65" s="203">
        <v>43118</v>
      </c>
      <c r="AE65" s="203">
        <v>43133</v>
      </c>
      <c r="AF65" s="167" t="s">
        <v>3470</v>
      </c>
    </row>
    <row r="66" spans="16:32" x14ac:dyDescent="0.25">
      <c r="P66" s="167" t="s">
        <v>739</v>
      </c>
      <c r="Q66" s="167">
        <v>353</v>
      </c>
      <c r="R66" s="167" t="s">
        <v>3407</v>
      </c>
      <c r="S66" s="167" t="s">
        <v>967</v>
      </c>
      <c r="T66" s="167">
        <v>27</v>
      </c>
      <c r="U66" s="167" t="s">
        <v>1579</v>
      </c>
      <c r="V66" s="167" t="s">
        <v>3409</v>
      </c>
      <c r="AB66" s="167" t="s">
        <v>1548</v>
      </c>
      <c r="AC66" s="167">
        <v>364</v>
      </c>
      <c r="AD66" s="203">
        <v>43168</v>
      </c>
      <c r="AE66" s="203">
        <v>43179</v>
      </c>
      <c r="AF66" s="167" t="s">
        <v>3470</v>
      </c>
    </row>
    <row r="67" spans="16:32" x14ac:dyDescent="0.25">
      <c r="P67" s="167" t="s">
        <v>739</v>
      </c>
      <c r="Q67" s="167">
        <v>353</v>
      </c>
      <c r="R67" s="167" t="s">
        <v>3407</v>
      </c>
      <c r="S67" s="167" t="s">
        <v>967</v>
      </c>
      <c r="T67" s="167">
        <v>10</v>
      </c>
      <c r="U67" s="167" t="s">
        <v>1579</v>
      </c>
      <c r="V67" s="167" t="s">
        <v>3409</v>
      </c>
      <c r="AB67" s="167" t="s">
        <v>1549</v>
      </c>
      <c r="AC67" s="167">
        <v>323</v>
      </c>
      <c r="AD67" s="203">
        <v>43074</v>
      </c>
      <c r="AE67" s="203">
        <v>43111</v>
      </c>
      <c r="AF67" s="167" t="s">
        <v>3470</v>
      </c>
    </row>
    <row r="68" spans="16:32" x14ac:dyDescent="0.25">
      <c r="P68" s="167" t="s">
        <v>739</v>
      </c>
      <c r="Q68" s="167">
        <v>353</v>
      </c>
      <c r="R68" s="167" t="s">
        <v>3407</v>
      </c>
      <c r="S68" s="167" t="s">
        <v>3342</v>
      </c>
      <c r="T68" s="167">
        <v>1</v>
      </c>
      <c r="U68" s="167" t="s">
        <v>3411</v>
      </c>
      <c r="V68" s="167" t="s">
        <v>3409</v>
      </c>
      <c r="AB68" s="167" t="s">
        <v>1549</v>
      </c>
      <c r="AC68" s="167">
        <v>347</v>
      </c>
      <c r="AD68" s="203">
        <v>43118</v>
      </c>
      <c r="AE68" s="203">
        <v>43133</v>
      </c>
      <c r="AF68" s="167" t="s">
        <v>3470</v>
      </c>
    </row>
    <row r="69" spans="16:32" x14ac:dyDescent="0.25">
      <c r="P69" s="167" t="s">
        <v>739</v>
      </c>
      <c r="Q69" s="167">
        <v>353</v>
      </c>
      <c r="R69" s="167" t="s">
        <v>3407</v>
      </c>
      <c r="S69" s="167" t="s">
        <v>968</v>
      </c>
      <c r="T69" s="167">
        <v>483</v>
      </c>
      <c r="U69" s="167" t="s">
        <v>1580</v>
      </c>
      <c r="V69" s="167" t="s">
        <v>3409</v>
      </c>
      <c r="AB69" s="167" t="s">
        <v>1549</v>
      </c>
      <c r="AC69" s="167">
        <v>340</v>
      </c>
      <c r="AD69" s="203">
        <v>43133</v>
      </c>
      <c r="AE69" s="203">
        <v>43168</v>
      </c>
      <c r="AF69" s="167" t="s">
        <v>3470</v>
      </c>
    </row>
    <row r="70" spans="16:32" x14ac:dyDescent="0.25">
      <c r="P70" s="167" t="s">
        <v>739</v>
      </c>
      <c r="Q70" s="167">
        <v>353</v>
      </c>
      <c r="R70" s="167" t="s">
        <v>3407</v>
      </c>
      <c r="S70" s="167" t="s">
        <v>968</v>
      </c>
      <c r="T70" s="167">
        <v>200</v>
      </c>
      <c r="U70" s="167" t="s">
        <v>1580</v>
      </c>
      <c r="V70" s="167" t="s">
        <v>3409</v>
      </c>
      <c r="AB70" s="167" t="s">
        <v>1551</v>
      </c>
      <c r="AC70" s="167">
        <v>323</v>
      </c>
      <c r="AD70" s="203">
        <v>43074</v>
      </c>
      <c r="AE70" s="203">
        <v>43111</v>
      </c>
      <c r="AF70" s="167" t="s">
        <v>3470</v>
      </c>
    </row>
    <row r="71" spans="16:32" x14ac:dyDescent="0.25">
      <c r="P71" s="167" t="s">
        <v>739</v>
      </c>
      <c r="Q71" s="167">
        <v>353</v>
      </c>
      <c r="R71" s="167" t="s">
        <v>3407</v>
      </c>
      <c r="S71" s="167" t="s">
        <v>1581</v>
      </c>
      <c r="T71" s="167">
        <v>38</v>
      </c>
      <c r="U71" s="167" t="s">
        <v>1582</v>
      </c>
      <c r="V71" s="167" t="s">
        <v>3409</v>
      </c>
      <c r="AB71" s="167" t="s">
        <v>1551</v>
      </c>
      <c r="AC71" s="167">
        <v>327</v>
      </c>
      <c r="AD71" s="203">
        <v>43074</v>
      </c>
      <c r="AE71" s="203">
        <v>43131</v>
      </c>
      <c r="AF71" s="167" t="s">
        <v>3470</v>
      </c>
    </row>
    <row r="72" spans="16:32" x14ac:dyDescent="0.25">
      <c r="P72" s="167" t="s">
        <v>739</v>
      </c>
      <c r="Q72" s="167">
        <v>353</v>
      </c>
      <c r="R72" s="167" t="s">
        <v>3407</v>
      </c>
      <c r="S72" s="167" t="s">
        <v>1583</v>
      </c>
      <c r="T72" s="167">
        <v>5</v>
      </c>
      <c r="U72" s="167" t="s">
        <v>1584</v>
      </c>
      <c r="V72" s="167" t="s">
        <v>3409</v>
      </c>
      <c r="AB72" s="167" t="s">
        <v>1551</v>
      </c>
      <c r="AC72" s="167">
        <v>347</v>
      </c>
      <c r="AD72" s="203">
        <v>43118</v>
      </c>
      <c r="AE72" s="203">
        <v>43133</v>
      </c>
      <c r="AF72" s="167" t="s">
        <v>3470</v>
      </c>
    </row>
    <row r="73" spans="16:32" x14ac:dyDescent="0.25">
      <c r="P73" s="167" t="s">
        <v>739</v>
      </c>
      <c r="Q73" s="167">
        <v>353</v>
      </c>
      <c r="R73" s="167" t="s">
        <v>3407</v>
      </c>
      <c r="S73" s="167" t="s">
        <v>1585</v>
      </c>
      <c r="T73" s="167">
        <v>5</v>
      </c>
      <c r="U73" s="167" t="s">
        <v>1586</v>
      </c>
      <c r="V73" s="167" t="s">
        <v>3409</v>
      </c>
      <c r="AB73" s="167" t="s">
        <v>1551</v>
      </c>
      <c r="AC73" s="167">
        <v>340</v>
      </c>
      <c r="AD73" s="203">
        <v>43133</v>
      </c>
      <c r="AE73" s="203">
        <v>43168</v>
      </c>
      <c r="AF73" s="167" t="s">
        <v>3470</v>
      </c>
    </row>
    <row r="74" spans="16:32" x14ac:dyDescent="0.25">
      <c r="P74" s="167" t="s">
        <v>739</v>
      </c>
      <c r="Q74" s="167">
        <v>353</v>
      </c>
      <c r="R74" s="167" t="s">
        <v>3407</v>
      </c>
      <c r="S74" s="167" t="s">
        <v>1585</v>
      </c>
      <c r="T74" s="167">
        <v>10</v>
      </c>
      <c r="U74" s="167" t="s">
        <v>1586</v>
      </c>
      <c r="V74" s="167" t="s">
        <v>3409</v>
      </c>
      <c r="AB74" s="167" t="s">
        <v>1551</v>
      </c>
      <c r="AC74" s="167">
        <v>374</v>
      </c>
      <c r="AD74" s="203">
        <v>43195</v>
      </c>
      <c r="AE74" s="203">
        <v>0</v>
      </c>
      <c r="AF74" s="167" t="s">
        <v>3469</v>
      </c>
    </row>
    <row r="75" spans="16:32" x14ac:dyDescent="0.25">
      <c r="P75" s="167" t="s">
        <v>739</v>
      </c>
      <c r="Q75" s="167">
        <v>353</v>
      </c>
      <c r="R75" s="167" t="s">
        <v>3407</v>
      </c>
      <c r="S75" s="167" t="s">
        <v>1588</v>
      </c>
      <c r="T75" s="167">
        <v>12</v>
      </c>
      <c r="U75" s="167" t="s">
        <v>1589</v>
      </c>
      <c r="V75" s="167" t="s">
        <v>3409</v>
      </c>
      <c r="AB75" s="167" t="s">
        <v>1552</v>
      </c>
      <c r="AC75" s="167">
        <v>347</v>
      </c>
      <c r="AD75" s="203">
        <v>43118</v>
      </c>
      <c r="AE75" s="203">
        <v>43133</v>
      </c>
      <c r="AF75" s="167" t="s">
        <v>3470</v>
      </c>
    </row>
    <row r="76" spans="16:32" x14ac:dyDescent="0.25">
      <c r="P76" s="167" t="s">
        <v>739</v>
      </c>
      <c r="Q76" s="167">
        <v>353</v>
      </c>
      <c r="R76" s="167" t="s">
        <v>3407</v>
      </c>
      <c r="S76" s="167" t="s">
        <v>1588</v>
      </c>
      <c r="T76" s="167">
        <v>7</v>
      </c>
      <c r="U76" s="167" t="s">
        <v>1589</v>
      </c>
      <c r="V76" s="167" t="s">
        <v>3409</v>
      </c>
      <c r="AB76" s="167" t="s">
        <v>1552</v>
      </c>
      <c r="AC76" s="167">
        <v>340</v>
      </c>
      <c r="AD76" s="203">
        <v>43133</v>
      </c>
      <c r="AE76" s="203">
        <v>43168</v>
      </c>
      <c r="AF76" s="167" t="s">
        <v>3470</v>
      </c>
    </row>
    <row r="77" spans="16:32" x14ac:dyDescent="0.25">
      <c r="P77" s="167" t="s">
        <v>739</v>
      </c>
      <c r="Q77" s="167">
        <v>353</v>
      </c>
      <c r="R77" s="167" t="s">
        <v>3407</v>
      </c>
      <c r="S77" s="167" t="s">
        <v>1590</v>
      </c>
      <c r="T77" s="167">
        <v>3</v>
      </c>
      <c r="U77" s="167" t="s">
        <v>1591</v>
      </c>
      <c r="V77" s="167" t="s">
        <v>3409</v>
      </c>
      <c r="AB77" s="167" t="s">
        <v>1553</v>
      </c>
      <c r="AC77" s="167">
        <v>327</v>
      </c>
      <c r="AD77" s="203">
        <v>43074</v>
      </c>
      <c r="AE77" s="203">
        <v>43131</v>
      </c>
      <c r="AF77" s="167" t="s">
        <v>3470</v>
      </c>
    </row>
    <row r="78" spans="16:32" x14ac:dyDescent="0.25">
      <c r="P78" s="167" t="s">
        <v>739</v>
      </c>
      <c r="Q78" s="167">
        <v>353</v>
      </c>
      <c r="R78" s="167" t="s">
        <v>3407</v>
      </c>
      <c r="S78" s="167" t="s">
        <v>1592</v>
      </c>
      <c r="T78" s="167">
        <v>5</v>
      </c>
      <c r="U78" s="167" t="s">
        <v>1593</v>
      </c>
      <c r="V78" s="167" t="s">
        <v>3409</v>
      </c>
      <c r="AB78" s="167" t="s">
        <v>1553</v>
      </c>
      <c r="AC78" s="167">
        <v>347</v>
      </c>
      <c r="AD78" s="203">
        <v>43118</v>
      </c>
      <c r="AE78" s="203">
        <v>43133</v>
      </c>
      <c r="AF78" s="167" t="s">
        <v>3470</v>
      </c>
    </row>
    <row r="79" spans="16:32" x14ac:dyDescent="0.25">
      <c r="P79" s="167" t="s">
        <v>739</v>
      </c>
      <c r="Q79" s="167">
        <v>353</v>
      </c>
      <c r="R79" s="167" t="s">
        <v>3407</v>
      </c>
      <c r="S79" s="167" t="s">
        <v>1592</v>
      </c>
      <c r="T79" s="167">
        <v>3</v>
      </c>
      <c r="U79" s="167" t="s">
        <v>1593</v>
      </c>
      <c r="V79" s="167" t="s">
        <v>3409</v>
      </c>
      <c r="AB79" s="167" t="s">
        <v>1553</v>
      </c>
      <c r="AC79" s="167">
        <v>340</v>
      </c>
      <c r="AD79" s="203">
        <v>43133</v>
      </c>
      <c r="AE79" s="203">
        <v>43168</v>
      </c>
      <c r="AF79" s="167" t="s">
        <v>3470</v>
      </c>
    </row>
    <row r="80" spans="16:32" x14ac:dyDescent="0.25">
      <c r="P80" s="167" t="s">
        <v>739</v>
      </c>
      <c r="Q80" s="167">
        <v>353</v>
      </c>
      <c r="R80" s="167" t="s">
        <v>3407</v>
      </c>
      <c r="S80" s="167" t="s">
        <v>1594</v>
      </c>
      <c r="T80" s="167">
        <v>3</v>
      </c>
      <c r="U80" s="167" t="s">
        <v>1595</v>
      </c>
      <c r="V80" s="167" t="s">
        <v>3409</v>
      </c>
      <c r="AB80" s="167" t="s">
        <v>1553</v>
      </c>
      <c r="AC80" s="167">
        <v>340</v>
      </c>
      <c r="AD80" s="203">
        <v>43133</v>
      </c>
      <c r="AE80" s="203">
        <v>43168</v>
      </c>
      <c r="AF80" s="167" t="s">
        <v>3470</v>
      </c>
    </row>
    <row r="81" spans="16:32" x14ac:dyDescent="0.25">
      <c r="P81" s="167" t="s">
        <v>739</v>
      </c>
      <c r="Q81" s="167">
        <v>353</v>
      </c>
      <c r="R81" s="167" t="s">
        <v>3407</v>
      </c>
      <c r="S81" s="167" t="s">
        <v>1601</v>
      </c>
      <c r="T81" s="167">
        <v>1</v>
      </c>
      <c r="U81" s="167" t="s">
        <v>1602</v>
      </c>
      <c r="V81" s="167" t="s">
        <v>3409</v>
      </c>
      <c r="AB81" s="167" t="s">
        <v>1555</v>
      </c>
      <c r="AC81" s="167">
        <v>323</v>
      </c>
      <c r="AD81" s="203">
        <v>43074</v>
      </c>
      <c r="AE81" s="203">
        <v>43111</v>
      </c>
      <c r="AF81" s="167" t="s">
        <v>3470</v>
      </c>
    </row>
    <row r="82" spans="16:32" x14ac:dyDescent="0.25">
      <c r="P82" s="167" t="s">
        <v>739</v>
      </c>
      <c r="Q82" s="167">
        <v>353</v>
      </c>
      <c r="R82" s="167" t="s">
        <v>3407</v>
      </c>
      <c r="S82" s="167" t="s">
        <v>970</v>
      </c>
      <c r="T82" s="167">
        <v>20</v>
      </c>
      <c r="U82" s="167" t="s">
        <v>1604</v>
      </c>
      <c r="V82" s="167" t="s">
        <v>3409</v>
      </c>
      <c r="AB82" s="167" t="s">
        <v>1555</v>
      </c>
      <c r="AC82" s="167">
        <v>327</v>
      </c>
      <c r="AD82" s="203">
        <v>43074</v>
      </c>
      <c r="AE82" s="203">
        <v>43131</v>
      </c>
      <c r="AF82" s="167" t="s">
        <v>3470</v>
      </c>
    </row>
    <row r="83" spans="16:32" x14ac:dyDescent="0.25">
      <c r="P83" s="167" t="s">
        <v>739</v>
      </c>
      <c r="Q83" s="167">
        <v>353</v>
      </c>
      <c r="R83" s="167" t="s">
        <v>3407</v>
      </c>
      <c r="S83" s="167" t="s">
        <v>970</v>
      </c>
      <c r="T83" s="167">
        <v>5</v>
      </c>
      <c r="U83" s="167" t="s">
        <v>1604</v>
      </c>
      <c r="V83" s="167" t="s">
        <v>3409</v>
      </c>
      <c r="AB83" s="167" t="s">
        <v>1555</v>
      </c>
      <c r="AC83" s="167">
        <v>347</v>
      </c>
      <c r="AD83" s="203">
        <v>43118</v>
      </c>
      <c r="AE83" s="203">
        <v>43133</v>
      </c>
      <c r="AF83" s="167" t="s">
        <v>3470</v>
      </c>
    </row>
    <row r="84" spans="16:32" x14ac:dyDescent="0.25">
      <c r="P84" s="167" t="s">
        <v>739</v>
      </c>
      <c r="Q84" s="167">
        <v>353</v>
      </c>
      <c r="R84" s="167" t="s">
        <v>3407</v>
      </c>
      <c r="S84" s="167" t="s">
        <v>1606</v>
      </c>
      <c r="T84" s="167">
        <v>3</v>
      </c>
      <c r="U84" s="167" t="s">
        <v>1607</v>
      </c>
      <c r="V84" s="167" t="s">
        <v>3409</v>
      </c>
      <c r="AB84" s="167" t="s">
        <v>1555</v>
      </c>
      <c r="AC84" s="167">
        <v>340</v>
      </c>
      <c r="AD84" s="203">
        <v>43133</v>
      </c>
      <c r="AE84" s="203">
        <v>43168</v>
      </c>
      <c r="AF84" s="167" t="s">
        <v>3470</v>
      </c>
    </row>
    <row r="85" spans="16:32" x14ac:dyDescent="0.25">
      <c r="P85" s="167" t="s">
        <v>739</v>
      </c>
      <c r="Q85" s="167">
        <v>353</v>
      </c>
      <c r="R85" s="167" t="s">
        <v>3407</v>
      </c>
      <c r="S85" s="167" t="s">
        <v>971</v>
      </c>
      <c r="T85" s="167">
        <v>3</v>
      </c>
      <c r="U85" s="167" t="s">
        <v>1611</v>
      </c>
      <c r="V85" s="167" t="s">
        <v>3409</v>
      </c>
      <c r="AB85" s="167" t="s">
        <v>1555</v>
      </c>
      <c r="AC85" s="167">
        <v>340</v>
      </c>
      <c r="AD85" s="203">
        <v>43133</v>
      </c>
      <c r="AE85" s="203">
        <v>43168</v>
      </c>
      <c r="AF85" s="167" t="s">
        <v>3470</v>
      </c>
    </row>
    <row r="86" spans="16:32" x14ac:dyDescent="0.25">
      <c r="P86" s="167" t="s">
        <v>739</v>
      </c>
      <c r="Q86" s="167">
        <v>353</v>
      </c>
      <c r="R86" s="167" t="s">
        <v>3407</v>
      </c>
      <c r="S86" s="167" t="s">
        <v>971</v>
      </c>
      <c r="T86" s="167">
        <v>11</v>
      </c>
      <c r="U86" s="167" t="s">
        <v>1611</v>
      </c>
      <c r="V86" s="167" t="s">
        <v>3409</v>
      </c>
      <c r="AB86" s="167" t="s">
        <v>1555</v>
      </c>
      <c r="AC86" s="167">
        <v>374</v>
      </c>
      <c r="AD86" s="203">
        <v>43195</v>
      </c>
      <c r="AE86" s="203">
        <v>0</v>
      </c>
      <c r="AF86" s="167" t="s">
        <v>3469</v>
      </c>
    </row>
    <row r="87" spans="16:32" x14ac:dyDescent="0.25">
      <c r="P87" s="167" t="s">
        <v>739</v>
      </c>
      <c r="Q87" s="167">
        <v>353</v>
      </c>
      <c r="R87" s="167" t="s">
        <v>3407</v>
      </c>
      <c r="S87" s="167" t="s">
        <v>973</v>
      </c>
      <c r="T87" s="167">
        <v>6</v>
      </c>
      <c r="U87" s="167" t="s">
        <v>1613</v>
      </c>
      <c r="V87" s="167" t="s">
        <v>3409</v>
      </c>
      <c r="AB87" s="167" t="s">
        <v>1556</v>
      </c>
      <c r="AC87" s="167">
        <v>347</v>
      </c>
      <c r="AD87" s="203">
        <v>43118</v>
      </c>
      <c r="AE87" s="203">
        <v>43133</v>
      </c>
      <c r="AF87" s="167" t="s">
        <v>3470</v>
      </c>
    </row>
    <row r="88" spans="16:32" x14ac:dyDescent="0.25">
      <c r="P88" s="167" t="s">
        <v>739</v>
      </c>
      <c r="Q88" s="167">
        <v>353</v>
      </c>
      <c r="R88" s="167" t="s">
        <v>3407</v>
      </c>
      <c r="S88" s="167" t="s">
        <v>1614</v>
      </c>
      <c r="T88" s="167">
        <v>7</v>
      </c>
      <c r="U88" s="167" t="s">
        <v>1615</v>
      </c>
      <c r="V88" s="167" t="s">
        <v>3409</v>
      </c>
      <c r="AB88" s="167" t="s">
        <v>1556</v>
      </c>
      <c r="AC88" s="167">
        <v>340</v>
      </c>
      <c r="AD88" s="203">
        <v>43133</v>
      </c>
      <c r="AE88" s="203">
        <v>43168</v>
      </c>
      <c r="AF88" s="167" t="s">
        <v>3470</v>
      </c>
    </row>
    <row r="89" spans="16:32" x14ac:dyDescent="0.25">
      <c r="P89" s="167" t="s">
        <v>739</v>
      </c>
      <c r="Q89" s="167">
        <v>353</v>
      </c>
      <c r="R89" s="167" t="s">
        <v>3407</v>
      </c>
      <c r="S89" s="167" t="s">
        <v>1614</v>
      </c>
      <c r="T89" s="167">
        <v>5</v>
      </c>
      <c r="U89" s="167" t="s">
        <v>1615</v>
      </c>
      <c r="V89" s="167" t="s">
        <v>3409</v>
      </c>
      <c r="AB89" s="167" t="s">
        <v>1558</v>
      </c>
      <c r="AC89" s="167">
        <v>364</v>
      </c>
      <c r="AD89" s="203">
        <v>43168</v>
      </c>
      <c r="AE89" s="203">
        <v>43179</v>
      </c>
      <c r="AF89" s="167" t="s">
        <v>3470</v>
      </c>
    </row>
    <row r="90" spans="16:32" x14ac:dyDescent="0.25">
      <c r="P90" s="167" t="s">
        <v>739</v>
      </c>
      <c r="Q90" s="167">
        <v>353</v>
      </c>
      <c r="R90" s="167" t="s">
        <v>3407</v>
      </c>
      <c r="S90" s="167" t="s">
        <v>1614</v>
      </c>
      <c r="T90" s="167">
        <v>34</v>
      </c>
      <c r="U90" s="167" t="s">
        <v>1615</v>
      </c>
      <c r="V90" s="167" t="s">
        <v>3409</v>
      </c>
      <c r="AB90" s="167" t="s">
        <v>1558</v>
      </c>
      <c r="AC90" s="167">
        <v>353</v>
      </c>
      <c r="AD90" s="203">
        <v>43180</v>
      </c>
      <c r="AE90" s="203">
        <v>0</v>
      </c>
      <c r="AF90" s="167" t="s">
        <v>3469</v>
      </c>
    </row>
    <row r="91" spans="16:32" x14ac:dyDescent="0.25">
      <c r="P91" s="167" t="s">
        <v>739</v>
      </c>
      <c r="Q91" s="167">
        <v>353</v>
      </c>
      <c r="R91" s="167" t="s">
        <v>3407</v>
      </c>
      <c r="S91" s="167" t="s">
        <v>1618</v>
      </c>
      <c r="T91" s="167">
        <v>34</v>
      </c>
      <c r="U91" s="167" t="s">
        <v>1619</v>
      </c>
      <c r="V91" s="167" t="s">
        <v>3409</v>
      </c>
      <c r="AB91" s="167" t="s">
        <v>1560</v>
      </c>
      <c r="AC91" s="167">
        <v>327</v>
      </c>
      <c r="AD91" s="203">
        <v>43074</v>
      </c>
      <c r="AE91" s="203">
        <v>43131</v>
      </c>
      <c r="AF91" s="167" t="s">
        <v>3470</v>
      </c>
    </row>
    <row r="92" spans="16:32" x14ac:dyDescent="0.25">
      <c r="P92" s="167" t="s">
        <v>739</v>
      </c>
      <c r="Q92" s="167">
        <v>353</v>
      </c>
      <c r="R92" s="167" t="s">
        <v>3407</v>
      </c>
      <c r="S92" s="167" t="s">
        <v>1620</v>
      </c>
      <c r="T92" s="167">
        <v>3</v>
      </c>
      <c r="U92" s="167" t="s">
        <v>1621</v>
      </c>
      <c r="V92" s="167" t="s">
        <v>3409</v>
      </c>
      <c r="AB92" s="167" t="s">
        <v>1560</v>
      </c>
      <c r="AC92" s="167">
        <v>364</v>
      </c>
      <c r="AD92" s="203">
        <v>43168</v>
      </c>
      <c r="AE92" s="203">
        <v>43179</v>
      </c>
      <c r="AF92" s="167" t="s">
        <v>3470</v>
      </c>
    </row>
    <row r="93" spans="16:32" x14ac:dyDescent="0.25">
      <c r="P93" s="167" t="s">
        <v>739</v>
      </c>
      <c r="Q93" s="167">
        <v>353</v>
      </c>
      <c r="R93" s="167" t="s">
        <v>3407</v>
      </c>
      <c r="S93" s="167" t="s">
        <v>1622</v>
      </c>
      <c r="T93" s="167">
        <v>2</v>
      </c>
      <c r="U93" s="167" t="s">
        <v>1623</v>
      </c>
      <c r="V93" s="167" t="s">
        <v>3409</v>
      </c>
      <c r="AB93" s="167" t="s">
        <v>1560</v>
      </c>
      <c r="AC93" s="167">
        <v>353</v>
      </c>
      <c r="AD93" s="203">
        <v>43180</v>
      </c>
      <c r="AE93" s="203">
        <v>0</v>
      </c>
      <c r="AF93" s="167" t="s">
        <v>3469</v>
      </c>
    </row>
    <row r="94" spans="16:32" x14ac:dyDescent="0.25">
      <c r="P94" s="167" t="s">
        <v>739</v>
      </c>
      <c r="Q94" s="167">
        <v>353</v>
      </c>
      <c r="R94" s="167" t="s">
        <v>3407</v>
      </c>
      <c r="S94" s="167" t="s">
        <v>1622</v>
      </c>
      <c r="T94" s="167">
        <v>2</v>
      </c>
      <c r="U94" s="167" t="s">
        <v>1623</v>
      </c>
      <c r="V94" s="167" t="s">
        <v>3409</v>
      </c>
      <c r="AB94" s="167" t="s">
        <v>1562</v>
      </c>
      <c r="AC94" s="167">
        <v>327</v>
      </c>
      <c r="AD94" s="203">
        <v>43074</v>
      </c>
      <c r="AE94" s="203">
        <v>43131</v>
      </c>
      <c r="AF94" s="167" t="s">
        <v>3470</v>
      </c>
    </row>
    <row r="95" spans="16:32" x14ac:dyDescent="0.25">
      <c r="P95" s="167" t="s">
        <v>739</v>
      </c>
      <c r="Q95" s="167">
        <v>353</v>
      </c>
      <c r="R95" s="167" t="s">
        <v>3407</v>
      </c>
      <c r="S95" s="167" t="s">
        <v>1624</v>
      </c>
      <c r="T95" s="167">
        <v>4</v>
      </c>
      <c r="U95" s="167" t="s">
        <v>1625</v>
      </c>
      <c r="V95" s="167" t="s">
        <v>3409</v>
      </c>
      <c r="AB95" s="167" t="s">
        <v>1562</v>
      </c>
      <c r="AC95" s="167">
        <v>364</v>
      </c>
      <c r="AD95" s="203">
        <v>43168</v>
      </c>
      <c r="AE95" s="203">
        <v>43179</v>
      </c>
      <c r="AF95" s="167" t="s">
        <v>3470</v>
      </c>
    </row>
    <row r="96" spans="16:32" x14ac:dyDescent="0.25">
      <c r="P96" s="167" t="s">
        <v>739</v>
      </c>
      <c r="Q96" s="167">
        <v>353</v>
      </c>
      <c r="R96" s="167" t="s">
        <v>3407</v>
      </c>
      <c r="S96" s="167" t="s">
        <v>1626</v>
      </c>
      <c r="T96" s="167">
        <v>28</v>
      </c>
      <c r="U96" s="167" t="s">
        <v>1627</v>
      </c>
      <c r="V96" s="167" t="s">
        <v>3409</v>
      </c>
      <c r="AB96" s="167" t="s">
        <v>1562</v>
      </c>
      <c r="AC96" s="167">
        <v>353</v>
      </c>
      <c r="AD96" s="203">
        <v>43180</v>
      </c>
      <c r="AE96" s="203">
        <v>0</v>
      </c>
      <c r="AF96" s="167" t="s">
        <v>3469</v>
      </c>
    </row>
    <row r="97" spans="16:32" x14ac:dyDescent="0.25">
      <c r="P97" s="167" t="s">
        <v>739</v>
      </c>
      <c r="Q97" s="167">
        <v>353</v>
      </c>
      <c r="R97" s="167" t="s">
        <v>3407</v>
      </c>
      <c r="S97" s="167" t="s">
        <v>1626</v>
      </c>
      <c r="T97" s="167">
        <v>10</v>
      </c>
      <c r="U97" s="167" t="s">
        <v>1627</v>
      </c>
      <c r="V97" s="167" t="s">
        <v>3409</v>
      </c>
      <c r="AB97" s="167" t="s">
        <v>1563</v>
      </c>
      <c r="AC97" s="167">
        <v>323</v>
      </c>
      <c r="AD97" s="203">
        <v>43074</v>
      </c>
      <c r="AE97" s="203">
        <v>43111</v>
      </c>
      <c r="AF97" s="167" t="s">
        <v>3470</v>
      </c>
    </row>
    <row r="98" spans="16:32" x14ac:dyDescent="0.25">
      <c r="P98" s="167" t="s">
        <v>739</v>
      </c>
      <c r="Q98" s="167">
        <v>353</v>
      </c>
      <c r="R98" s="167" t="s">
        <v>3407</v>
      </c>
      <c r="S98" s="167" t="s">
        <v>1626</v>
      </c>
      <c r="T98" s="167">
        <v>8</v>
      </c>
      <c r="U98" s="167" t="s">
        <v>1627</v>
      </c>
      <c r="V98" s="167" t="s">
        <v>3409</v>
      </c>
      <c r="AB98" s="167" t="s">
        <v>1563</v>
      </c>
      <c r="AC98" s="167">
        <v>327</v>
      </c>
      <c r="AD98" s="203">
        <v>43074</v>
      </c>
      <c r="AE98" s="203">
        <v>43131</v>
      </c>
      <c r="AF98" s="167" t="s">
        <v>3470</v>
      </c>
    </row>
    <row r="99" spans="16:32" x14ac:dyDescent="0.25">
      <c r="P99" s="167" t="s">
        <v>739</v>
      </c>
      <c r="Q99" s="167">
        <v>353</v>
      </c>
      <c r="R99" s="167" t="s">
        <v>3407</v>
      </c>
      <c r="S99" s="167" t="s">
        <v>1628</v>
      </c>
      <c r="T99" s="167">
        <v>1</v>
      </c>
      <c r="U99" s="167" t="s">
        <v>1629</v>
      </c>
      <c r="V99" s="167" t="s">
        <v>3409</v>
      </c>
      <c r="AB99" s="167" t="s">
        <v>1563</v>
      </c>
      <c r="AC99" s="167">
        <v>340</v>
      </c>
      <c r="AD99" s="203">
        <v>43133</v>
      </c>
      <c r="AE99" s="203">
        <v>43168</v>
      </c>
      <c r="AF99" s="167" t="s">
        <v>3470</v>
      </c>
    </row>
    <row r="100" spans="16:32" x14ac:dyDescent="0.25">
      <c r="P100" s="167" t="s">
        <v>739</v>
      </c>
      <c r="Q100" s="167">
        <v>353</v>
      </c>
      <c r="R100" s="167" t="s">
        <v>3407</v>
      </c>
      <c r="S100" s="167" t="s">
        <v>1628</v>
      </c>
      <c r="T100" s="167">
        <v>2</v>
      </c>
      <c r="U100" s="167" t="s">
        <v>1629</v>
      </c>
      <c r="V100" s="167" t="s">
        <v>3409</v>
      </c>
      <c r="AB100" s="167" t="s">
        <v>1563</v>
      </c>
      <c r="AC100" s="167">
        <v>357</v>
      </c>
      <c r="AD100" s="203">
        <v>43139</v>
      </c>
      <c r="AE100" s="203">
        <v>43164</v>
      </c>
      <c r="AF100" s="167" t="s">
        <v>3470</v>
      </c>
    </row>
    <row r="101" spans="16:32" x14ac:dyDescent="0.25">
      <c r="P101" s="167" t="s">
        <v>739</v>
      </c>
      <c r="Q101" s="167">
        <v>353</v>
      </c>
      <c r="R101" s="167" t="s">
        <v>3407</v>
      </c>
      <c r="S101" s="167" t="s">
        <v>1630</v>
      </c>
      <c r="T101" s="167">
        <v>50</v>
      </c>
      <c r="U101" s="167" t="s">
        <v>1631</v>
      </c>
      <c r="V101" s="167" t="s">
        <v>3409</v>
      </c>
      <c r="AB101" s="167" t="s">
        <v>1563</v>
      </c>
      <c r="AC101" s="167">
        <v>364</v>
      </c>
      <c r="AD101" s="203">
        <v>43168</v>
      </c>
      <c r="AE101" s="203">
        <v>43179</v>
      </c>
      <c r="AF101" s="167" t="s">
        <v>3470</v>
      </c>
    </row>
    <row r="102" spans="16:32" x14ac:dyDescent="0.25">
      <c r="P102" s="167" t="s">
        <v>739</v>
      </c>
      <c r="Q102" s="167">
        <v>353</v>
      </c>
      <c r="R102" s="167" t="s">
        <v>3407</v>
      </c>
      <c r="S102" s="167" t="s">
        <v>1630</v>
      </c>
      <c r="T102" s="167">
        <v>2</v>
      </c>
      <c r="U102" s="167" t="s">
        <v>1631</v>
      </c>
      <c r="V102" s="167" t="s">
        <v>3409</v>
      </c>
      <c r="AB102" s="167" t="s">
        <v>1563</v>
      </c>
      <c r="AC102" s="167">
        <v>374</v>
      </c>
      <c r="AD102" s="203">
        <v>43195</v>
      </c>
      <c r="AE102" s="203">
        <v>0</v>
      </c>
      <c r="AF102" s="167" t="s">
        <v>3469</v>
      </c>
    </row>
    <row r="103" spans="16:32" x14ac:dyDescent="0.25">
      <c r="P103" s="167" t="s">
        <v>739</v>
      </c>
      <c r="Q103" s="167">
        <v>353</v>
      </c>
      <c r="R103" s="167" t="s">
        <v>3407</v>
      </c>
      <c r="S103" s="167" t="s">
        <v>1630</v>
      </c>
      <c r="T103" s="167">
        <v>9</v>
      </c>
      <c r="U103" s="167" t="s">
        <v>1631</v>
      </c>
      <c r="V103" s="167" t="s">
        <v>3409</v>
      </c>
      <c r="AB103" s="167" t="s">
        <v>1565</v>
      </c>
      <c r="AC103" s="167">
        <v>364</v>
      </c>
      <c r="AD103" s="203">
        <v>43168</v>
      </c>
      <c r="AE103" s="203">
        <v>43179</v>
      </c>
      <c r="AF103" s="167" t="s">
        <v>3470</v>
      </c>
    </row>
    <row r="104" spans="16:32" x14ac:dyDescent="0.25">
      <c r="P104" s="167" t="s">
        <v>739</v>
      </c>
      <c r="Q104" s="167">
        <v>353</v>
      </c>
      <c r="R104" s="167" t="s">
        <v>3407</v>
      </c>
      <c r="S104" s="167" t="s">
        <v>974</v>
      </c>
      <c r="T104" s="167">
        <v>28</v>
      </c>
      <c r="U104" s="167" t="s">
        <v>1633</v>
      </c>
      <c r="V104" s="167" t="s">
        <v>3409</v>
      </c>
      <c r="AB104" s="167" t="s">
        <v>1565</v>
      </c>
      <c r="AC104" s="167">
        <v>353</v>
      </c>
      <c r="AD104" s="203">
        <v>43180</v>
      </c>
      <c r="AE104" s="203">
        <v>0</v>
      </c>
      <c r="AF104" s="167" t="s">
        <v>3469</v>
      </c>
    </row>
    <row r="105" spans="16:32" x14ac:dyDescent="0.25">
      <c r="P105" s="167" t="s">
        <v>739</v>
      </c>
      <c r="Q105" s="167">
        <v>353</v>
      </c>
      <c r="R105" s="167" t="s">
        <v>3407</v>
      </c>
      <c r="S105" s="167" t="s">
        <v>974</v>
      </c>
      <c r="T105" s="167">
        <v>138</v>
      </c>
      <c r="U105" s="167" t="s">
        <v>1633</v>
      </c>
      <c r="V105" s="167" t="s">
        <v>3409</v>
      </c>
      <c r="AB105" s="167" t="s">
        <v>1566</v>
      </c>
      <c r="AC105" s="167">
        <v>323</v>
      </c>
      <c r="AD105" s="203">
        <v>43074</v>
      </c>
      <c r="AE105" s="203">
        <v>43111</v>
      </c>
      <c r="AF105" s="167" t="s">
        <v>3470</v>
      </c>
    </row>
    <row r="106" spans="16:32" x14ac:dyDescent="0.25">
      <c r="P106" s="167" t="s">
        <v>739</v>
      </c>
      <c r="Q106" s="167">
        <v>353</v>
      </c>
      <c r="R106" s="167" t="s">
        <v>3407</v>
      </c>
      <c r="S106" s="167" t="s">
        <v>974</v>
      </c>
      <c r="T106" s="167">
        <v>83</v>
      </c>
      <c r="U106" s="167" t="s">
        <v>1633</v>
      </c>
      <c r="V106" s="167" t="s">
        <v>3409</v>
      </c>
      <c r="AB106" s="167" t="s">
        <v>1567</v>
      </c>
      <c r="AC106" s="167">
        <v>327</v>
      </c>
      <c r="AD106" s="203">
        <v>43074</v>
      </c>
      <c r="AE106" s="203">
        <v>43131</v>
      </c>
      <c r="AF106" s="167" t="s">
        <v>3470</v>
      </c>
    </row>
    <row r="107" spans="16:32" x14ac:dyDescent="0.25">
      <c r="P107" s="167" t="s">
        <v>739</v>
      </c>
      <c r="Q107" s="167">
        <v>353</v>
      </c>
      <c r="R107" s="167" t="s">
        <v>3407</v>
      </c>
      <c r="S107" s="167" t="s">
        <v>974</v>
      </c>
      <c r="T107" s="167">
        <v>98</v>
      </c>
      <c r="U107" s="167" t="s">
        <v>1633</v>
      </c>
      <c r="V107" s="167" t="s">
        <v>3409</v>
      </c>
      <c r="AB107" s="167" t="s">
        <v>1567</v>
      </c>
      <c r="AC107" s="167">
        <v>347</v>
      </c>
      <c r="AD107" s="203">
        <v>43118</v>
      </c>
      <c r="AE107" s="203">
        <v>43133</v>
      </c>
      <c r="AF107" s="167" t="s">
        <v>3470</v>
      </c>
    </row>
    <row r="108" spans="16:32" x14ac:dyDescent="0.25">
      <c r="P108" s="167" t="s">
        <v>739</v>
      </c>
      <c r="Q108" s="167">
        <v>353</v>
      </c>
      <c r="R108" s="167" t="s">
        <v>3407</v>
      </c>
      <c r="S108" s="167" t="s">
        <v>974</v>
      </c>
      <c r="T108" s="167">
        <v>32</v>
      </c>
      <c r="U108" s="167" t="s">
        <v>1633</v>
      </c>
      <c r="V108" s="167" t="s">
        <v>3409</v>
      </c>
      <c r="AB108" s="167" t="s">
        <v>1567</v>
      </c>
      <c r="AC108" s="167">
        <v>340</v>
      </c>
      <c r="AD108" s="203">
        <v>43133</v>
      </c>
      <c r="AE108" s="203">
        <v>43168</v>
      </c>
      <c r="AF108" s="167" t="s">
        <v>3470</v>
      </c>
    </row>
    <row r="109" spans="16:32" x14ac:dyDescent="0.25">
      <c r="P109" s="167" t="s">
        <v>739</v>
      </c>
      <c r="Q109" s="167">
        <v>353</v>
      </c>
      <c r="R109" s="167" t="s">
        <v>3407</v>
      </c>
      <c r="S109" s="167" t="s">
        <v>974</v>
      </c>
      <c r="T109" s="167">
        <v>250</v>
      </c>
      <c r="U109" s="167" t="s">
        <v>1633</v>
      </c>
      <c r="V109" s="167" t="s">
        <v>3409</v>
      </c>
      <c r="AB109" s="167" t="s">
        <v>1567</v>
      </c>
      <c r="AC109" s="167">
        <v>340</v>
      </c>
      <c r="AD109" s="203">
        <v>43133</v>
      </c>
      <c r="AE109" s="203">
        <v>43168</v>
      </c>
      <c r="AF109" s="167" t="s">
        <v>3470</v>
      </c>
    </row>
    <row r="110" spans="16:32" x14ac:dyDescent="0.25">
      <c r="P110" s="167" t="s">
        <v>739</v>
      </c>
      <c r="Q110" s="167">
        <v>353</v>
      </c>
      <c r="R110" s="167" t="s">
        <v>3407</v>
      </c>
      <c r="S110" s="167" t="s">
        <v>974</v>
      </c>
      <c r="T110" s="167">
        <v>58</v>
      </c>
      <c r="U110" s="167" t="s">
        <v>1633</v>
      </c>
      <c r="V110" s="167" t="s">
        <v>3409</v>
      </c>
      <c r="AB110" s="167" t="s">
        <v>1567</v>
      </c>
      <c r="AC110" s="167">
        <v>340</v>
      </c>
      <c r="AD110" s="203">
        <v>43133</v>
      </c>
      <c r="AE110" s="203">
        <v>43168</v>
      </c>
      <c r="AF110" s="167" t="s">
        <v>3470</v>
      </c>
    </row>
    <row r="111" spans="16:32" x14ac:dyDescent="0.25">
      <c r="P111" s="167" t="s">
        <v>739</v>
      </c>
      <c r="Q111" s="167">
        <v>353</v>
      </c>
      <c r="R111" s="167" t="s">
        <v>3407</v>
      </c>
      <c r="S111" s="167" t="s">
        <v>975</v>
      </c>
      <c r="T111" s="167">
        <v>18</v>
      </c>
      <c r="U111" s="167" t="s">
        <v>1634</v>
      </c>
      <c r="V111" s="167" t="s">
        <v>3409</v>
      </c>
      <c r="AB111" s="167" t="s">
        <v>1567</v>
      </c>
      <c r="AC111" s="167">
        <v>374</v>
      </c>
      <c r="AD111" s="203">
        <v>43195</v>
      </c>
      <c r="AE111" s="203">
        <v>0</v>
      </c>
      <c r="AF111" s="167" t="s">
        <v>3469</v>
      </c>
    </row>
    <row r="112" spans="16:32" x14ac:dyDescent="0.25">
      <c r="P112" s="167" t="s">
        <v>739</v>
      </c>
      <c r="Q112" s="167">
        <v>353</v>
      </c>
      <c r="R112" s="167" t="s">
        <v>3407</v>
      </c>
      <c r="S112" s="167" t="s">
        <v>975</v>
      </c>
      <c r="T112" s="167">
        <v>18</v>
      </c>
      <c r="U112" s="167" t="s">
        <v>1634</v>
      </c>
      <c r="V112" s="167" t="s">
        <v>3409</v>
      </c>
      <c r="AB112" s="167" t="s">
        <v>1569</v>
      </c>
      <c r="AC112" s="167">
        <v>364</v>
      </c>
      <c r="AD112" s="203">
        <v>43168</v>
      </c>
      <c r="AE112" s="203">
        <v>43179</v>
      </c>
      <c r="AF112" s="167" t="s">
        <v>3470</v>
      </c>
    </row>
    <row r="113" spans="16:32" x14ac:dyDescent="0.25">
      <c r="P113" s="167" t="s">
        <v>739</v>
      </c>
      <c r="Q113" s="167">
        <v>353</v>
      </c>
      <c r="R113" s="167" t="s">
        <v>3407</v>
      </c>
      <c r="S113" s="167" t="s">
        <v>1635</v>
      </c>
      <c r="T113" s="167">
        <v>3</v>
      </c>
      <c r="U113" s="167" t="s">
        <v>1636</v>
      </c>
      <c r="V113" s="167" t="s">
        <v>3409</v>
      </c>
      <c r="AB113" s="167" t="s">
        <v>1569</v>
      </c>
      <c r="AC113" s="167">
        <v>353</v>
      </c>
      <c r="AD113" s="203">
        <v>43180</v>
      </c>
      <c r="AE113" s="203">
        <v>0</v>
      </c>
      <c r="AF113" s="167" t="s">
        <v>3469</v>
      </c>
    </row>
    <row r="114" spans="16:32" x14ac:dyDescent="0.25">
      <c r="P114" s="167" t="s">
        <v>739</v>
      </c>
      <c r="Q114" s="167">
        <v>353</v>
      </c>
      <c r="R114" s="167" t="s">
        <v>3407</v>
      </c>
      <c r="S114" s="167" t="s">
        <v>1635</v>
      </c>
      <c r="T114" s="167">
        <v>9</v>
      </c>
      <c r="U114" s="167" t="s">
        <v>1636</v>
      </c>
      <c r="V114" s="167" t="s">
        <v>3409</v>
      </c>
      <c r="AB114" s="167" t="s">
        <v>1570</v>
      </c>
      <c r="AC114" s="167">
        <v>340</v>
      </c>
      <c r="AD114" s="203">
        <v>43133</v>
      </c>
      <c r="AE114" s="203">
        <v>43168</v>
      </c>
      <c r="AF114" s="167" t="s">
        <v>3470</v>
      </c>
    </row>
    <row r="115" spans="16:32" x14ac:dyDescent="0.25">
      <c r="P115" s="167" t="s">
        <v>739</v>
      </c>
      <c r="Q115" s="167">
        <v>353</v>
      </c>
      <c r="R115" s="167" t="s">
        <v>3407</v>
      </c>
      <c r="S115" s="167" t="s">
        <v>1638</v>
      </c>
      <c r="T115" s="167">
        <v>10</v>
      </c>
      <c r="U115" s="167" t="s">
        <v>1639</v>
      </c>
      <c r="V115" s="167" t="s">
        <v>3409</v>
      </c>
      <c r="AB115" s="167" t="s">
        <v>1571</v>
      </c>
      <c r="AC115" s="167">
        <v>347</v>
      </c>
      <c r="AD115" s="203">
        <v>43118</v>
      </c>
      <c r="AE115" s="203">
        <v>43133</v>
      </c>
      <c r="AF115" s="167" t="s">
        <v>3470</v>
      </c>
    </row>
    <row r="116" spans="16:32" x14ac:dyDescent="0.25">
      <c r="P116" s="167" t="s">
        <v>739</v>
      </c>
      <c r="Q116" s="167">
        <v>353</v>
      </c>
      <c r="R116" s="167" t="s">
        <v>3407</v>
      </c>
      <c r="S116" s="167" t="s">
        <v>1638</v>
      </c>
      <c r="T116" s="167">
        <v>3</v>
      </c>
      <c r="U116" s="167" t="s">
        <v>1639</v>
      </c>
      <c r="V116" s="167" t="s">
        <v>3409</v>
      </c>
      <c r="AB116" s="167" t="s">
        <v>1571</v>
      </c>
      <c r="AC116" s="167">
        <v>340</v>
      </c>
      <c r="AD116" s="203">
        <v>43133</v>
      </c>
      <c r="AE116" s="203">
        <v>43168</v>
      </c>
      <c r="AF116" s="167" t="s">
        <v>3470</v>
      </c>
    </row>
    <row r="117" spans="16:32" x14ac:dyDescent="0.25">
      <c r="P117" s="167" t="s">
        <v>739</v>
      </c>
      <c r="Q117" s="167">
        <v>353</v>
      </c>
      <c r="R117" s="167" t="s">
        <v>3407</v>
      </c>
      <c r="S117" s="167" t="s">
        <v>1640</v>
      </c>
      <c r="T117" s="167">
        <v>2</v>
      </c>
      <c r="U117" s="167" t="s">
        <v>1641</v>
      </c>
      <c r="V117" s="167" t="s">
        <v>3409</v>
      </c>
      <c r="AB117" s="167" t="s">
        <v>1573</v>
      </c>
      <c r="AC117" s="167">
        <v>357</v>
      </c>
      <c r="AD117" s="203">
        <v>43139</v>
      </c>
      <c r="AE117" s="203">
        <v>43164</v>
      </c>
      <c r="AF117" s="167" t="s">
        <v>3470</v>
      </c>
    </row>
    <row r="118" spans="16:32" x14ac:dyDescent="0.25">
      <c r="P118" s="167" t="s">
        <v>739</v>
      </c>
      <c r="Q118" s="167">
        <v>353</v>
      </c>
      <c r="R118" s="167" t="s">
        <v>3407</v>
      </c>
      <c r="S118" s="167" t="s">
        <v>1640</v>
      </c>
      <c r="T118" s="167">
        <v>6</v>
      </c>
      <c r="U118" s="167" t="s">
        <v>1641</v>
      </c>
      <c r="V118" s="167" t="s">
        <v>3409</v>
      </c>
      <c r="AB118" s="167" t="s">
        <v>1573</v>
      </c>
      <c r="AC118" s="167">
        <v>353</v>
      </c>
      <c r="AD118" s="203">
        <v>43180</v>
      </c>
      <c r="AE118" s="203">
        <v>0</v>
      </c>
      <c r="AF118" s="167" t="s">
        <v>3469</v>
      </c>
    </row>
    <row r="119" spans="16:32" x14ac:dyDescent="0.25">
      <c r="P119" s="167" t="s">
        <v>739</v>
      </c>
      <c r="Q119" s="167">
        <v>353</v>
      </c>
      <c r="R119" s="167" t="s">
        <v>3407</v>
      </c>
      <c r="S119" s="167" t="s">
        <v>1642</v>
      </c>
      <c r="T119" s="167">
        <v>3</v>
      </c>
      <c r="U119" s="167" t="s">
        <v>1643</v>
      </c>
      <c r="V119" s="167" t="s">
        <v>3409</v>
      </c>
      <c r="AB119" s="167" t="s">
        <v>1574</v>
      </c>
      <c r="AC119" s="167">
        <v>347</v>
      </c>
      <c r="AD119" s="203">
        <v>43118</v>
      </c>
      <c r="AE119" s="203">
        <v>43133</v>
      </c>
      <c r="AF119" s="167" t="s">
        <v>3470</v>
      </c>
    </row>
    <row r="120" spans="16:32" x14ac:dyDescent="0.25">
      <c r="P120" s="167" t="s">
        <v>739</v>
      </c>
      <c r="Q120" s="167">
        <v>353</v>
      </c>
      <c r="R120" s="167" t="s">
        <v>3407</v>
      </c>
      <c r="S120" s="167" t="s">
        <v>1644</v>
      </c>
      <c r="T120" s="167">
        <v>3</v>
      </c>
      <c r="U120" s="167" t="s">
        <v>1645</v>
      </c>
      <c r="V120" s="167" t="s">
        <v>3409</v>
      </c>
      <c r="AB120" s="167" t="s">
        <v>1574</v>
      </c>
      <c r="AC120" s="167">
        <v>340</v>
      </c>
      <c r="AD120" s="203">
        <v>43133</v>
      </c>
      <c r="AE120" s="203">
        <v>43168</v>
      </c>
      <c r="AF120" s="167" t="s">
        <v>3470</v>
      </c>
    </row>
    <row r="121" spans="16:32" x14ac:dyDescent="0.25">
      <c r="P121" s="167" t="s">
        <v>739</v>
      </c>
      <c r="Q121" s="167">
        <v>353</v>
      </c>
      <c r="R121" s="167" t="s">
        <v>3407</v>
      </c>
      <c r="S121" s="167" t="s">
        <v>1646</v>
      </c>
      <c r="T121" s="167">
        <v>1</v>
      </c>
      <c r="U121" s="167" t="s">
        <v>1647</v>
      </c>
      <c r="V121" s="167" t="s">
        <v>3409</v>
      </c>
      <c r="AB121" s="167" t="s">
        <v>1574</v>
      </c>
      <c r="AC121" s="167">
        <v>340</v>
      </c>
      <c r="AD121" s="203">
        <v>43133</v>
      </c>
      <c r="AE121" s="203">
        <v>43168</v>
      </c>
      <c r="AF121" s="167" t="s">
        <v>3470</v>
      </c>
    </row>
    <row r="122" spans="16:32" x14ac:dyDescent="0.25">
      <c r="P122" s="167" t="s">
        <v>739</v>
      </c>
      <c r="Q122" s="167">
        <v>353</v>
      </c>
      <c r="R122" s="167" t="s">
        <v>3407</v>
      </c>
      <c r="S122" s="167" t="s">
        <v>1650</v>
      </c>
      <c r="T122" s="167">
        <v>1</v>
      </c>
      <c r="U122" s="167" t="s">
        <v>1651</v>
      </c>
      <c r="V122" s="167" t="s">
        <v>3409</v>
      </c>
      <c r="AB122" s="167" t="s">
        <v>1576</v>
      </c>
      <c r="AC122" s="167">
        <v>327</v>
      </c>
      <c r="AD122" s="203">
        <v>43074</v>
      </c>
      <c r="AE122" s="203">
        <v>43131</v>
      </c>
      <c r="AF122" s="167" t="s">
        <v>3470</v>
      </c>
    </row>
    <row r="123" spans="16:32" x14ac:dyDescent="0.25">
      <c r="P123" s="167" t="s">
        <v>739</v>
      </c>
      <c r="Q123" s="167">
        <v>353</v>
      </c>
      <c r="R123" s="167" t="s">
        <v>3407</v>
      </c>
      <c r="S123" s="167" t="s">
        <v>3343</v>
      </c>
      <c r="T123" s="167">
        <v>1</v>
      </c>
      <c r="U123" s="167" t="s">
        <v>3412</v>
      </c>
      <c r="V123" s="167" t="s">
        <v>3409</v>
      </c>
      <c r="AB123" s="167" t="s">
        <v>1576</v>
      </c>
      <c r="AC123" s="167">
        <v>327</v>
      </c>
      <c r="AD123" s="203">
        <v>43074</v>
      </c>
      <c r="AE123" s="203">
        <v>43131</v>
      </c>
      <c r="AF123" s="167" t="s">
        <v>3470</v>
      </c>
    </row>
    <row r="124" spans="16:32" x14ac:dyDescent="0.25">
      <c r="P124" s="167" t="s">
        <v>739</v>
      </c>
      <c r="Q124" s="167">
        <v>353</v>
      </c>
      <c r="R124" s="167" t="s">
        <v>3407</v>
      </c>
      <c r="S124" s="167" t="s">
        <v>976</v>
      </c>
      <c r="T124" s="167">
        <v>19</v>
      </c>
      <c r="U124" s="167" t="s">
        <v>1655</v>
      </c>
      <c r="V124" s="167" t="s">
        <v>3409</v>
      </c>
      <c r="AB124" s="167" t="s">
        <v>1576</v>
      </c>
      <c r="AC124" s="167">
        <v>327</v>
      </c>
      <c r="AD124" s="203">
        <v>43074</v>
      </c>
      <c r="AE124" s="203">
        <v>43131</v>
      </c>
      <c r="AF124" s="167" t="s">
        <v>3470</v>
      </c>
    </row>
    <row r="125" spans="16:32" x14ac:dyDescent="0.25">
      <c r="P125" s="167" t="s">
        <v>739</v>
      </c>
      <c r="Q125" s="167">
        <v>353</v>
      </c>
      <c r="R125" s="167" t="s">
        <v>3407</v>
      </c>
      <c r="S125" s="167" t="s">
        <v>976</v>
      </c>
      <c r="T125" s="167">
        <v>26</v>
      </c>
      <c r="U125" s="167" t="s">
        <v>1655</v>
      </c>
      <c r="V125" s="167" t="s">
        <v>3409</v>
      </c>
      <c r="AB125" s="167" t="s">
        <v>1576</v>
      </c>
      <c r="AC125" s="167">
        <v>327</v>
      </c>
      <c r="AD125" s="203">
        <v>43074</v>
      </c>
      <c r="AE125" s="203">
        <v>43131</v>
      </c>
      <c r="AF125" s="167" t="s">
        <v>3470</v>
      </c>
    </row>
    <row r="126" spans="16:32" x14ac:dyDescent="0.25">
      <c r="P126" s="167" t="s">
        <v>739</v>
      </c>
      <c r="Q126" s="167">
        <v>353</v>
      </c>
      <c r="R126" s="167" t="s">
        <v>3407</v>
      </c>
      <c r="S126" s="167" t="s">
        <v>976</v>
      </c>
      <c r="T126" s="167">
        <v>21</v>
      </c>
      <c r="U126" s="167" t="s">
        <v>1655</v>
      </c>
      <c r="V126" s="167" t="s">
        <v>3409</v>
      </c>
      <c r="AB126" s="167" t="s">
        <v>1576</v>
      </c>
      <c r="AC126" s="167">
        <v>335</v>
      </c>
      <c r="AD126" s="203">
        <v>43133</v>
      </c>
      <c r="AE126" s="203">
        <v>43147</v>
      </c>
      <c r="AF126" s="167" t="s">
        <v>3470</v>
      </c>
    </row>
    <row r="127" spans="16:32" x14ac:dyDescent="0.25">
      <c r="P127" s="167" t="s">
        <v>739</v>
      </c>
      <c r="Q127" s="167">
        <v>353</v>
      </c>
      <c r="R127" s="167" t="s">
        <v>3407</v>
      </c>
      <c r="S127" s="167" t="s">
        <v>1656</v>
      </c>
      <c r="T127" s="167">
        <v>2</v>
      </c>
      <c r="U127" s="167" t="s">
        <v>1657</v>
      </c>
      <c r="V127" s="167" t="s">
        <v>3409</v>
      </c>
      <c r="AB127" s="167" t="s">
        <v>1576</v>
      </c>
      <c r="AC127" s="167">
        <v>374</v>
      </c>
      <c r="AD127" s="203">
        <v>43195</v>
      </c>
      <c r="AE127" s="203">
        <v>0</v>
      </c>
      <c r="AF127" s="167" t="s">
        <v>3469</v>
      </c>
    </row>
    <row r="128" spans="16:32" x14ac:dyDescent="0.25">
      <c r="P128" s="167" t="s">
        <v>739</v>
      </c>
      <c r="Q128" s="167">
        <v>353</v>
      </c>
      <c r="R128" s="167" t="s">
        <v>3407</v>
      </c>
      <c r="S128" s="167" t="s">
        <v>1659</v>
      </c>
      <c r="T128" s="167">
        <v>6</v>
      </c>
      <c r="U128" s="167" t="s">
        <v>1660</v>
      </c>
      <c r="V128" s="167" t="s">
        <v>3409</v>
      </c>
      <c r="AB128" s="167" t="s">
        <v>1578</v>
      </c>
      <c r="AC128" s="167">
        <v>347</v>
      </c>
      <c r="AD128" s="203">
        <v>43118</v>
      </c>
      <c r="AE128" s="203">
        <v>43133</v>
      </c>
      <c r="AF128" s="167" t="s">
        <v>3470</v>
      </c>
    </row>
    <row r="129" spans="16:32" x14ac:dyDescent="0.25">
      <c r="P129" s="167" t="s">
        <v>739</v>
      </c>
      <c r="Q129" s="167">
        <v>353</v>
      </c>
      <c r="R129" s="167" t="s">
        <v>3407</v>
      </c>
      <c r="S129" s="167" t="s">
        <v>1659</v>
      </c>
      <c r="T129" s="167">
        <v>1</v>
      </c>
      <c r="U129" s="167" t="s">
        <v>1660</v>
      </c>
      <c r="V129" s="167" t="s">
        <v>3409</v>
      </c>
      <c r="AB129" s="167" t="s">
        <v>1578</v>
      </c>
      <c r="AC129" s="167">
        <v>340</v>
      </c>
      <c r="AD129" s="203">
        <v>43133</v>
      </c>
      <c r="AE129" s="203">
        <v>43168</v>
      </c>
      <c r="AF129" s="167" t="s">
        <v>3470</v>
      </c>
    </row>
    <row r="130" spans="16:32" x14ac:dyDescent="0.25">
      <c r="P130" s="167" t="s">
        <v>739</v>
      </c>
      <c r="Q130" s="167">
        <v>353</v>
      </c>
      <c r="R130" s="167" t="s">
        <v>3407</v>
      </c>
      <c r="S130" s="167" t="s">
        <v>1661</v>
      </c>
      <c r="T130" s="167">
        <v>1</v>
      </c>
      <c r="U130" s="167" t="s">
        <v>1662</v>
      </c>
      <c r="V130" s="167" t="s">
        <v>3409</v>
      </c>
      <c r="AB130" s="167" t="s">
        <v>1578</v>
      </c>
      <c r="AC130" s="167">
        <v>364</v>
      </c>
      <c r="AD130" s="203">
        <v>43168</v>
      </c>
      <c r="AE130" s="203">
        <v>43179</v>
      </c>
      <c r="AF130" s="167" t="s">
        <v>3470</v>
      </c>
    </row>
    <row r="131" spans="16:32" x14ac:dyDescent="0.25">
      <c r="P131" s="167" t="s">
        <v>739</v>
      </c>
      <c r="Q131" s="167">
        <v>353</v>
      </c>
      <c r="R131" s="167" t="s">
        <v>3407</v>
      </c>
      <c r="S131" s="167" t="s">
        <v>1661</v>
      </c>
      <c r="T131" s="167">
        <v>2</v>
      </c>
      <c r="U131" s="167" t="s">
        <v>1662</v>
      </c>
      <c r="V131" s="167" t="s">
        <v>3409</v>
      </c>
      <c r="AB131" s="167" t="s">
        <v>1578</v>
      </c>
      <c r="AC131" s="167">
        <v>353</v>
      </c>
      <c r="AD131" s="203">
        <v>43180</v>
      </c>
      <c r="AE131" s="203">
        <v>0</v>
      </c>
      <c r="AF131" s="167" t="s">
        <v>3469</v>
      </c>
    </row>
    <row r="132" spans="16:32" x14ac:dyDescent="0.25">
      <c r="P132" s="167" t="s">
        <v>739</v>
      </c>
      <c r="Q132" s="167">
        <v>353</v>
      </c>
      <c r="R132" s="167" t="s">
        <v>3407</v>
      </c>
      <c r="S132" s="167" t="s">
        <v>1661</v>
      </c>
      <c r="T132" s="167">
        <v>1</v>
      </c>
      <c r="U132" s="167" t="s">
        <v>1662</v>
      </c>
      <c r="V132" s="167" t="s">
        <v>3409</v>
      </c>
      <c r="AB132" s="167" t="s">
        <v>1578</v>
      </c>
      <c r="AC132" s="167">
        <v>353</v>
      </c>
      <c r="AD132" s="203">
        <v>43180</v>
      </c>
      <c r="AE132" s="203">
        <v>0</v>
      </c>
      <c r="AF132" s="167" t="s">
        <v>3469</v>
      </c>
    </row>
    <row r="133" spans="16:32" x14ac:dyDescent="0.25">
      <c r="P133" s="167" t="s">
        <v>739</v>
      </c>
      <c r="Q133" s="167">
        <v>353</v>
      </c>
      <c r="R133" s="167" t="s">
        <v>3407</v>
      </c>
      <c r="S133" s="167" t="s">
        <v>1663</v>
      </c>
      <c r="T133" s="167">
        <v>1</v>
      </c>
      <c r="U133" s="167" t="s">
        <v>1664</v>
      </c>
      <c r="V133" s="167" t="s">
        <v>3409</v>
      </c>
      <c r="AB133" s="167" t="s">
        <v>1578</v>
      </c>
      <c r="AC133" s="167">
        <v>353</v>
      </c>
      <c r="AD133" s="203">
        <v>43180</v>
      </c>
      <c r="AE133" s="203">
        <v>0</v>
      </c>
      <c r="AF133" s="167" t="s">
        <v>3469</v>
      </c>
    </row>
    <row r="134" spans="16:32" x14ac:dyDescent="0.25">
      <c r="P134" s="167" t="s">
        <v>739</v>
      </c>
      <c r="Q134" s="167">
        <v>353</v>
      </c>
      <c r="R134" s="167" t="s">
        <v>3407</v>
      </c>
      <c r="S134" s="167" t="s">
        <v>1665</v>
      </c>
      <c r="T134" s="167">
        <v>3</v>
      </c>
      <c r="U134" s="167" t="s">
        <v>1666</v>
      </c>
      <c r="V134" s="167" t="s">
        <v>3409</v>
      </c>
      <c r="AB134" s="167" t="s">
        <v>1579</v>
      </c>
      <c r="AC134" s="167">
        <v>323</v>
      </c>
      <c r="AD134" s="203">
        <v>43074</v>
      </c>
      <c r="AE134" s="203">
        <v>43111</v>
      </c>
      <c r="AF134" s="167" t="s">
        <v>3470</v>
      </c>
    </row>
    <row r="135" spans="16:32" x14ac:dyDescent="0.25">
      <c r="P135" s="167" t="s">
        <v>739</v>
      </c>
      <c r="Q135" s="167">
        <v>353</v>
      </c>
      <c r="R135" s="167" t="s">
        <v>3407</v>
      </c>
      <c r="S135" s="167" t="s">
        <v>1667</v>
      </c>
      <c r="T135" s="167">
        <v>14</v>
      </c>
      <c r="U135" s="167" t="s">
        <v>1668</v>
      </c>
      <c r="V135" s="167" t="s">
        <v>3409</v>
      </c>
      <c r="AB135" s="167" t="s">
        <v>1579</v>
      </c>
      <c r="AC135" s="167">
        <v>327</v>
      </c>
      <c r="AD135" s="203">
        <v>43074</v>
      </c>
      <c r="AE135" s="203">
        <v>43131</v>
      </c>
      <c r="AF135" s="167" t="s">
        <v>3470</v>
      </c>
    </row>
    <row r="136" spans="16:32" x14ac:dyDescent="0.25">
      <c r="P136" s="167" t="s">
        <v>739</v>
      </c>
      <c r="Q136" s="167">
        <v>353</v>
      </c>
      <c r="R136" s="167" t="s">
        <v>3407</v>
      </c>
      <c r="S136" s="167" t="s">
        <v>1669</v>
      </c>
      <c r="T136" s="167">
        <v>5</v>
      </c>
      <c r="U136" s="167" t="s">
        <v>1670</v>
      </c>
      <c r="V136" s="167" t="s">
        <v>3409</v>
      </c>
      <c r="AB136" s="167" t="s">
        <v>1579</v>
      </c>
      <c r="AC136" s="167">
        <v>347</v>
      </c>
      <c r="AD136" s="203">
        <v>43118</v>
      </c>
      <c r="AE136" s="203">
        <v>43133</v>
      </c>
      <c r="AF136" s="167" t="s">
        <v>3470</v>
      </c>
    </row>
    <row r="137" spans="16:32" x14ac:dyDescent="0.25">
      <c r="P137" s="167" t="s">
        <v>739</v>
      </c>
      <c r="Q137" s="167">
        <v>353</v>
      </c>
      <c r="R137" s="167" t="s">
        <v>3407</v>
      </c>
      <c r="S137" s="167" t="s">
        <v>1669</v>
      </c>
      <c r="T137" s="167">
        <v>4</v>
      </c>
      <c r="U137" s="167" t="s">
        <v>1670</v>
      </c>
      <c r="V137" s="167" t="s">
        <v>3409</v>
      </c>
      <c r="AB137" s="167" t="s">
        <v>1579</v>
      </c>
      <c r="AC137" s="167">
        <v>340</v>
      </c>
      <c r="AD137" s="203">
        <v>43133</v>
      </c>
      <c r="AE137" s="203">
        <v>43168</v>
      </c>
      <c r="AF137" s="167" t="s">
        <v>3470</v>
      </c>
    </row>
    <row r="138" spans="16:32" x14ac:dyDescent="0.25">
      <c r="P138" s="167" t="s">
        <v>739</v>
      </c>
      <c r="Q138" s="167">
        <v>353</v>
      </c>
      <c r="R138" s="167" t="s">
        <v>3407</v>
      </c>
      <c r="S138" s="167" t="s">
        <v>1669</v>
      </c>
      <c r="T138" s="167">
        <v>14</v>
      </c>
      <c r="U138" s="167" t="s">
        <v>1670</v>
      </c>
      <c r="V138" s="167" t="s">
        <v>3409</v>
      </c>
      <c r="AB138" s="167" t="s">
        <v>1579</v>
      </c>
      <c r="AC138" s="167">
        <v>340</v>
      </c>
      <c r="AD138" s="203">
        <v>43133</v>
      </c>
      <c r="AE138" s="203">
        <v>43168</v>
      </c>
      <c r="AF138" s="167" t="s">
        <v>3470</v>
      </c>
    </row>
    <row r="139" spans="16:32" x14ac:dyDescent="0.25">
      <c r="P139" s="167" t="s">
        <v>739</v>
      </c>
      <c r="Q139" s="167">
        <v>353</v>
      </c>
      <c r="R139" s="167" t="s">
        <v>3407</v>
      </c>
      <c r="S139" s="167" t="s">
        <v>1669</v>
      </c>
      <c r="T139" s="167">
        <v>4</v>
      </c>
      <c r="U139" s="167" t="s">
        <v>1670</v>
      </c>
      <c r="V139" s="167" t="s">
        <v>3409</v>
      </c>
      <c r="AB139" s="167" t="s">
        <v>1579</v>
      </c>
      <c r="AC139" s="167">
        <v>357</v>
      </c>
      <c r="AD139" s="203">
        <v>43139</v>
      </c>
      <c r="AE139" s="203">
        <v>43164</v>
      </c>
      <c r="AF139" s="167" t="s">
        <v>3470</v>
      </c>
    </row>
    <row r="140" spans="16:32" x14ac:dyDescent="0.25">
      <c r="P140" s="167" t="s">
        <v>739</v>
      </c>
      <c r="Q140" s="167">
        <v>353</v>
      </c>
      <c r="R140" s="167" t="s">
        <v>3407</v>
      </c>
      <c r="S140" s="167" t="s">
        <v>1671</v>
      </c>
      <c r="T140" s="167">
        <v>2</v>
      </c>
      <c r="U140" s="167" t="s">
        <v>1672</v>
      </c>
      <c r="V140" s="167" t="s">
        <v>3409</v>
      </c>
      <c r="AB140" s="167" t="s">
        <v>1579</v>
      </c>
      <c r="AC140" s="167">
        <v>364</v>
      </c>
      <c r="AD140" s="203">
        <v>43168</v>
      </c>
      <c r="AE140" s="203">
        <v>43179</v>
      </c>
      <c r="AF140" s="167" t="s">
        <v>3470</v>
      </c>
    </row>
    <row r="141" spans="16:32" x14ac:dyDescent="0.25">
      <c r="P141" s="167" t="s">
        <v>739</v>
      </c>
      <c r="Q141" s="167">
        <v>353</v>
      </c>
      <c r="R141" s="167" t="s">
        <v>3407</v>
      </c>
      <c r="S141" s="167" t="s">
        <v>1673</v>
      </c>
      <c r="T141" s="167">
        <v>4</v>
      </c>
      <c r="U141" s="167" t="s">
        <v>1674</v>
      </c>
      <c r="V141" s="167" t="s">
        <v>3409</v>
      </c>
      <c r="AB141" s="167" t="s">
        <v>1579</v>
      </c>
      <c r="AC141" s="167">
        <v>353</v>
      </c>
      <c r="AD141" s="203">
        <v>43180</v>
      </c>
      <c r="AE141" s="203">
        <v>0</v>
      </c>
      <c r="AF141" s="167" t="s">
        <v>3469</v>
      </c>
    </row>
    <row r="142" spans="16:32" x14ac:dyDescent="0.25">
      <c r="P142" s="167" t="s">
        <v>739</v>
      </c>
      <c r="Q142" s="167">
        <v>353</v>
      </c>
      <c r="R142" s="167" t="s">
        <v>3407</v>
      </c>
      <c r="S142" s="167" t="s">
        <v>1673</v>
      </c>
      <c r="T142" s="167">
        <v>4</v>
      </c>
      <c r="U142" s="167" t="s">
        <v>1674</v>
      </c>
      <c r="V142" s="167" t="s">
        <v>3409</v>
      </c>
      <c r="AB142" s="167" t="s">
        <v>1579</v>
      </c>
      <c r="AC142" s="167">
        <v>353</v>
      </c>
      <c r="AD142" s="203">
        <v>43180</v>
      </c>
      <c r="AE142" s="203">
        <v>0</v>
      </c>
      <c r="AF142" s="167" t="s">
        <v>3469</v>
      </c>
    </row>
    <row r="143" spans="16:32" x14ac:dyDescent="0.25">
      <c r="P143" s="167" t="s">
        <v>739</v>
      </c>
      <c r="Q143" s="167">
        <v>353</v>
      </c>
      <c r="R143" s="167" t="s">
        <v>3407</v>
      </c>
      <c r="S143" s="167" t="s">
        <v>1675</v>
      </c>
      <c r="T143" s="167">
        <v>4</v>
      </c>
      <c r="U143" s="167" t="s">
        <v>1676</v>
      </c>
      <c r="V143" s="167" t="s">
        <v>3409</v>
      </c>
      <c r="AB143" s="167" t="s">
        <v>1579</v>
      </c>
      <c r="AC143" s="167">
        <v>353</v>
      </c>
      <c r="AD143" s="203">
        <v>43180</v>
      </c>
      <c r="AE143" s="203">
        <v>0</v>
      </c>
      <c r="AF143" s="167" t="s">
        <v>3469</v>
      </c>
    </row>
    <row r="144" spans="16:32" x14ac:dyDescent="0.25">
      <c r="P144" s="167" t="s">
        <v>739</v>
      </c>
      <c r="Q144" s="167">
        <v>353</v>
      </c>
      <c r="R144" s="167" t="s">
        <v>3407</v>
      </c>
      <c r="S144" s="167" t="s">
        <v>1675</v>
      </c>
      <c r="T144" s="167">
        <v>2</v>
      </c>
      <c r="U144" s="167" t="s">
        <v>1676</v>
      </c>
      <c r="V144" s="167" t="s">
        <v>3409</v>
      </c>
      <c r="AB144" s="167" t="s">
        <v>3411</v>
      </c>
      <c r="AC144" s="167">
        <v>340</v>
      </c>
      <c r="AD144" s="203">
        <v>43133</v>
      </c>
      <c r="AE144" s="203">
        <v>43168</v>
      </c>
      <c r="AF144" s="167" t="s">
        <v>3470</v>
      </c>
    </row>
    <row r="145" spans="16:32" x14ac:dyDescent="0.25">
      <c r="P145" s="167" t="s">
        <v>739</v>
      </c>
      <c r="Q145" s="167">
        <v>353</v>
      </c>
      <c r="R145" s="167" t="s">
        <v>3407</v>
      </c>
      <c r="S145" s="167" t="s">
        <v>1675</v>
      </c>
      <c r="T145" s="167">
        <v>2</v>
      </c>
      <c r="U145" s="167" t="s">
        <v>1676</v>
      </c>
      <c r="V145" s="167" t="s">
        <v>3409</v>
      </c>
      <c r="AB145" s="167" t="s">
        <v>3411</v>
      </c>
      <c r="AC145" s="167">
        <v>364</v>
      </c>
      <c r="AD145" s="203">
        <v>43168</v>
      </c>
      <c r="AE145" s="203">
        <v>43179</v>
      </c>
      <c r="AF145" s="167" t="s">
        <v>3470</v>
      </c>
    </row>
    <row r="146" spans="16:32" x14ac:dyDescent="0.25">
      <c r="P146" s="167" t="s">
        <v>739</v>
      </c>
      <c r="Q146" s="167">
        <v>353</v>
      </c>
      <c r="R146" s="167" t="s">
        <v>3407</v>
      </c>
      <c r="S146" s="167" t="s">
        <v>1678</v>
      </c>
      <c r="T146" s="167">
        <v>12</v>
      </c>
      <c r="U146" s="167" t="s">
        <v>1679</v>
      </c>
      <c r="V146" s="167" t="s">
        <v>3409</v>
      </c>
      <c r="AB146" s="167" t="s">
        <v>3411</v>
      </c>
      <c r="AC146" s="167">
        <v>353</v>
      </c>
      <c r="AD146" s="203">
        <v>43180</v>
      </c>
      <c r="AE146" s="203">
        <v>0</v>
      </c>
      <c r="AF146" s="167" t="s">
        <v>3469</v>
      </c>
    </row>
    <row r="147" spans="16:32" x14ac:dyDescent="0.25">
      <c r="P147" s="167" t="s">
        <v>739</v>
      </c>
      <c r="Q147" s="167">
        <v>353</v>
      </c>
      <c r="R147" s="167" t="s">
        <v>3407</v>
      </c>
      <c r="S147" s="167" t="s">
        <v>1678</v>
      </c>
      <c r="T147" s="167">
        <v>5</v>
      </c>
      <c r="U147" s="167" t="s">
        <v>1679</v>
      </c>
      <c r="V147" s="167" t="s">
        <v>3409</v>
      </c>
      <c r="AB147" s="167" t="s">
        <v>1580</v>
      </c>
      <c r="AC147" s="167">
        <v>323</v>
      </c>
      <c r="AD147" s="203">
        <v>43074</v>
      </c>
      <c r="AE147" s="203">
        <v>43111</v>
      </c>
      <c r="AF147" s="167" t="s">
        <v>3470</v>
      </c>
    </row>
    <row r="148" spans="16:32" x14ac:dyDescent="0.25">
      <c r="P148" s="167" t="s">
        <v>739</v>
      </c>
      <c r="Q148" s="167">
        <v>353</v>
      </c>
      <c r="R148" s="167" t="s">
        <v>3407</v>
      </c>
      <c r="S148" s="167" t="s">
        <v>1681</v>
      </c>
      <c r="T148" s="167">
        <v>2</v>
      </c>
      <c r="U148" s="167" t="s">
        <v>1682</v>
      </c>
      <c r="V148" s="167" t="s">
        <v>3409</v>
      </c>
      <c r="AB148" s="167" t="s">
        <v>1580</v>
      </c>
      <c r="AC148" s="167">
        <v>327</v>
      </c>
      <c r="AD148" s="203">
        <v>43074</v>
      </c>
      <c r="AE148" s="203">
        <v>43131</v>
      </c>
      <c r="AF148" s="167" t="s">
        <v>3470</v>
      </c>
    </row>
    <row r="149" spans="16:32" x14ac:dyDescent="0.25">
      <c r="P149" s="167" t="s">
        <v>739</v>
      </c>
      <c r="Q149" s="167">
        <v>353</v>
      </c>
      <c r="R149" s="167" t="s">
        <v>3407</v>
      </c>
      <c r="S149" s="167" t="s">
        <v>1681</v>
      </c>
      <c r="T149" s="167">
        <v>2</v>
      </c>
      <c r="U149" s="167" t="s">
        <v>1682</v>
      </c>
      <c r="V149" s="167" t="s">
        <v>3409</v>
      </c>
      <c r="AB149" s="167" t="s">
        <v>1580</v>
      </c>
      <c r="AC149" s="167">
        <v>347</v>
      </c>
      <c r="AD149" s="203">
        <v>43118</v>
      </c>
      <c r="AE149" s="203">
        <v>43133</v>
      </c>
      <c r="AF149" s="167" t="s">
        <v>3470</v>
      </c>
    </row>
    <row r="150" spans="16:32" x14ac:dyDescent="0.25">
      <c r="P150" s="167" t="s">
        <v>739</v>
      </c>
      <c r="Q150" s="167">
        <v>353</v>
      </c>
      <c r="R150" s="167" t="s">
        <v>3407</v>
      </c>
      <c r="S150" s="167" t="s">
        <v>1681</v>
      </c>
      <c r="T150" s="167">
        <v>2</v>
      </c>
      <c r="U150" s="167" t="s">
        <v>1682</v>
      </c>
      <c r="V150" s="167" t="s">
        <v>3409</v>
      </c>
      <c r="AB150" s="167" t="s">
        <v>1580</v>
      </c>
      <c r="AC150" s="167">
        <v>340</v>
      </c>
      <c r="AD150" s="203">
        <v>43133</v>
      </c>
      <c r="AE150" s="203">
        <v>43168</v>
      </c>
      <c r="AF150" s="167" t="s">
        <v>3470</v>
      </c>
    </row>
    <row r="151" spans="16:32" x14ac:dyDescent="0.25">
      <c r="P151" s="167" t="s">
        <v>739</v>
      </c>
      <c r="Q151" s="167">
        <v>353</v>
      </c>
      <c r="R151" s="167" t="s">
        <v>3407</v>
      </c>
      <c r="S151" s="167" t="s">
        <v>1681</v>
      </c>
      <c r="T151" s="167">
        <v>3</v>
      </c>
      <c r="U151" s="167" t="s">
        <v>1682</v>
      </c>
      <c r="V151" s="167" t="s">
        <v>3409</v>
      </c>
      <c r="AB151" s="167" t="s">
        <v>1580</v>
      </c>
      <c r="AC151" s="167">
        <v>340</v>
      </c>
      <c r="AD151" s="203">
        <v>43133</v>
      </c>
      <c r="AE151" s="203">
        <v>43168</v>
      </c>
      <c r="AF151" s="167" t="s">
        <v>3470</v>
      </c>
    </row>
    <row r="152" spans="16:32" x14ac:dyDescent="0.25">
      <c r="P152" s="167" t="s">
        <v>739</v>
      </c>
      <c r="Q152" s="167">
        <v>353</v>
      </c>
      <c r="R152" s="167" t="s">
        <v>3407</v>
      </c>
      <c r="S152" s="167" t="s">
        <v>1681</v>
      </c>
      <c r="T152" s="167">
        <v>7</v>
      </c>
      <c r="U152" s="167" t="s">
        <v>1682</v>
      </c>
      <c r="V152" s="167" t="s">
        <v>3409</v>
      </c>
      <c r="AB152" s="167" t="s">
        <v>1580</v>
      </c>
      <c r="AC152" s="167">
        <v>353</v>
      </c>
      <c r="AD152" s="203">
        <v>43180</v>
      </c>
      <c r="AE152" s="203">
        <v>0</v>
      </c>
      <c r="AF152" s="167" t="s">
        <v>3469</v>
      </c>
    </row>
    <row r="153" spans="16:32" x14ac:dyDescent="0.25">
      <c r="P153" s="167" t="s">
        <v>739</v>
      </c>
      <c r="Q153" s="167">
        <v>353</v>
      </c>
      <c r="R153" s="167" t="s">
        <v>3407</v>
      </c>
      <c r="S153" s="167" t="s">
        <v>1681</v>
      </c>
      <c r="T153" s="167">
        <v>10</v>
      </c>
      <c r="U153" s="167" t="s">
        <v>1682</v>
      </c>
      <c r="V153" s="167" t="s">
        <v>3409</v>
      </c>
      <c r="AB153" s="167" t="s">
        <v>1580</v>
      </c>
      <c r="AC153" s="167">
        <v>353</v>
      </c>
      <c r="AD153" s="203">
        <v>43180</v>
      </c>
      <c r="AE153" s="203">
        <v>0</v>
      </c>
      <c r="AF153" s="167" t="s">
        <v>3469</v>
      </c>
    </row>
    <row r="154" spans="16:32" x14ac:dyDescent="0.25">
      <c r="P154" s="167" t="s">
        <v>739</v>
      </c>
      <c r="Q154" s="167">
        <v>353</v>
      </c>
      <c r="R154" s="167" t="s">
        <v>3407</v>
      </c>
      <c r="S154" s="167" t="s">
        <v>1684</v>
      </c>
      <c r="T154" s="167">
        <v>28</v>
      </c>
      <c r="U154" s="167" t="s">
        <v>1685</v>
      </c>
      <c r="V154" s="167" t="s">
        <v>3409</v>
      </c>
      <c r="AB154" s="167" t="s">
        <v>1582</v>
      </c>
      <c r="AC154" s="167">
        <v>323</v>
      </c>
      <c r="AD154" s="203">
        <v>43074</v>
      </c>
      <c r="AE154" s="203">
        <v>43111</v>
      </c>
      <c r="AF154" s="167" t="s">
        <v>3470</v>
      </c>
    </row>
    <row r="155" spans="16:32" x14ac:dyDescent="0.25">
      <c r="P155" s="167" t="s">
        <v>739</v>
      </c>
      <c r="Q155" s="167">
        <v>353</v>
      </c>
      <c r="R155" s="167" t="s">
        <v>3407</v>
      </c>
      <c r="S155" s="167" t="s">
        <v>1689</v>
      </c>
      <c r="T155" s="167">
        <v>21</v>
      </c>
      <c r="U155" s="167" t="s">
        <v>1690</v>
      </c>
      <c r="V155" s="167" t="s">
        <v>3409</v>
      </c>
      <c r="AB155" s="167" t="s">
        <v>1582</v>
      </c>
      <c r="AC155" s="167">
        <v>340</v>
      </c>
      <c r="AD155" s="203">
        <v>43133</v>
      </c>
      <c r="AE155" s="203">
        <v>43168</v>
      </c>
      <c r="AF155" s="167" t="s">
        <v>3470</v>
      </c>
    </row>
    <row r="156" spans="16:32" x14ac:dyDescent="0.25">
      <c r="P156" s="167" t="s">
        <v>739</v>
      </c>
      <c r="Q156" s="167">
        <v>353</v>
      </c>
      <c r="R156" s="167" t="s">
        <v>3407</v>
      </c>
      <c r="S156" s="167" t="s">
        <v>1689</v>
      </c>
      <c r="T156" s="167">
        <v>36</v>
      </c>
      <c r="U156" s="167" t="s">
        <v>1690</v>
      </c>
      <c r="V156" s="167" t="s">
        <v>3409</v>
      </c>
      <c r="AB156" s="167" t="s">
        <v>1582</v>
      </c>
      <c r="AC156" s="167">
        <v>357</v>
      </c>
      <c r="AD156" s="203">
        <v>43139</v>
      </c>
      <c r="AE156" s="203">
        <v>43164</v>
      </c>
      <c r="AF156" s="167" t="s">
        <v>3470</v>
      </c>
    </row>
    <row r="157" spans="16:32" x14ac:dyDescent="0.25">
      <c r="P157" s="167" t="s">
        <v>739</v>
      </c>
      <c r="Q157" s="167">
        <v>353</v>
      </c>
      <c r="R157" s="167" t="s">
        <v>3407</v>
      </c>
      <c r="S157" s="167" t="s">
        <v>1691</v>
      </c>
      <c r="T157" s="167">
        <v>3</v>
      </c>
      <c r="U157" s="167" t="s">
        <v>1692</v>
      </c>
      <c r="V157" s="167" t="s">
        <v>3409</v>
      </c>
      <c r="AB157" s="167" t="s">
        <v>1582</v>
      </c>
      <c r="AC157" s="167">
        <v>353</v>
      </c>
      <c r="AD157" s="203">
        <v>43180</v>
      </c>
      <c r="AE157" s="203">
        <v>0</v>
      </c>
      <c r="AF157" s="167" t="s">
        <v>3469</v>
      </c>
    </row>
    <row r="158" spans="16:32" x14ac:dyDescent="0.25">
      <c r="P158" s="167" t="s">
        <v>739</v>
      </c>
      <c r="Q158" s="167">
        <v>353</v>
      </c>
      <c r="R158" s="167" t="s">
        <v>3407</v>
      </c>
      <c r="S158" s="167" t="s">
        <v>1691</v>
      </c>
      <c r="T158" s="167">
        <v>10</v>
      </c>
      <c r="U158" s="167" t="s">
        <v>1692</v>
      </c>
      <c r="V158" s="167" t="s">
        <v>3409</v>
      </c>
      <c r="AB158" s="167" t="s">
        <v>1584</v>
      </c>
      <c r="AC158" s="167">
        <v>357</v>
      </c>
      <c r="AD158" s="203">
        <v>43139</v>
      </c>
      <c r="AE158" s="203">
        <v>43164</v>
      </c>
      <c r="AF158" s="167" t="s">
        <v>3470</v>
      </c>
    </row>
    <row r="159" spans="16:32" x14ac:dyDescent="0.25">
      <c r="P159" s="167" t="s">
        <v>739</v>
      </c>
      <c r="Q159" s="167">
        <v>353</v>
      </c>
      <c r="R159" s="167" t="s">
        <v>3407</v>
      </c>
      <c r="S159" s="167" t="s">
        <v>1693</v>
      </c>
      <c r="T159" s="167">
        <v>2</v>
      </c>
      <c r="U159" s="167" t="s">
        <v>1694</v>
      </c>
      <c r="V159" s="167" t="s">
        <v>3409</v>
      </c>
      <c r="AB159" s="167" t="s">
        <v>1584</v>
      </c>
      <c r="AC159" s="167">
        <v>353</v>
      </c>
      <c r="AD159" s="203">
        <v>43180</v>
      </c>
      <c r="AE159" s="203">
        <v>0</v>
      </c>
      <c r="AF159" s="167" t="s">
        <v>3469</v>
      </c>
    </row>
    <row r="160" spans="16:32" x14ac:dyDescent="0.25">
      <c r="P160" s="167" t="s">
        <v>739</v>
      </c>
      <c r="Q160" s="167">
        <v>353</v>
      </c>
      <c r="R160" s="167" t="s">
        <v>3407</v>
      </c>
      <c r="S160" s="167" t="s">
        <v>1695</v>
      </c>
      <c r="T160" s="167">
        <v>2</v>
      </c>
      <c r="U160" s="167" t="s">
        <v>1696</v>
      </c>
      <c r="V160" s="167" t="s">
        <v>3409</v>
      </c>
      <c r="AB160" s="167" t="s">
        <v>1586</v>
      </c>
      <c r="AC160" s="167">
        <v>347</v>
      </c>
      <c r="AD160" s="203">
        <v>43118</v>
      </c>
      <c r="AE160" s="203">
        <v>43133</v>
      </c>
      <c r="AF160" s="167" t="s">
        <v>3470</v>
      </c>
    </row>
    <row r="161" spans="16:32" x14ac:dyDescent="0.25">
      <c r="P161" s="167" t="s">
        <v>739</v>
      </c>
      <c r="Q161" s="167">
        <v>353</v>
      </c>
      <c r="R161" s="167" t="s">
        <v>3407</v>
      </c>
      <c r="S161" s="167" t="s">
        <v>1697</v>
      </c>
      <c r="T161" s="167">
        <v>10</v>
      </c>
      <c r="U161" s="167" t="s">
        <v>1698</v>
      </c>
      <c r="V161" s="167" t="s">
        <v>3409</v>
      </c>
      <c r="AB161" s="167" t="s">
        <v>1586</v>
      </c>
      <c r="AC161" s="167">
        <v>340</v>
      </c>
      <c r="AD161" s="203">
        <v>43133</v>
      </c>
      <c r="AE161" s="203">
        <v>43168</v>
      </c>
      <c r="AF161" s="167" t="s">
        <v>3470</v>
      </c>
    </row>
    <row r="162" spans="16:32" x14ac:dyDescent="0.25">
      <c r="P162" s="167" t="s">
        <v>739</v>
      </c>
      <c r="Q162" s="167">
        <v>353</v>
      </c>
      <c r="R162" s="167" t="s">
        <v>3407</v>
      </c>
      <c r="S162" s="167" t="s">
        <v>1699</v>
      </c>
      <c r="T162" s="167">
        <v>6</v>
      </c>
      <c r="U162" s="167" t="s">
        <v>1700</v>
      </c>
      <c r="V162" s="167" t="s">
        <v>3409</v>
      </c>
      <c r="AB162" s="167" t="s">
        <v>1586</v>
      </c>
      <c r="AC162" s="167">
        <v>353</v>
      </c>
      <c r="AD162" s="203">
        <v>43180</v>
      </c>
      <c r="AE162" s="203">
        <v>0</v>
      </c>
      <c r="AF162" s="167" t="s">
        <v>3469</v>
      </c>
    </row>
    <row r="163" spans="16:32" x14ac:dyDescent="0.25">
      <c r="P163" s="167" t="s">
        <v>739</v>
      </c>
      <c r="Q163" s="167">
        <v>353</v>
      </c>
      <c r="R163" s="167" t="s">
        <v>3407</v>
      </c>
      <c r="S163" s="167" t="s">
        <v>1699</v>
      </c>
      <c r="T163" s="167">
        <v>22</v>
      </c>
      <c r="U163" s="167" t="s">
        <v>1700</v>
      </c>
      <c r="V163" s="167" t="s">
        <v>3409</v>
      </c>
      <c r="AB163" s="167" t="s">
        <v>1586</v>
      </c>
      <c r="AC163" s="167">
        <v>353</v>
      </c>
      <c r="AD163" s="203">
        <v>43180</v>
      </c>
      <c r="AE163" s="203">
        <v>0</v>
      </c>
      <c r="AF163" s="167" t="s">
        <v>3469</v>
      </c>
    </row>
    <row r="164" spans="16:32" x14ac:dyDescent="0.25">
      <c r="P164" s="167" t="s">
        <v>739</v>
      </c>
      <c r="Q164" s="167">
        <v>353</v>
      </c>
      <c r="R164" s="167" t="s">
        <v>3407</v>
      </c>
      <c r="S164" s="167" t="s">
        <v>1699</v>
      </c>
      <c r="T164" s="167">
        <v>3</v>
      </c>
      <c r="U164" s="167" t="s">
        <v>1700</v>
      </c>
      <c r="V164" s="167" t="s">
        <v>3409</v>
      </c>
      <c r="AB164" s="167" t="s">
        <v>1587</v>
      </c>
      <c r="AC164" s="167">
        <v>374</v>
      </c>
      <c r="AD164" s="203">
        <v>43195</v>
      </c>
      <c r="AE164" s="203">
        <v>0</v>
      </c>
      <c r="AF164" s="167" t="s">
        <v>3469</v>
      </c>
    </row>
    <row r="165" spans="16:32" x14ac:dyDescent="0.25">
      <c r="P165" s="167" t="s">
        <v>739</v>
      </c>
      <c r="Q165" s="167">
        <v>353</v>
      </c>
      <c r="R165" s="167" t="s">
        <v>3407</v>
      </c>
      <c r="S165" s="167" t="s">
        <v>3344</v>
      </c>
      <c r="T165" s="167">
        <v>1</v>
      </c>
      <c r="U165" s="167" t="s">
        <v>3413</v>
      </c>
      <c r="V165" s="167" t="s">
        <v>3409</v>
      </c>
      <c r="AB165" s="167" t="s">
        <v>1589</v>
      </c>
      <c r="AC165" s="167">
        <v>323</v>
      </c>
      <c r="AD165" s="203">
        <v>43074</v>
      </c>
      <c r="AE165" s="203">
        <v>43111</v>
      </c>
      <c r="AF165" s="167" t="s">
        <v>3470</v>
      </c>
    </row>
    <row r="166" spans="16:32" x14ac:dyDescent="0.25">
      <c r="P166" s="167" t="s">
        <v>739</v>
      </c>
      <c r="Q166" s="167">
        <v>353</v>
      </c>
      <c r="R166" s="167" t="s">
        <v>3407</v>
      </c>
      <c r="S166" s="167" t="s">
        <v>1701</v>
      </c>
      <c r="T166" s="167">
        <v>5</v>
      </c>
      <c r="U166" s="167" t="s">
        <v>1702</v>
      </c>
      <c r="V166" s="167" t="s">
        <v>3409</v>
      </c>
      <c r="AB166" s="167" t="s">
        <v>1589</v>
      </c>
      <c r="AC166" s="167">
        <v>347</v>
      </c>
      <c r="AD166" s="203">
        <v>43118</v>
      </c>
      <c r="AE166" s="203">
        <v>43133</v>
      </c>
      <c r="AF166" s="167" t="s">
        <v>3470</v>
      </c>
    </row>
    <row r="167" spans="16:32" x14ac:dyDescent="0.25">
      <c r="P167" s="167" t="s">
        <v>739</v>
      </c>
      <c r="Q167" s="167">
        <v>353</v>
      </c>
      <c r="R167" s="167" t="s">
        <v>3407</v>
      </c>
      <c r="S167" s="167" t="s">
        <v>1703</v>
      </c>
      <c r="T167" s="167">
        <v>25</v>
      </c>
      <c r="U167" s="167" t="s">
        <v>1704</v>
      </c>
      <c r="V167" s="167" t="s">
        <v>3409</v>
      </c>
      <c r="AB167" s="167" t="s">
        <v>1589</v>
      </c>
      <c r="AC167" s="167">
        <v>340</v>
      </c>
      <c r="AD167" s="203">
        <v>43133</v>
      </c>
      <c r="AE167" s="203">
        <v>43168</v>
      </c>
      <c r="AF167" s="167" t="s">
        <v>3470</v>
      </c>
    </row>
    <row r="168" spans="16:32" x14ac:dyDescent="0.25">
      <c r="P168" s="167" t="s">
        <v>739</v>
      </c>
      <c r="Q168" s="167">
        <v>353</v>
      </c>
      <c r="R168" s="167" t="s">
        <v>3407</v>
      </c>
      <c r="S168" s="167" t="s">
        <v>1703</v>
      </c>
      <c r="T168" s="167">
        <v>12</v>
      </c>
      <c r="U168" s="167" t="s">
        <v>1704</v>
      </c>
      <c r="V168" s="167" t="s">
        <v>3409</v>
      </c>
      <c r="AB168" s="167" t="s">
        <v>1589</v>
      </c>
      <c r="AC168" s="167">
        <v>353</v>
      </c>
      <c r="AD168" s="203">
        <v>43180</v>
      </c>
      <c r="AE168" s="203">
        <v>0</v>
      </c>
      <c r="AF168" s="167" t="s">
        <v>3469</v>
      </c>
    </row>
    <row r="169" spans="16:32" x14ac:dyDescent="0.25">
      <c r="P169" s="167" t="s">
        <v>739</v>
      </c>
      <c r="Q169" s="167">
        <v>353</v>
      </c>
      <c r="R169" s="167" t="s">
        <v>3407</v>
      </c>
      <c r="S169" s="167" t="s">
        <v>1705</v>
      </c>
      <c r="T169" s="167">
        <v>3</v>
      </c>
      <c r="U169" s="167" t="s">
        <v>1706</v>
      </c>
      <c r="V169" s="167" t="s">
        <v>3409</v>
      </c>
      <c r="AB169" s="167" t="s">
        <v>1589</v>
      </c>
      <c r="AC169" s="167">
        <v>353</v>
      </c>
      <c r="AD169" s="203">
        <v>43180</v>
      </c>
      <c r="AE169" s="203">
        <v>0</v>
      </c>
      <c r="AF169" s="167" t="s">
        <v>3469</v>
      </c>
    </row>
    <row r="170" spans="16:32" x14ac:dyDescent="0.25">
      <c r="P170" s="167" t="s">
        <v>739</v>
      </c>
      <c r="Q170" s="167">
        <v>353</v>
      </c>
      <c r="R170" s="167" t="s">
        <v>3407</v>
      </c>
      <c r="S170" s="167" t="s">
        <v>1705</v>
      </c>
      <c r="T170" s="167">
        <v>2</v>
      </c>
      <c r="U170" s="167" t="s">
        <v>1706</v>
      </c>
      <c r="V170" s="167" t="s">
        <v>3409</v>
      </c>
      <c r="AB170" s="167" t="s">
        <v>1591</v>
      </c>
      <c r="AC170" s="167">
        <v>323</v>
      </c>
      <c r="AD170" s="203">
        <v>43074</v>
      </c>
      <c r="AE170" s="203">
        <v>43111</v>
      </c>
      <c r="AF170" s="167" t="s">
        <v>3470</v>
      </c>
    </row>
    <row r="171" spans="16:32" x14ac:dyDescent="0.25">
      <c r="P171" s="167" t="s">
        <v>739</v>
      </c>
      <c r="Q171" s="167">
        <v>353</v>
      </c>
      <c r="R171" s="167" t="s">
        <v>3407</v>
      </c>
      <c r="S171" s="167" t="s">
        <v>1705</v>
      </c>
      <c r="T171" s="167">
        <v>2</v>
      </c>
      <c r="U171" s="167" t="s">
        <v>1706</v>
      </c>
      <c r="V171" s="167" t="s">
        <v>3409</v>
      </c>
      <c r="AB171" s="167" t="s">
        <v>1591</v>
      </c>
      <c r="AC171" s="167">
        <v>340</v>
      </c>
      <c r="AD171" s="203">
        <v>43133</v>
      </c>
      <c r="AE171" s="203">
        <v>43168</v>
      </c>
      <c r="AF171" s="167" t="s">
        <v>3470</v>
      </c>
    </row>
    <row r="172" spans="16:32" x14ac:dyDescent="0.25">
      <c r="P172" s="167" t="s">
        <v>739</v>
      </c>
      <c r="Q172" s="167">
        <v>353</v>
      </c>
      <c r="R172" s="167" t="s">
        <v>3407</v>
      </c>
      <c r="S172" s="167" t="s">
        <v>1705</v>
      </c>
      <c r="T172" s="167">
        <v>2</v>
      </c>
      <c r="U172" s="167" t="s">
        <v>1706</v>
      </c>
      <c r="V172" s="167" t="s">
        <v>3409</v>
      </c>
      <c r="AB172" s="167" t="s">
        <v>1591</v>
      </c>
      <c r="AC172" s="167">
        <v>364</v>
      </c>
      <c r="AD172" s="203">
        <v>43168</v>
      </c>
      <c r="AE172" s="203">
        <v>43179</v>
      </c>
      <c r="AF172" s="167" t="s">
        <v>3470</v>
      </c>
    </row>
    <row r="173" spans="16:32" x14ac:dyDescent="0.25">
      <c r="P173" s="167" t="s">
        <v>739</v>
      </c>
      <c r="Q173" s="167">
        <v>353</v>
      </c>
      <c r="R173" s="167" t="s">
        <v>3407</v>
      </c>
      <c r="S173" s="167" t="s">
        <v>977</v>
      </c>
      <c r="T173" s="167">
        <v>30</v>
      </c>
      <c r="U173" s="167" t="s">
        <v>1707</v>
      </c>
      <c r="V173" s="167" t="s">
        <v>3409</v>
      </c>
      <c r="AB173" s="167" t="s">
        <v>1591</v>
      </c>
      <c r="AC173" s="167">
        <v>353</v>
      </c>
      <c r="AD173" s="203">
        <v>43180</v>
      </c>
      <c r="AE173" s="203">
        <v>0</v>
      </c>
      <c r="AF173" s="167" t="s">
        <v>3469</v>
      </c>
    </row>
    <row r="174" spans="16:32" x14ac:dyDescent="0.25">
      <c r="P174" s="167" t="s">
        <v>739</v>
      </c>
      <c r="Q174" s="167">
        <v>353</v>
      </c>
      <c r="R174" s="167" t="s">
        <v>3407</v>
      </c>
      <c r="S174" s="167" t="s">
        <v>977</v>
      </c>
      <c r="T174" s="167">
        <v>28</v>
      </c>
      <c r="U174" s="167" t="s">
        <v>1707</v>
      </c>
      <c r="V174" s="167" t="s">
        <v>3409</v>
      </c>
      <c r="AB174" s="167" t="s">
        <v>1593</v>
      </c>
      <c r="AC174" s="167">
        <v>323</v>
      </c>
      <c r="AD174" s="203">
        <v>43074</v>
      </c>
      <c r="AE174" s="203">
        <v>43111</v>
      </c>
      <c r="AF174" s="167" t="s">
        <v>3470</v>
      </c>
    </row>
    <row r="175" spans="16:32" x14ac:dyDescent="0.25">
      <c r="P175" s="167" t="s">
        <v>739</v>
      </c>
      <c r="Q175" s="167">
        <v>353</v>
      </c>
      <c r="R175" s="167" t="s">
        <v>3407</v>
      </c>
      <c r="S175" s="167" t="s">
        <v>977</v>
      </c>
      <c r="T175" s="167">
        <v>7</v>
      </c>
      <c r="U175" s="167" t="s">
        <v>1707</v>
      </c>
      <c r="V175" s="167" t="s">
        <v>3409</v>
      </c>
      <c r="AB175" s="167" t="s">
        <v>1593</v>
      </c>
      <c r="AC175" s="167">
        <v>327</v>
      </c>
      <c r="AD175" s="203">
        <v>43074</v>
      </c>
      <c r="AE175" s="203">
        <v>43131</v>
      </c>
      <c r="AF175" s="167" t="s">
        <v>3470</v>
      </c>
    </row>
    <row r="176" spans="16:32" x14ac:dyDescent="0.25">
      <c r="P176" s="167" t="s">
        <v>739</v>
      </c>
      <c r="Q176" s="167">
        <v>353</v>
      </c>
      <c r="R176" s="167" t="s">
        <v>3407</v>
      </c>
      <c r="S176" s="167" t="s">
        <v>1708</v>
      </c>
      <c r="T176" s="167">
        <v>7</v>
      </c>
      <c r="U176" s="167" t="s">
        <v>1709</v>
      </c>
      <c r="V176" s="167" t="s">
        <v>3409</v>
      </c>
      <c r="AB176" s="167" t="s">
        <v>1593</v>
      </c>
      <c r="AC176" s="167">
        <v>340</v>
      </c>
      <c r="AD176" s="203">
        <v>43133</v>
      </c>
      <c r="AE176" s="203">
        <v>43168</v>
      </c>
      <c r="AF176" s="167" t="s">
        <v>3470</v>
      </c>
    </row>
    <row r="177" spans="16:32" x14ac:dyDescent="0.25">
      <c r="P177" s="167" t="s">
        <v>739</v>
      </c>
      <c r="Q177" s="167">
        <v>353</v>
      </c>
      <c r="R177" s="167" t="s">
        <v>3407</v>
      </c>
      <c r="S177" s="167" t="s">
        <v>1708</v>
      </c>
      <c r="T177" s="167">
        <v>3</v>
      </c>
      <c r="U177" s="167" t="s">
        <v>1709</v>
      </c>
      <c r="V177" s="167" t="s">
        <v>3409</v>
      </c>
      <c r="AB177" s="167" t="s">
        <v>1593</v>
      </c>
      <c r="AC177" s="167">
        <v>357</v>
      </c>
      <c r="AD177" s="203">
        <v>43139</v>
      </c>
      <c r="AE177" s="203">
        <v>43164</v>
      </c>
      <c r="AF177" s="167" t="s">
        <v>3470</v>
      </c>
    </row>
    <row r="178" spans="16:32" x14ac:dyDescent="0.25">
      <c r="P178" s="167" t="s">
        <v>739</v>
      </c>
      <c r="Q178" s="167">
        <v>353</v>
      </c>
      <c r="R178" s="167" t="s">
        <v>3407</v>
      </c>
      <c r="S178" s="167" t="s">
        <v>1708</v>
      </c>
      <c r="T178" s="167">
        <v>3</v>
      </c>
      <c r="U178" s="167" t="s">
        <v>1709</v>
      </c>
      <c r="V178" s="167" t="s">
        <v>3409</v>
      </c>
      <c r="AB178" s="167" t="s">
        <v>1593</v>
      </c>
      <c r="AC178" s="167">
        <v>353</v>
      </c>
      <c r="AD178" s="203">
        <v>43180</v>
      </c>
      <c r="AE178" s="203">
        <v>0</v>
      </c>
      <c r="AF178" s="167" t="s">
        <v>3469</v>
      </c>
    </row>
    <row r="179" spans="16:32" x14ac:dyDescent="0.25">
      <c r="P179" s="167" t="s">
        <v>739</v>
      </c>
      <c r="Q179" s="167">
        <v>353</v>
      </c>
      <c r="R179" s="167" t="s">
        <v>3407</v>
      </c>
      <c r="S179" s="167" t="s">
        <v>1708</v>
      </c>
      <c r="T179" s="167">
        <v>3</v>
      </c>
      <c r="U179" s="167" t="s">
        <v>1709</v>
      </c>
      <c r="V179" s="167" t="s">
        <v>3409</v>
      </c>
      <c r="AB179" s="167" t="s">
        <v>1593</v>
      </c>
      <c r="AC179" s="167">
        <v>353</v>
      </c>
      <c r="AD179" s="203">
        <v>43180</v>
      </c>
      <c r="AE179" s="203">
        <v>0</v>
      </c>
      <c r="AF179" s="167" t="s">
        <v>3469</v>
      </c>
    </row>
    <row r="180" spans="16:32" x14ac:dyDescent="0.25">
      <c r="P180" s="167" t="s">
        <v>739</v>
      </c>
      <c r="Q180" s="167">
        <v>353</v>
      </c>
      <c r="R180" s="167" t="s">
        <v>3407</v>
      </c>
      <c r="S180" s="167" t="s">
        <v>1708</v>
      </c>
      <c r="T180" s="167">
        <v>3</v>
      </c>
      <c r="U180" s="167" t="s">
        <v>1709</v>
      </c>
      <c r="V180" s="167" t="s">
        <v>3409</v>
      </c>
      <c r="AB180" s="167" t="s">
        <v>1595</v>
      </c>
      <c r="AC180" s="167">
        <v>364</v>
      </c>
      <c r="AD180" s="203">
        <v>43168</v>
      </c>
      <c r="AE180" s="203">
        <v>43179</v>
      </c>
      <c r="AF180" s="167" t="s">
        <v>3470</v>
      </c>
    </row>
    <row r="181" spans="16:32" x14ac:dyDescent="0.25">
      <c r="P181" s="167" t="s">
        <v>739</v>
      </c>
      <c r="Q181" s="167">
        <v>353</v>
      </c>
      <c r="R181" s="167" t="s">
        <v>3407</v>
      </c>
      <c r="S181" s="167" t="s">
        <v>1710</v>
      </c>
      <c r="T181" s="167">
        <v>8</v>
      </c>
      <c r="U181" s="167" t="s">
        <v>1711</v>
      </c>
      <c r="V181" s="167" t="s">
        <v>3409</v>
      </c>
      <c r="AB181" s="167" t="s">
        <v>1595</v>
      </c>
      <c r="AC181" s="167">
        <v>353</v>
      </c>
      <c r="AD181" s="203">
        <v>43180</v>
      </c>
      <c r="AE181" s="203">
        <v>0</v>
      </c>
      <c r="AF181" s="167" t="s">
        <v>3469</v>
      </c>
    </row>
    <row r="182" spans="16:32" x14ac:dyDescent="0.25">
      <c r="P182" s="167" t="s">
        <v>739</v>
      </c>
      <c r="Q182" s="167">
        <v>353</v>
      </c>
      <c r="R182" s="167" t="s">
        <v>3407</v>
      </c>
      <c r="S182" s="167" t="s">
        <v>1710</v>
      </c>
      <c r="T182" s="167">
        <v>8</v>
      </c>
      <c r="U182" s="167" t="s">
        <v>1711</v>
      </c>
      <c r="V182" s="167" t="s">
        <v>3409</v>
      </c>
      <c r="AB182" s="167" t="s">
        <v>1596</v>
      </c>
      <c r="AC182" s="167">
        <v>323</v>
      </c>
      <c r="AD182" s="203">
        <v>43074</v>
      </c>
      <c r="AE182" s="203">
        <v>43111</v>
      </c>
      <c r="AF182" s="167" t="s">
        <v>3470</v>
      </c>
    </row>
    <row r="183" spans="16:32" x14ac:dyDescent="0.25">
      <c r="P183" s="167" t="s">
        <v>739</v>
      </c>
      <c r="Q183" s="167">
        <v>353</v>
      </c>
      <c r="R183" s="167" t="s">
        <v>3407</v>
      </c>
      <c r="S183" s="167" t="s">
        <v>1710</v>
      </c>
      <c r="T183" s="167">
        <v>20</v>
      </c>
      <c r="U183" s="167" t="s">
        <v>1711</v>
      </c>
      <c r="V183" s="167" t="s">
        <v>3409</v>
      </c>
      <c r="AB183" s="167" t="s">
        <v>1596</v>
      </c>
      <c r="AC183" s="167">
        <v>347</v>
      </c>
      <c r="AD183" s="203">
        <v>43118</v>
      </c>
      <c r="AE183" s="203">
        <v>43133</v>
      </c>
      <c r="AF183" s="167" t="s">
        <v>3470</v>
      </c>
    </row>
    <row r="184" spans="16:32" x14ac:dyDescent="0.25">
      <c r="P184" s="167" t="s">
        <v>739</v>
      </c>
      <c r="Q184" s="167">
        <v>353</v>
      </c>
      <c r="R184" s="167" t="s">
        <v>3407</v>
      </c>
      <c r="S184" s="167" t="s">
        <v>1712</v>
      </c>
      <c r="T184" s="167">
        <v>1</v>
      </c>
      <c r="U184" s="167" t="s">
        <v>1713</v>
      </c>
      <c r="V184" s="167" t="s">
        <v>3409</v>
      </c>
      <c r="AB184" s="167" t="s">
        <v>1596</v>
      </c>
      <c r="AC184" s="167">
        <v>340</v>
      </c>
      <c r="AD184" s="203">
        <v>43133</v>
      </c>
      <c r="AE184" s="203">
        <v>43168</v>
      </c>
      <c r="AF184" s="167" t="s">
        <v>3470</v>
      </c>
    </row>
    <row r="185" spans="16:32" x14ac:dyDescent="0.25">
      <c r="P185" s="167" t="s">
        <v>739</v>
      </c>
      <c r="Q185" s="167">
        <v>353</v>
      </c>
      <c r="R185" s="167" t="s">
        <v>3407</v>
      </c>
      <c r="S185" s="167" t="s">
        <v>1714</v>
      </c>
      <c r="T185" s="167">
        <v>1</v>
      </c>
      <c r="U185" s="167" t="s">
        <v>1715</v>
      </c>
      <c r="V185" s="167" t="s">
        <v>3409</v>
      </c>
      <c r="AB185" s="167" t="s">
        <v>1598</v>
      </c>
      <c r="AC185" s="167">
        <v>327</v>
      </c>
      <c r="AD185" s="203">
        <v>43074</v>
      </c>
      <c r="AE185" s="203">
        <v>43131</v>
      </c>
      <c r="AF185" s="167" t="s">
        <v>3470</v>
      </c>
    </row>
    <row r="186" spans="16:32" x14ac:dyDescent="0.25">
      <c r="P186" s="167" t="s">
        <v>739</v>
      </c>
      <c r="Q186" s="167">
        <v>353</v>
      </c>
      <c r="R186" s="167" t="s">
        <v>3407</v>
      </c>
      <c r="S186" s="167" t="s">
        <v>1716</v>
      </c>
      <c r="T186" s="167">
        <v>12</v>
      </c>
      <c r="U186" s="167" t="s">
        <v>1717</v>
      </c>
      <c r="V186" s="167" t="s">
        <v>3409</v>
      </c>
      <c r="AB186" s="167" t="s">
        <v>1598</v>
      </c>
      <c r="AC186" s="167">
        <v>327</v>
      </c>
      <c r="AD186" s="203">
        <v>43074</v>
      </c>
      <c r="AE186" s="203">
        <v>43131</v>
      </c>
      <c r="AF186" s="167" t="s">
        <v>3470</v>
      </c>
    </row>
    <row r="187" spans="16:32" x14ac:dyDescent="0.25">
      <c r="P187" s="167" t="s">
        <v>739</v>
      </c>
      <c r="Q187" s="167">
        <v>353</v>
      </c>
      <c r="R187" s="167" t="s">
        <v>3407</v>
      </c>
      <c r="S187" s="167" t="s">
        <v>978</v>
      </c>
      <c r="T187" s="167">
        <v>167</v>
      </c>
      <c r="U187" s="167" t="s">
        <v>1721</v>
      </c>
      <c r="V187" s="167" t="s">
        <v>3409</v>
      </c>
      <c r="AB187" s="167" t="s">
        <v>1598</v>
      </c>
      <c r="AC187" s="167">
        <v>374</v>
      </c>
      <c r="AD187" s="203">
        <v>43195</v>
      </c>
      <c r="AE187" s="203">
        <v>0</v>
      </c>
      <c r="AF187" s="167" t="s">
        <v>3469</v>
      </c>
    </row>
    <row r="188" spans="16:32" x14ac:dyDescent="0.25">
      <c r="P188" s="167" t="s">
        <v>739</v>
      </c>
      <c r="Q188" s="167">
        <v>353</v>
      </c>
      <c r="R188" s="167" t="s">
        <v>3407</v>
      </c>
      <c r="S188" s="167" t="s">
        <v>978</v>
      </c>
      <c r="T188" s="167">
        <v>178</v>
      </c>
      <c r="U188" s="167" t="s">
        <v>1721</v>
      </c>
      <c r="V188" s="167" t="s">
        <v>3409</v>
      </c>
      <c r="AB188" s="167" t="s">
        <v>1599</v>
      </c>
      <c r="AC188" s="167">
        <v>347</v>
      </c>
      <c r="AD188" s="203">
        <v>43118</v>
      </c>
      <c r="AE188" s="203">
        <v>43133</v>
      </c>
      <c r="AF188" s="167" t="s">
        <v>3470</v>
      </c>
    </row>
    <row r="189" spans="16:32" x14ac:dyDescent="0.25">
      <c r="P189" s="167" t="s">
        <v>739</v>
      </c>
      <c r="Q189" s="167">
        <v>353</v>
      </c>
      <c r="R189" s="167" t="s">
        <v>3407</v>
      </c>
      <c r="S189" s="167" t="s">
        <v>1722</v>
      </c>
      <c r="T189" s="167">
        <v>140</v>
      </c>
      <c r="U189" s="167" t="s">
        <v>1723</v>
      </c>
      <c r="V189" s="167" t="s">
        <v>3409</v>
      </c>
      <c r="AB189" s="167" t="s">
        <v>1599</v>
      </c>
      <c r="AC189" s="167">
        <v>340</v>
      </c>
      <c r="AD189" s="203">
        <v>43133</v>
      </c>
      <c r="AE189" s="203">
        <v>43168</v>
      </c>
      <c r="AF189" s="167" t="s">
        <v>3470</v>
      </c>
    </row>
    <row r="190" spans="16:32" x14ac:dyDescent="0.25">
      <c r="P190" s="167" t="s">
        <v>739</v>
      </c>
      <c r="Q190" s="167">
        <v>353</v>
      </c>
      <c r="R190" s="167" t="s">
        <v>3407</v>
      </c>
      <c r="S190" s="167" t="s">
        <v>1722</v>
      </c>
      <c r="T190" s="167">
        <v>76</v>
      </c>
      <c r="U190" s="167" t="s">
        <v>1723</v>
      </c>
      <c r="V190" s="167" t="s">
        <v>3409</v>
      </c>
      <c r="AB190" s="167" t="s">
        <v>1600</v>
      </c>
      <c r="AC190" s="167">
        <v>327</v>
      </c>
      <c r="AD190" s="203">
        <v>43074</v>
      </c>
      <c r="AE190" s="203">
        <v>43131</v>
      </c>
      <c r="AF190" s="167" t="s">
        <v>3470</v>
      </c>
    </row>
    <row r="191" spans="16:32" x14ac:dyDescent="0.25">
      <c r="P191" s="167" t="s">
        <v>739</v>
      </c>
      <c r="Q191" s="167">
        <v>353</v>
      </c>
      <c r="R191" s="167" t="s">
        <v>3407</v>
      </c>
      <c r="S191" s="167" t="s">
        <v>1722</v>
      </c>
      <c r="T191" s="167">
        <v>15</v>
      </c>
      <c r="U191" s="167" t="s">
        <v>1723</v>
      </c>
      <c r="V191" s="167" t="s">
        <v>3409</v>
      </c>
      <c r="AB191" s="167" t="s">
        <v>1602</v>
      </c>
      <c r="AC191" s="167">
        <v>364</v>
      </c>
      <c r="AD191" s="203">
        <v>43168</v>
      </c>
      <c r="AE191" s="203">
        <v>43179</v>
      </c>
      <c r="AF191" s="167" t="s">
        <v>3470</v>
      </c>
    </row>
    <row r="192" spans="16:32" x14ac:dyDescent="0.25">
      <c r="P192" s="167" t="s">
        <v>739</v>
      </c>
      <c r="Q192" s="167">
        <v>353</v>
      </c>
      <c r="R192" s="167" t="s">
        <v>3407</v>
      </c>
      <c r="S192" s="167" t="s">
        <v>1724</v>
      </c>
      <c r="T192" s="167">
        <v>5</v>
      </c>
      <c r="U192" s="167" t="s">
        <v>1725</v>
      </c>
      <c r="V192" s="167" t="s">
        <v>3409</v>
      </c>
      <c r="AB192" s="167" t="s">
        <v>1602</v>
      </c>
      <c r="AC192" s="167">
        <v>353</v>
      </c>
      <c r="AD192" s="203">
        <v>43180</v>
      </c>
      <c r="AE192" s="203">
        <v>0</v>
      </c>
      <c r="AF192" s="167" t="s">
        <v>3469</v>
      </c>
    </row>
    <row r="193" spans="16:32" x14ac:dyDescent="0.25">
      <c r="P193" s="167" t="s">
        <v>739</v>
      </c>
      <c r="Q193" s="167">
        <v>353</v>
      </c>
      <c r="R193" s="167" t="s">
        <v>3407</v>
      </c>
      <c r="S193" s="167" t="s">
        <v>1724</v>
      </c>
      <c r="T193" s="167">
        <v>16</v>
      </c>
      <c r="U193" s="167" t="s">
        <v>1725</v>
      </c>
      <c r="V193" s="167" t="s">
        <v>3409</v>
      </c>
      <c r="AB193" s="167" t="s">
        <v>1603</v>
      </c>
      <c r="AC193" s="167">
        <v>327</v>
      </c>
      <c r="AD193" s="203">
        <v>43074</v>
      </c>
      <c r="AE193" s="203">
        <v>43131</v>
      </c>
      <c r="AF193" s="167" t="s">
        <v>3470</v>
      </c>
    </row>
    <row r="194" spans="16:32" x14ac:dyDescent="0.25">
      <c r="P194" s="167" t="s">
        <v>739</v>
      </c>
      <c r="Q194" s="167">
        <v>353</v>
      </c>
      <c r="R194" s="167" t="s">
        <v>3407</v>
      </c>
      <c r="S194" s="167" t="s">
        <v>1726</v>
      </c>
      <c r="T194" s="167">
        <v>3</v>
      </c>
      <c r="U194" s="167" t="s">
        <v>1727</v>
      </c>
      <c r="V194" s="167" t="s">
        <v>3409</v>
      </c>
      <c r="AB194" s="167" t="s">
        <v>1604</v>
      </c>
      <c r="AC194" s="167">
        <v>347</v>
      </c>
      <c r="AD194" s="203">
        <v>43118</v>
      </c>
      <c r="AE194" s="203">
        <v>43133</v>
      </c>
      <c r="AF194" s="167" t="s">
        <v>3470</v>
      </c>
    </row>
    <row r="195" spans="16:32" x14ac:dyDescent="0.25">
      <c r="P195" s="167" t="s">
        <v>739</v>
      </c>
      <c r="Q195" s="167">
        <v>353</v>
      </c>
      <c r="R195" s="167" t="s">
        <v>3407</v>
      </c>
      <c r="S195" s="167" t="s">
        <v>1728</v>
      </c>
      <c r="T195" s="167">
        <v>2</v>
      </c>
      <c r="U195" s="167" t="s">
        <v>1729</v>
      </c>
      <c r="V195" s="167" t="s">
        <v>3409</v>
      </c>
      <c r="AB195" s="167" t="s">
        <v>1604</v>
      </c>
      <c r="AC195" s="167">
        <v>340</v>
      </c>
      <c r="AD195" s="203">
        <v>43133</v>
      </c>
      <c r="AE195" s="203">
        <v>43168</v>
      </c>
      <c r="AF195" s="167" t="s">
        <v>3470</v>
      </c>
    </row>
    <row r="196" spans="16:32" x14ac:dyDescent="0.25">
      <c r="P196" s="167" t="s">
        <v>739</v>
      </c>
      <c r="Q196" s="167">
        <v>353</v>
      </c>
      <c r="R196" s="167" t="s">
        <v>3407</v>
      </c>
      <c r="S196" s="167" t="s">
        <v>1730</v>
      </c>
      <c r="T196" s="167">
        <v>1</v>
      </c>
      <c r="U196" s="167" t="s">
        <v>1731</v>
      </c>
      <c r="V196" s="167" t="s">
        <v>3409</v>
      </c>
      <c r="AB196" s="167" t="s">
        <v>1604</v>
      </c>
      <c r="AC196" s="167">
        <v>340</v>
      </c>
      <c r="AD196" s="203">
        <v>43133</v>
      </c>
      <c r="AE196" s="203">
        <v>43168</v>
      </c>
      <c r="AF196" s="167" t="s">
        <v>3470</v>
      </c>
    </row>
    <row r="197" spans="16:32" x14ac:dyDescent="0.25">
      <c r="P197" s="167" t="s">
        <v>739</v>
      </c>
      <c r="Q197" s="167">
        <v>353</v>
      </c>
      <c r="R197" s="167" t="s">
        <v>3407</v>
      </c>
      <c r="S197" s="167" t="s">
        <v>1732</v>
      </c>
      <c r="T197" s="167">
        <v>3</v>
      </c>
      <c r="U197" s="167" t="s">
        <v>1733</v>
      </c>
      <c r="V197" s="167" t="s">
        <v>3409</v>
      </c>
      <c r="AB197" s="167" t="s">
        <v>1604</v>
      </c>
      <c r="AC197" s="167">
        <v>340</v>
      </c>
      <c r="AD197" s="203">
        <v>43133</v>
      </c>
      <c r="AE197" s="203">
        <v>43168</v>
      </c>
      <c r="AF197" s="167" t="s">
        <v>3470</v>
      </c>
    </row>
    <row r="198" spans="16:32" x14ac:dyDescent="0.25">
      <c r="P198" s="167" t="s">
        <v>739</v>
      </c>
      <c r="Q198" s="167">
        <v>353</v>
      </c>
      <c r="R198" s="167" t="s">
        <v>3407</v>
      </c>
      <c r="S198" s="167" t="s">
        <v>1735</v>
      </c>
      <c r="T198" s="167">
        <v>1</v>
      </c>
      <c r="U198" s="167" t="s">
        <v>1736</v>
      </c>
      <c r="V198" s="167" t="s">
        <v>3409</v>
      </c>
      <c r="AB198" s="167" t="s">
        <v>1604</v>
      </c>
      <c r="AC198" s="167">
        <v>353</v>
      </c>
      <c r="AD198" s="203">
        <v>43180</v>
      </c>
      <c r="AE198" s="203">
        <v>0</v>
      </c>
      <c r="AF198" s="167" t="s">
        <v>3469</v>
      </c>
    </row>
    <row r="199" spans="16:32" x14ac:dyDescent="0.25">
      <c r="P199" s="167" t="s">
        <v>739</v>
      </c>
      <c r="Q199" s="167">
        <v>353</v>
      </c>
      <c r="R199" s="167" t="s">
        <v>3407</v>
      </c>
      <c r="S199" s="167" t="s">
        <v>1737</v>
      </c>
      <c r="T199" s="167">
        <v>10</v>
      </c>
      <c r="U199" s="167" t="s">
        <v>1738</v>
      </c>
      <c r="V199" s="167" t="s">
        <v>3409</v>
      </c>
      <c r="AB199" s="167" t="s">
        <v>1604</v>
      </c>
      <c r="AC199" s="167">
        <v>353</v>
      </c>
      <c r="AD199" s="203">
        <v>43180</v>
      </c>
      <c r="AE199" s="203">
        <v>0</v>
      </c>
      <c r="AF199" s="167" t="s">
        <v>3469</v>
      </c>
    </row>
    <row r="200" spans="16:32" x14ac:dyDescent="0.25">
      <c r="P200" s="167" t="s">
        <v>739</v>
      </c>
      <c r="Q200" s="167">
        <v>353</v>
      </c>
      <c r="R200" s="167" t="s">
        <v>3407</v>
      </c>
      <c r="S200" s="167" t="s">
        <v>1737</v>
      </c>
      <c r="T200" s="167">
        <v>1</v>
      </c>
      <c r="U200" s="167" t="s">
        <v>1738</v>
      </c>
      <c r="V200" s="167" t="s">
        <v>3409</v>
      </c>
      <c r="AB200" s="167" t="s">
        <v>1605</v>
      </c>
      <c r="AC200" s="167">
        <v>340</v>
      </c>
      <c r="AD200" s="203">
        <v>43133</v>
      </c>
      <c r="AE200" s="203">
        <v>43168</v>
      </c>
      <c r="AF200" s="167" t="s">
        <v>3470</v>
      </c>
    </row>
    <row r="201" spans="16:32" x14ac:dyDescent="0.25">
      <c r="P201" s="167" t="s">
        <v>739</v>
      </c>
      <c r="Q201" s="167">
        <v>353</v>
      </c>
      <c r="R201" s="167" t="s">
        <v>3407</v>
      </c>
      <c r="S201" s="167" t="s">
        <v>1737</v>
      </c>
      <c r="T201" s="167">
        <v>2</v>
      </c>
      <c r="U201" s="167" t="s">
        <v>1738</v>
      </c>
      <c r="V201" s="167" t="s">
        <v>3409</v>
      </c>
      <c r="AB201" s="167" t="s">
        <v>1607</v>
      </c>
      <c r="AC201" s="167">
        <v>347</v>
      </c>
      <c r="AD201" s="203">
        <v>43118</v>
      </c>
      <c r="AE201" s="203">
        <v>43133</v>
      </c>
      <c r="AF201" s="167" t="s">
        <v>3470</v>
      </c>
    </row>
    <row r="202" spans="16:32" x14ac:dyDescent="0.25">
      <c r="P202" s="167" t="s">
        <v>739</v>
      </c>
      <c r="Q202" s="167">
        <v>353</v>
      </c>
      <c r="R202" s="167" t="s">
        <v>3407</v>
      </c>
      <c r="S202" s="167" t="s">
        <v>1744</v>
      </c>
      <c r="T202" s="167">
        <v>4</v>
      </c>
      <c r="U202" s="167" t="s">
        <v>1745</v>
      </c>
      <c r="V202" s="167" t="s">
        <v>3409</v>
      </c>
      <c r="AB202" s="167" t="s">
        <v>1607</v>
      </c>
      <c r="AC202" s="167">
        <v>340</v>
      </c>
      <c r="AD202" s="203">
        <v>43133</v>
      </c>
      <c r="AE202" s="203">
        <v>43168</v>
      </c>
      <c r="AF202" s="167" t="s">
        <v>3470</v>
      </c>
    </row>
    <row r="203" spans="16:32" x14ac:dyDescent="0.25">
      <c r="P203" s="167" t="s">
        <v>739</v>
      </c>
      <c r="Q203" s="167">
        <v>353</v>
      </c>
      <c r="R203" s="167" t="s">
        <v>3407</v>
      </c>
      <c r="S203" s="167" t="s">
        <v>1746</v>
      </c>
      <c r="T203" s="167">
        <v>10</v>
      </c>
      <c r="U203" s="167" t="s">
        <v>1747</v>
      </c>
      <c r="V203" s="167" t="s">
        <v>3409</v>
      </c>
      <c r="AB203" s="167" t="s">
        <v>1607</v>
      </c>
      <c r="AC203" s="167">
        <v>353</v>
      </c>
      <c r="AD203" s="203">
        <v>43180</v>
      </c>
      <c r="AE203" s="203">
        <v>0</v>
      </c>
      <c r="AF203" s="167" t="s">
        <v>3469</v>
      </c>
    </row>
    <row r="204" spans="16:32" x14ac:dyDescent="0.25">
      <c r="P204" s="167" t="s">
        <v>739</v>
      </c>
      <c r="Q204" s="167">
        <v>353</v>
      </c>
      <c r="R204" s="167" t="s">
        <v>3407</v>
      </c>
      <c r="S204" s="167" t="s">
        <v>1746</v>
      </c>
      <c r="T204" s="167">
        <v>3</v>
      </c>
      <c r="U204" s="167" t="s">
        <v>1747</v>
      </c>
      <c r="V204" s="167" t="s">
        <v>3409</v>
      </c>
      <c r="AB204" s="167" t="s">
        <v>1608</v>
      </c>
      <c r="AC204" s="167">
        <v>323</v>
      </c>
      <c r="AD204" s="203">
        <v>43074</v>
      </c>
      <c r="AE204" s="203">
        <v>43111</v>
      </c>
      <c r="AF204" s="167" t="s">
        <v>3470</v>
      </c>
    </row>
    <row r="205" spans="16:32" x14ac:dyDescent="0.25">
      <c r="P205" s="167" t="s">
        <v>739</v>
      </c>
      <c r="Q205" s="167">
        <v>353</v>
      </c>
      <c r="R205" s="167" t="s">
        <v>3407</v>
      </c>
      <c r="S205" s="167" t="s">
        <v>1749</v>
      </c>
      <c r="T205" s="167">
        <v>8</v>
      </c>
      <c r="U205" s="167" t="s">
        <v>1750</v>
      </c>
      <c r="V205" s="167" t="s">
        <v>3409</v>
      </c>
      <c r="AB205" s="167" t="s">
        <v>1608</v>
      </c>
      <c r="AC205" s="167">
        <v>347</v>
      </c>
      <c r="AD205" s="203">
        <v>43118</v>
      </c>
      <c r="AE205" s="203">
        <v>43133</v>
      </c>
      <c r="AF205" s="167" t="s">
        <v>3470</v>
      </c>
    </row>
    <row r="206" spans="16:32" x14ac:dyDescent="0.25">
      <c r="P206" s="167" t="s">
        <v>739</v>
      </c>
      <c r="Q206" s="167">
        <v>353</v>
      </c>
      <c r="R206" s="167" t="s">
        <v>3407</v>
      </c>
      <c r="S206" s="167" t="s">
        <v>3345</v>
      </c>
      <c r="T206" s="167">
        <v>9</v>
      </c>
      <c r="U206" s="167" t="s">
        <v>3414</v>
      </c>
      <c r="V206" s="167" t="s">
        <v>3409</v>
      </c>
      <c r="AB206" s="167" t="s">
        <v>1608</v>
      </c>
      <c r="AC206" s="167">
        <v>340</v>
      </c>
      <c r="AD206" s="203">
        <v>43133</v>
      </c>
      <c r="AE206" s="203">
        <v>43168</v>
      </c>
      <c r="AF206" s="167" t="s">
        <v>3470</v>
      </c>
    </row>
    <row r="207" spans="16:32" x14ac:dyDescent="0.25">
      <c r="P207" s="167" t="s">
        <v>739</v>
      </c>
      <c r="Q207" s="167">
        <v>353</v>
      </c>
      <c r="R207" s="167" t="s">
        <v>3407</v>
      </c>
      <c r="S207" s="167" t="s">
        <v>3345</v>
      </c>
      <c r="T207" s="167">
        <v>7</v>
      </c>
      <c r="U207" s="167" t="s">
        <v>3414</v>
      </c>
      <c r="V207" s="167" t="s">
        <v>3409</v>
      </c>
      <c r="AB207" s="167" t="s">
        <v>1609</v>
      </c>
      <c r="AC207" s="167">
        <v>323</v>
      </c>
      <c r="AD207" s="203">
        <v>43074</v>
      </c>
      <c r="AE207" s="203">
        <v>43111</v>
      </c>
      <c r="AF207" s="167" t="s">
        <v>3470</v>
      </c>
    </row>
    <row r="208" spans="16:32" x14ac:dyDescent="0.25">
      <c r="P208" s="167" t="s">
        <v>739</v>
      </c>
      <c r="Q208" s="167">
        <v>353</v>
      </c>
      <c r="R208" s="167" t="s">
        <v>3407</v>
      </c>
      <c r="S208" s="167" t="s">
        <v>3345</v>
      </c>
      <c r="T208" s="167">
        <v>4</v>
      </c>
      <c r="U208" s="167" t="s">
        <v>3414</v>
      </c>
      <c r="V208" s="167" t="s">
        <v>3409</v>
      </c>
      <c r="AB208" s="167" t="s">
        <v>1609</v>
      </c>
      <c r="AC208" s="167">
        <v>347</v>
      </c>
      <c r="AD208" s="203">
        <v>43118</v>
      </c>
      <c r="AE208" s="203">
        <v>43133</v>
      </c>
      <c r="AF208" s="167" t="s">
        <v>3470</v>
      </c>
    </row>
    <row r="209" spans="16:32" x14ac:dyDescent="0.25">
      <c r="P209" s="167" t="s">
        <v>739</v>
      </c>
      <c r="Q209" s="167">
        <v>353</v>
      </c>
      <c r="R209" s="167" t="s">
        <v>3407</v>
      </c>
      <c r="S209" s="167" t="s">
        <v>1751</v>
      </c>
      <c r="T209" s="167">
        <v>3</v>
      </c>
      <c r="U209" s="167" t="s">
        <v>1752</v>
      </c>
      <c r="V209" s="167" t="s">
        <v>3409</v>
      </c>
      <c r="AB209" s="167" t="s">
        <v>1609</v>
      </c>
      <c r="AC209" s="167">
        <v>340</v>
      </c>
      <c r="AD209" s="203">
        <v>43133</v>
      </c>
      <c r="AE209" s="203">
        <v>43168</v>
      </c>
      <c r="AF209" s="167" t="s">
        <v>3470</v>
      </c>
    </row>
    <row r="210" spans="16:32" x14ac:dyDescent="0.25">
      <c r="P210" s="167" t="s">
        <v>739</v>
      </c>
      <c r="Q210" s="167">
        <v>353</v>
      </c>
      <c r="R210" s="167" t="s">
        <v>3407</v>
      </c>
      <c r="S210" s="167" t="s">
        <v>1751</v>
      </c>
      <c r="T210" s="167">
        <v>1</v>
      </c>
      <c r="U210" s="167" t="s">
        <v>1752</v>
      </c>
      <c r="V210" s="167" t="s">
        <v>3409</v>
      </c>
      <c r="AB210" s="167" t="s">
        <v>1609</v>
      </c>
      <c r="AC210" s="167">
        <v>340</v>
      </c>
      <c r="AD210" s="203">
        <v>43133</v>
      </c>
      <c r="AE210" s="203">
        <v>43168</v>
      </c>
      <c r="AF210" s="167" t="s">
        <v>3470</v>
      </c>
    </row>
    <row r="211" spans="16:32" x14ac:dyDescent="0.25">
      <c r="P211" s="167" t="s">
        <v>739</v>
      </c>
      <c r="Q211" s="167">
        <v>353</v>
      </c>
      <c r="R211" s="167" t="s">
        <v>3407</v>
      </c>
      <c r="S211" s="167" t="s">
        <v>3346</v>
      </c>
      <c r="T211" s="167">
        <v>25</v>
      </c>
      <c r="U211" s="167" t="s">
        <v>3415</v>
      </c>
      <c r="V211" s="167" t="s">
        <v>3409</v>
      </c>
      <c r="AB211" s="167" t="s">
        <v>1610</v>
      </c>
      <c r="AC211" s="167">
        <v>323</v>
      </c>
      <c r="AD211" s="203">
        <v>43074</v>
      </c>
      <c r="AE211" s="203">
        <v>43111</v>
      </c>
      <c r="AF211" s="167" t="s">
        <v>3470</v>
      </c>
    </row>
    <row r="212" spans="16:32" x14ac:dyDescent="0.25">
      <c r="P212" s="167" t="s">
        <v>739</v>
      </c>
      <c r="Q212" s="167">
        <v>353</v>
      </c>
      <c r="R212" s="167" t="s">
        <v>3407</v>
      </c>
      <c r="S212" s="167" t="s">
        <v>979</v>
      </c>
      <c r="T212" s="167">
        <v>28</v>
      </c>
      <c r="U212" s="167" t="s">
        <v>1755</v>
      </c>
      <c r="V212" s="167" t="s">
        <v>3409</v>
      </c>
      <c r="AB212" s="167" t="s">
        <v>1610</v>
      </c>
      <c r="AC212" s="167">
        <v>327</v>
      </c>
      <c r="AD212" s="203">
        <v>43074</v>
      </c>
      <c r="AE212" s="203">
        <v>43131</v>
      </c>
      <c r="AF212" s="167" t="s">
        <v>3470</v>
      </c>
    </row>
    <row r="213" spans="16:32" x14ac:dyDescent="0.25">
      <c r="P213" s="167" t="s">
        <v>739</v>
      </c>
      <c r="Q213" s="167">
        <v>353</v>
      </c>
      <c r="R213" s="167" t="s">
        <v>3407</v>
      </c>
      <c r="S213" s="167" t="s">
        <v>979</v>
      </c>
      <c r="T213" s="167">
        <v>20</v>
      </c>
      <c r="U213" s="167" t="s">
        <v>1755</v>
      </c>
      <c r="V213" s="167" t="s">
        <v>3409</v>
      </c>
      <c r="AB213" s="167" t="s">
        <v>1610</v>
      </c>
      <c r="AC213" s="167">
        <v>347</v>
      </c>
      <c r="AD213" s="203">
        <v>43118</v>
      </c>
      <c r="AE213" s="203">
        <v>43133</v>
      </c>
      <c r="AF213" s="167" t="s">
        <v>3470</v>
      </c>
    </row>
    <row r="214" spans="16:32" x14ac:dyDescent="0.25">
      <c r="P214" s="167" t="s">
        <v>739</v>
      </c>
      <c r="Q214" s="167">
        <v>353</v>
      </c>
      <c r="R214" s="167" t="s">
        <v>3407</v>
      </c>
      <c r="S214" s="167" t="s">
        <v>979</v>
      </c>
      <c r="T214" s="167">
        <v>30</v>
      </c>
      <c r="U214" s="167" t="s">
        <v>1755</v>
      </c>
      <c r="V214" s="167" t="s">
        <v>3409</v>
      </c>
      <c r="AB214" s="167" t="s">
        <v>1610</v>
      </c>
      <c r="AC214" s="167">
        <v>340</v>
      </c>
      <c r="AD214" s="203">
        <v>43133</v>
      </c>
      <c r="AE214" s="203">
        <v>43168</v>
      </c>
      <c r="AF214" s="167" t="s">
        <v>3470</v>
      </c>
    </row>
    <row r="215" spans="16:32" x14ac:dyDescent="0.25">
      <c r="P215" s="167" t="s">
        <v>739</v>
      </c>
      <c r="Q215" s="167">
        <v>353</v>
      </c>
      <c r="R215" s="167" t="s">
        <v>3407</v>
      </c>
      <c r="S215" s="167" t="s">
        <v>1756</v>
      </c>
      <c r="T215" s="167">
        <v>14</v>
      </c>
      <c r="U215" s="167" t="s">
        <v>1757</v>
      </c>
      <c r="V215" s="167" t="s">
        <v>3409</v>
      </c>
      <c r="AB215" s="167" t="s">
        <v>1610</v>
      </c>
      <c r="AC215" s="167">
        <v>340</v>
      </c>
      <c r="AD215" s="203">
        <v>43133</v>
      </c>
      <c r="AE215" s="203">
        <v>43168</v>
      </c>
      <c r="AF215" s="167" t="s">
        <v>3470</v>
      </c>
    </row>
    <row r="216" spans="16:32" x14ac:dyDescent="0.25">
      <c r="P216" s="167" t="s">
        <v>739</v>
      </c>
      <c r="Q216" s="167">
        <v>353</v>
      </c>
      <c r="R216" s="167" t="s">
        <v>3407</v>
      </c>
      <c r="S216" s="167" t="s">
        <v>1756</v>
      </c>
      <c r="T216" s="167">
        <v>177</v>
      </c>
      <c r="U216" s="167" t="s">
        <v>1757</v>
      </c>
      <c r="V216" s="167" t="s">
        <v>3409</v>
      </c>
      <c r="AB216" s="167" t="s">
        <v>1611</v>
      </c>
      <c r="AC216" s="167">
        <v>327</v>
      </c>
      <c r="AD216" s="203">
        <v>43074</v>
      </c>
      <c r="AE216" s="203">
        <v>43131</v>
      </c>
      <c r="AF216" s="167" t="s">
        <v>3470</v>
      </c>
    </row>
    <row r="217" spans="16:32" x14ac:dyDescent="0.25">
      <c r="P217" s="167" t="s">
        <v>739</v>
      </c>
      <c r="Q217" s="167">
        <v>353</v>
      </c>
      <c r="R217" s="167" t="s">
        <v>3407</v>
      </c>
      <c r="S217" s="167" t="s">
        <v>1758</v>
      </c>
      <c r="T217" s="167">
        <v>10</v>
      </c>
      <c r="U217" s="167" t="s">
        <v>1759</v>
      </c>
      <c r="V217" s="167" t="s">
        <v>3409</v>
      </c>
      <c r="AB217" s="167" t="s">
        <v>1611</v>
      </c>
      <c r="AC217" s="167">
        <v>347</v>
      </c>
      <c r="AD217" s="203">
        <v>43118</v>
      </c>
      <c r="AE217" s="203">
        <v>43133</v>
      </c>
      <c r="AF217" s="167" t="s">
        <v>3470</v>
      </c>
    </row>
    <row r="218" spans="16:32" x14ac:dyDescent="0.25">
      <c r="P218" s="167" t="s">
        <v>739</v>
      </c>
      <c r="Q218" s="167">
        <v>353</v>
      </c>
      <c r="R218" s="167" t="s">
        <v>3407</v>
      </c>
      <c r="S218" s="167" t="s">
        <v>1758</v>
      </c>
      <c r="T218" s="167">
        <v>20</v>
      </c>
      <c r="U218" s="167" t="s">
        <v>1759</v>
      </c>
      <c r="V218" s="167" t="s">
        <v>3409</v>
      </c>
      <c r="AB218" s="167" t="s">
        <v>1611</v>
      </c>
      <c r="AC218" s="167">
        <v>340</v>
      </c>
      <c r="AD218" s="203">
        <v>43133</v>
      </c>
      <c r="AE218" s="203">
        <v>43168</v>
      </c>
      <c r="AF218" s="167" t="s">
        <v>3470</v>
      </c>
    </row>
    <row r="219" spans="16:32" x14ac:dyDescent="0.25">
      <c r="P219" s="167" t="s">
        <v>739</v>
      </c>
      <c r="Q219" s="167">
        <v>353</v>
      </c>
      <c r="R219" s="167" t="s">
        <v>3407</v>
      </c>
      <c r="S219" s="167" t="s">
        <v>1760</v>
      </c>
      <c r="T219" s="167">
        <v>16</v>
      </c>
      <c r="U219" s="167" t="s">
        <v>1761</v>
      </c>
      <c r="V219" s="167" t="s">
        <v>3409</v>
      </c>
      <c r="AB219" s="167" t="s">
        <v>1611</v>
      </c>
      <c r="AC219" s="167">
        <v>357</v>
      </c>
      <c r="AD219" s="203">
        <v>43139</v>
      </c>
      <c r="AE219" s="203">
        <v>43164</v>
      </c>
      <c r="AF219" s="167" t="s">
        <v>3470</v>
      </c>
    </row>
    <row r="220" spans="16:32" x14ac:dyDescent="0.25">
      <c r="P220" s="167" t="s">
        <v>739</v>
      </c>
      <c r="Q220" s="167">
        <v>353</v>
      </c>
      <c r="R220" s="167" t="s">
        <v>3407</v>
      </c>
      <c r="S220" s="167" t="s">
        <v>1763</v>
      </c>
      <c r="T220" s="167">
        <v>1</v>
      </c>
      <c r="U220" s="167" t="s">
        <v>1764</v>
      </c>
      <c r="V220" s="167" t="s">
        <v>3409</v>
      </c>
      <c r="AB220" s="167" t="s">
        <v>1611</v>
      </c>
      <c r="AC220" s="167">
        <v>364</v>
      </c>
      <c r="AD220" s="203">
        <v>43168</v>
      </c>
      <c r="AE220" s="203">
        <v>43179</v>
      </c>
      <c r="AF220" s="167" t="s">
        <v>3470</v>
      </c>
    </row>
    <row r="221" spans="16:32" x14ac:dyDescent="0.25">
      <c r="P221" s="167" t="s">
        <v>739</v>
      </c>
      <c r="Q221" s="167">
        <v>353</v>
      </c>
      <c r="R221" s="167" t="s">
        <v>3407</v>
      </c>
      <c r="S221" s="167" t="s">
        <v>1766</v>
      </c>
      <c r="T221" s="167">
        <v>30</v>
      </c>
      <c r="U221" s="167" t="s">
        <v>1767</v>
      </c>
      <c r="V221" s="167" t="s">
        <v>3409</v>
      </c>
      <c r="AB221" s="167" t="s">
        <v>1611</v>
      </c>
      <c r="AC221" s="167">
        <v>353</v>
      </c>
      <c r="AD221" s="203">
        <v>43180</v>
      </c>
      <c r="AE221" s="203">
        <v>0</v>
      </c>
      <c r="AF221" s="167" t="s">
        <v>3469</v>
      </c>
    </row>
    <row r="222" spans="16:32" x14ac:dyDescent="0.25">
      <c r="P222" s="167" t="s">
        <v>739</v>
      </c>
      <c r="Q222" s="167">
        <v>353</v>
      </c>
      <c r="R222" s="167" t="s">
        <v>3407</v>
      </c>
      <c r="S222" s="167" t="s">
        <v>1766</v>
      </c>
      <c r="T222" s="167">
        <v>3</v>
      </c>
      <c r="U222" s="167" t="s">
        <v>1767</v>
      </c>
      <c r="V222" s="167" t="s">
        <v>3409</v>
      </c>
      <c r="AB222" s="167" t="s">
        <v>1611</v>
      </c>
      <c r="AC222" s="167">
        <v>353</v>
      </c>
      <c r="AD222" s="203">
        <v>43180</v>
      </c>
      <c r="AE222" s="203">
        <v>0</v>
      </c>
      <c r="AF222" s="167" t="s">
        <v>3469</v>
      </c>
    </row>
    <row r="223" spans="16:32" x14ac:dyDescent="0.25">
      <c r="P223" s="167" t="s">
        <v>739</v>
      </c>
      <c r="Q223" s="167">
        <v>353</v>
      </c>
      <c r="R223" s="167" t="s">
        <v>3407</v>
      </c>
      <c r="S223" s="167" t="s">
        <v>1766</v>
      </c>
      <c r="T223" s="167">
        <v>2</v>
      </c>
      <c r="U223" s="167" t="s">
        <v>1767</v>
      </c>
      <c r="V223" s="167" t="s">
        <v>3409</v>
      </c>
      <c r="AB223" s="167" t="s">
        <v>1612</v>
      </c>
      <c r="AC223" s="167">
        <v>323</v>
      </c>
      <c r="AD223" s="203">
        <v>43074</v>
      </c>
      <c r="AE223" s="203">
        <v>43111</v>
      </c>
      <c r="AF223" s="167" t="s">
        <v>3470</v>
      </c>
    </row>
    <row r="224" spans="16:32" x14ac:dyDescent="0.25">
      <c r="P224" s="167" t="s">
        <v>739</v>
      </c>
      <c r="Q224" s="167">
        <v>353</v>
      </c>
      <c r="R224" s="167" t="s">
        <v>3407</v>
      </c>
      <c r="S224" s="167" t="s">
        <v>1766</v>
      </c>
      <c r="T224" s="167">
        <v>13</v>
      </c>
      <c r="U224" s="167" t="s">
        <v>1767</v>
      </c>
      <c r="V224" s="167" t="s">
        <v>3409</v>
      </c>
      <c r="AB224" s="167" t="s">
        <v>1612</v>
      </c>
      <c r="AC224" s="167">
        <v>327</v>
      </c>
      <c r="AD224" s="203">
        <v>43074</v>
      </c>
      <c r="AE224" s="203">
        <v>43131</v>
      </c>
      <c r="AF224" s="167" t="s">
        <v>3470</v>
      </c>
    </row>
    <row r="225" spans="16:32" x14ac:dyDescent="0.25">
      <c r="P225" s="167" t="s">
        <v>739</v>
      </c>
      <c r="Q225" s="167">
        <v>353</v>
      </c>
      <c r="R225" s="167" t="s">
        <v>3407</v>
      </c>
      <c r="S225" s="167" t="s">
        <v>1769</v>
      </c>
      <c r="T225" s="167">
        <v>2</v>
      </c>
      <c r="U225" s="167" t="s">
        <v>1770</v>
      </c>
      <c r="V225" s="167" t="s">
        <v>3409</v>
      </c>
      <c r="AB225" s="167" t="s">
        <v>1612</v>
      </c>
      <c r="AC225" s="167">
        <v>347</v>
      </c>
      <c r="AD225" s="203">
        <v>43118</v>
      </c>
      <c r="AE225" s="203">
        <v>43133</v>
      </c>
      <c r="AF225" s="167" t="s">
        <v>3470</v>
      </c>
    </row>
    <row r="226" spans="16:32" x14ac:dyDescent="0.25">
      <c r="P226" s="167" t="s">
        <v>739</v>
      </c>
      <c r="Q226" s="167">
        <v>353</v>
      </c>
      <c r="R226" s="167" t="s">
        <v>3407</v>
      </c>
      <c r="S226" s="167" t="s">
        <v>1769</v>
      </c>
      <c r="T226" s="167">
        <v>10</v>
      </c>
      <c r="U226" s="167" t="s">
        <v>1770</v>
      </c>
      <c r="V226" s="167" t="s">
        <v>3409</v>
      </c>
      <c r="AB226" s="167" t="s">
        <v>1612</v>
      </c>
      <c r="AC226" s="167">
        <v>340</v>
      </c>
      <c r="AD226" s="203">
        <v>43133</v>
      </c>
      <c r="AE226" s="203">
        <v>43168</v>
      </c>
      <c r="AF226" s="167" t="s">
        <v>3470</v>
      </c>
    </row>
    <row r="227" spans="16:32" x14ac:dyDescent="0.25">
      <c r="P227" s="167" t="s">
        <v>739</v>
      </c>
      <c r="Q227" s="167">
        <v>353</v>
      </c>
      <c r="R227" s="167" t="s">
        <v>3407</v>
      </c>
      <c r="S227" s="167" t="s">
        <v>1771</v>
      </c>
      <c r="T227" s="167">
        <v>1</v>
      </c>
      <c r="U227" s="167" t="s">
        <v>1772</v>
      </c>
      <c r="V227" s="167" t="s">
        <v>3409</v>
      </c>
      <c r="AB227" s="167" t="s">
        <v>1612</v>
      </c>
      <c r="AC227" s="167">
        <v>340</v>
      </c>
      <c r="AD227" s="203">
        <v>43133</v>
      </c>
      <c r="AE227" s="203">
        <v>43168</v>
      </c>
      <c r="AF227" s="167" t="s">
        <v>3470</v>
      </c>
    </row>
    <row r="228" spans="16:32" x14ac:dyDescent="0.25">
      <c r="P228" s="167" t="s">
        <v>739</v>
      </c>
      <c r="Q228" s="167">
        <v>353</v>
      </c>
      <c r="R228" s="167" t="s">
        <v>3407</v>
      </c>
      <c r="S228" s="167" t="s">
        <v>1771</v>
      </c>
      <c r="T228" s="167">
        <v>4</v>
      </c>
      <c r="U228" s="167" t="s">
        <v>1772</v>
      </c>
      <c r="V228" s="167" t="s">
        <v>3409</v>
      </c>
      <c r="AB228" s="167" t="s">
        <v>1612</v>
      </c>
      <c r="AC228" s="167">
        <v>364</v>
      </c>
      <c r="AD228" s="203">
        <v>43168</v>
      </c>
      <c r="AE228" s="203">
        <v>43179</v>
      </c>
      <c r="AF228" s="167" t="s">
        <v>3470</v>
      </c>
    </row>
    <row r="229" spans="16:32" x14ac:dyDescent="0.25">
      <c r="P229" s="167" t="s">
        <v>739</v>
      </c>
      <c r="Q229" s="167">
        <v>353</v>
      </c>
      <c r="R229" s="167" t="s">
        <v>3407</v>
      </c>
      <c r="S229" s="167" t="s">
        <v>1773</v>
      </c>
      <c r="T229" s="167">
        <v>8</v>
      </c>
      <c r="U229" s="167" t="s">
        <v>1774</v>
      </c>
      <c r="V229" s="167" t="s">
        <v>3409</v>
      </c>
      <c r="AB229" s="167" t="s">
        <v>1612</v>
      </c>
      <c r="AC229" s="167">
        <v>374</v>
      </c>
      <c r="AD229" s="203">
        <v>43195</v>
      </c>
      <c r="AE229" s="203">
        <v>0</v>
      </c>
      <c r="AF229" s="167" t="s">
        <v>3469</v>
      </c>
    </row>
    <row r="230" spans="16:32" x14ac:dyDescent="0.25">
      <c r="P230" s="167" t="s">
        <v>739</v>
      </c>
      <c r="Q230" s="167">
        <v>353</v>
      </c>
      <c r="R230" s="167" t="s">
        <v>3407</v>
      </c>
      <c r="S230" s="167" t="s">
        <v>1773</v>
      </c>
      <c r="T230" s="167">
        <v>30</v>
      </c>
      <c r="U230" s="167" t="s">
        <v>1774</v>
      </c>
      <c r="V230" s="167" t="s">
        <v>3409</v>
      </c>
      <c r="AB230" s="167" t="s">
        <v>1613</v>
      </c>
      <c r="AC230" s="167">
        <v>364</v>
      </c>
      <c r="AD230" s="203">
        <v>43168</v>
      </c>
      <c r="AE230" s="203">
        <v>43179</v>
      </c>
      <c r="AF230" s="167" t="s">
        <v>3470</v>
      </c>
    </row>
    <row r="231" spans="16:32" x14ac:dyDescent="0.25">
      <c r="P231" s="167" t="s">
        <v>739</v>
      </c>
      <c r="Q231" s="167">
        <v>353</v>
      </c>
      <c r="R231" s="167" t="s">
        <v>3407</v>
      </c>
      <c r="S231" s="167" t="s">
        <v>980</v>
      </c>
      <c r="T231" s="167">
        <v>4</v>
      </c>
      <c r="U231" s="167" t="s">
        <v>1775</v>
      </c>
      <c r="V231" s="167" t="s">
        <v>3409</v>
      </c>
      <c r="AB231" s="167" t="s">
        <v>1613</v>
      </c>
      <c r="AC231" s="167">
        <v>353</v>
      </c>
      <c r="AD231" s="203">
        <v>43180</v>
      </c>
      <c r="AE231" s="203">
        <v>0</v>
      </c>
      <c r="AF231" s="167" t="s">
        <v>3469</v>
      </c>
    </row>
    <row r="232" spans="16:32" x14ac:dyDescent="0.25">
      <c r="P232" s="167" t="s">
        <v>739</v>
      </c>
      <c r="Q232" s="167">
        <v>353</v>
      </c>
      <c r="R232" s="167" t="s">
        <v>3407</v>
      </c>
      <c r="S232" s="167" t="s">
        <v>980</v>
      </c>
      <c r="T232" s="167">
        <v>20</v>
      </c>
      <c r="U232" s="167" t="s">
        <v>1775</v>
      </c>
      <c r="V232" s="167" t="s">
        <v>3409</v>
      </c>
      <c r="AB232" s="167" t="s">
        <v>3471</v>
      </c>
      <c r="AC232" s="167">
        <v>323</v>
      </c>
      <c r="AD232" s="203">
        <v>43074</v>
      </c>
      <c r="AE232" s="203">
        <v>43111</v>
      </c>
      <c r="AF232" s="167" t="s">
        <v>3470</v>
      </c>
    </row>
    <row r="233" spans="16:32" x14ac:dyDescent="0.25">
      <c r="P233" s="167" t="s">
        <v>739</v>
      </c>
      <c r="Q233" s="167">
        <v>353</v>
      </c>
      <c r="R233" s="167" t="s">
        <v>3407</v>
      </c>
      <c r="S233" s="167" t="s">
        <v>1778</v>
      </c>
      <c r="T233" s="167">
        <v>16</v>
      </c>
      <c r="U233" s="167" t="s">
        <v>1779</v>
      </c>
      <c r="V233" s="167" t="s">
        <v>3409</v>
      </c>
      <c r="AB233" s="167" t="s">
        <v>1615</v>
      </c>
      <c r="AC233" s="167">
        <v>327</v>
      </c>
      <c r="AD233" s="203">
        <v>43074</v>
      </c>
      <c r="AE233" s="203">
        <v>43131</v>
      </c>
      <c r="AF233" s="167" t="s">
        <v>3470</v>
      </c>
    </row>
    <row r="234" spans="16:32" x14ac:dyDescent="0.25">
      <c r="P234" s="167" t="s">
        <v>739</v>
      </c>
      <c r="Q234" s="167">
        <v>353</v>
      </c>
      <c r="R234" s="167" t="s">
        <v>3407</v>
      </c>
      <c r="S234" s="167" t="s">
        <v>1778</v>
      </c>
      <c r="T234" s="167">
        <v>7</v>
      </c>
      <c r="U234" s="167" t="s">
        <v>1779</v>
      </c>
      <c r="V234" s="167" t="s">
        <v>3409</v>
      </c>
      <c r="AB234" s="167" t="s">
        <v>1615</v>
      </c>
      <c r="AC234" s="167">
        <v>327</v>
      </c>
      <c r="AD234" s="203">
        <v>43074</v>
      </c>
      <c r="AE234" s="203">
        <v>43131</v>
      </c>
      <c r="AF234" s="167" t="s">
        <v>3470</v>
      </c>
    </row>
    <row r="235" spans="16:32" x14ac:dyDescent="0.25">
      <c r="P235" s="167" t="s">
        <v>739</v>
      </c>
      <c r="Q235" s="167">
        <v>353</v>
      </c>
      <c r="R235" s="167" t="s">
        <v>3407</v>
      </c>
      <c r="S235" s="167" t="s">
        <v>1778</v>
      </c>
      <c r="T235" s="167">
        <v>5</v>
      </c>
      <c r="U235" s="167" t="s">
        <v>1779</v>
      </c>
      <c r="V235" s="167" t="s">
        <v>3409</v>
      </c>
      <c r="AB235" s="167" t="s">
        <v>1615</v>
      </c>
      <c r="AC235" s="167">
        <v>327</v>
      </c>
      <c r="AD235" s="203">
        <v>43074</v>
      </c>
      <c r="AE235" s="203">
        <v>43131</v>
      </c>
      <c r="AF235" s="167" t="s">
        <v>3470</v>
      </c>
    </row>
    <row r="236" spans="16:32" x14ac:dyDescent="0.25">
      <c r="P236" s="167" t="s">
        <v>739</v>
      </c>
      <c r="Q236" s="167">
        <v>353</v>
      </c>
      <c r="R236" s="167" t="s">
        <v>3407</v>
      </c>
      <c r="S236" s="167" t="s">
        <v>1778</v>
      </c>
      <c r="T236" s="167">
        <v>10</v>
      </c>
      <c r="U236" s="167" t="s">
        <v>1779</v>
      </c>
      <c r="V236" s="167" t="s">
        <v>3409</v>
      </c>
      <c r="AB236" s="167" t="s">
        <v>1615</v>
      </c>
      <c r="AC236" s="167">
        <v>347</v>
      </c>
      <c r="AD236" s="203">
        <v>43118</v>
      </c>
      <c r="AE236" s="203">
        <v>43133</v>
      </c>
      <c r="AF236" s="167" t="s">
        <v>3470</v>
      </c>
    </row>
    <row r="237" spans="16:32" x14ac:dyDescent="0.25">
      <c r="P237" s="167" t="s">
        <v>739</v>
      </c>
      <c r="Q237" s="167">
        <v>353</v>
      </c>
      <c r="R237" s="167" t="s">
        <v>3407</v>
      </c>
      <c r="S237" s="167" t="s">
        <v>1778</v>
      </c>
      <c r="T237" s="167">
        <v>3</v>
      </c>
      <c r="U237" s="167" t="s">
        <v>1779</v>
      </c>
      <c r="V237" s="167" t="s">
        <v>3409</v>
      </c>
      <c r="AB237" s="167" t="s">
        <v>1615</v>
      </c>
      <c r="AC237" s="167">
        <v>353</v>
      </c>
      <c r="AD237" s="203">
        <v>43180</v>
      </c>
      <c r="AE237" s="203">
        <v>0</v>
      </c>
      <c r="AF237" s="167" t="s">
        <v>3469</v>
      </c>
    </row>
    <row r="238" spans="16:32" x14ac:dyDescent="0.25">
      <c r="P238" s="167" t="s">
        <v>739</v>
      </c>
      <c r="Q238" s="167">
        <v>353</v>
      </c>
      <c r="R238" s="167" t="s">
        <v>3407</v>
      </c>
      <c r="S238" s="167" t="s">
        <v>1778</v>
      </c>
      <c r="T238" s="167">
        <v>10</v>
      </c>
      <c r="U238" s="167" t="s">
        <v>1779</v>
      </c>
      <c r="V238" s="167" t="s">
        <v>3409</v>
      </c>
      <c r="AB238" s="167" t="s">
        <v>1615</v>
      </c>
      <c r="AC238" s="167">
        <v>353</v>
      </c>
      <c r="AD238" s="203">
        <v>43180</v>
      </c>
      <c r="AE238" s="203">
        <v>0</v>
      </c>
      <c r="AF238" s="167" t="s">
        <v>3469</v>
      </c>
    </row>
    <row r="239" spans="16:32" x14ac:dyDescent="0.25">
      <c r="P239" s="167" t="s">
        <v>739</v>
      </c>
      <c r="Q239" s="167">
        <v>353</v>
      </c>
      <c r="R239" s="167" t="s">
        <v>3407</v>
      </c>
      <c r="S239" s="167" t="s">
        <v>1778</v>
      </c>
      <c r="T239" s="167">
        <v>3</v>
      </c>
      <c r="U239" s="167" t="s">
        <v>1779</v>
      </c>
      <c r="V239" s="167" t="s">
        <v>3409</v>
      </c>
      <c r="AB239" s="167" t="s">
        <v>1615</v>
      </c>
      <c r="AC239" s="167">
        <v>353</v>
      </c>
      <c r="AD239" s="203">
        <v>43180</v>
      </c>
      <c r="AE239" s="203">
        <v>0</v>
      </c>
      <c r="AF239" s="167" t="s">
        <v>3469</v>
      </c>
    </row>
    <row r="240" spans="16:32" x14ac:dyDescent="0.25">
      <c r="P240" s="167" t="s">
        <v>739</v>
      </c>
      <c r="Q240" s="167">
        <v>353</v>
      </c>
      <c r="R240" s="167" t="s">
        <v>3407</v>
      </c>
      <c r="S240" s="167" t="s">
        <v>1781</v>
      </c>
      <c r="T240" s="167">
        <v>16</v>
      </c>
      <c r="U240" s="167" t="s">
        <v>1782</v>
      </c>
      <c r="V240" s="167" t="s">
        <v>3409</v>
      </c>
      <c r="AB240" s="167" t="s">
        <v>1616</v>
      </c>
      <c r="AC240" s="167">
        <v>323</v>
      </c>
      <c r="AD240" s="203">
        <v>43074</v>
      </c>
      <c r="AE240" s="203">
        <v>43111</v>
      </c>
      <c r="AF240" s="167" t="s">
        <v>3470</v>
      </c>
    </row>
    <row r="241" spans="16:32" x14ac:dyDescent="0.25">
      <c r="P241" s="167" t="s">
        <v>739</v>
      </c>
      <c r="Q241" s="167">
        <v>353</v>
      </c>
      <c r="R241" s="167" t="s">
        <v>3407</v>
      </c>
      <c r="S241" s="167" t="s">
        <v>1781</v>
      </c>
      <c r="T241" s="167">
        <v>15</v>
      </c>
      <c r="U241" s="167" t="s">
        <v>1782</v>
      </c>
      <c r="V241" s="167" t="s">
        <v>3409</v>
      </c>
      <c r="AB241" s="167" t="s">
        <v>1616</v>
      </c>
      <c r="AC241" s="167">
        <v>323</v>
      </c>
      <c r="AD241" s="203">
        <v>43074</v>
      </c>
      <c r="AE241" s="203">
        <v>43111</v>
      </c>
      <c r="AF241" s="167" t="s">
        <v>3470</v>
      </c>
    </row>
    <row r="242" spans="16:32" x14ac:dyDescent="0.25">
      <c r="P242" s="167" t="s">
        <v>739</v>
      </c>
      <c r="Q242" s="167">
        <v>353</v>
      </c>
      <c r="R242" s="167" t="s">
        <v>3407</v>
      </c>
      <c r="S242" s="167" t="s">
        <v>1781</v>
      </c>
      <c r="T242" s="167">
        <v>10</v>
      </c>
      <c r="U242" s="167" t="s">
        <v>1782</v>
      </c>
      <c r="V242" s="167" t="s">
        <v>3409</v>
      </c>
      <c r="AB242" s="167" t="s">
        <v>1617</v>
      </c>
      <c r="AC242" s="167">
        <v>347</v>
      </c>
      <c r="AD242" s="203">
        <v>43118</v>
      </c>
      <c r="AE242" s="203">
        <v>43133</v>
      </c>
      <c r="AF242" s="167" t="s">
        <v>3470</v>
      </c>
    </row>
    <row r="243" spans="16:32" x14ac:dyDescent="0.25">
      <c r="P243" s="167" t="s">
        <v>739</v>
      </c>
      <c r="Q243" s="167">
        <v>353</v>
      </c>
      <c r="R243" s="167" t="s">
        <v>3407</v>
      </c>
      <c r="S243" s="167" t="s">
        <v>1781</v>
      </c>
      <c r="T243" s="167">
        <v>5</v>
      </c>
      <c r="U243" s="167" t="s">
        <v>1782</v>
      </c>
      <c r="V243" s="167" t="s">
        <v>3409</v>
      </c>
      <c r="AB243" s="167" t="s">
        <v>1617</v>
      </c>
      <c r="AC243" s="167">
        <v>340</v>
      </c>
      <c r="AD243" s="203">
        <v>43133</v>
      </c>
      <c r="AE243" s="203">
        <v>43168</v>
      </c>
      <c r="AF243" s="167" t="s">
        <v>3470</v>
      </c>
    </row>
    <row r="244" spans="16:32" x14ac:dyDescent="0.25">
      <c r="P244" s="167" t="s">
        <v>739</v>
      </c>
      <c r="Q244" s="167">
        <v>353</v>
      </c>
      <c r="R244" s="167" t="s">
        <v>3407</v>
      </c>
      <c r="S244" s="167" t="s">
        <v>1781</v>
      </c>
      <c r="T244" s="167">
        <v>5</v>
      </c>
      <c r="U244" s="167" t="s">
        <v>1782</v>
      </c>
      <c r="V244" s="167" t="s">
        <v>3409</v>
      </c>
      <c r="AB244" s="167" t="s">
        <v>1619</v>
      </c>
      <c r="AC244" s="167">
        <v>327</v>
      </c>
      <c r="AD244" s="203">
        <v>43074</v>
      </c>
      <c r="AE244" s="203">
        <v>43131</v>
      </c>
      <c r="AF244" s="167" t="s">
        <v>3470</v>
      </c>
    </row>
    <row r="245" spans="16:32" x14ac:dyDescent="0.25">
      <c r="P245" s="167" t="s">
        <v>739</v>
      </c>
      <c r="Q245" s="167">
        <v>353</v>
      </c>
      <c r="R245" s="167" t="s">
        <v>3407</v>
      </c>
      <c r="S245" s="167" t="s">
        <v>1781</v>
      </c>
      <c r="T245" s="167">
        <v>10</v>
      </c>
      <c r="U245" s="167" t="s">
        <v>1782</v>
      </c>
      <c r="V245" s="167" t="s">
        <v>3409</v>
      </c>
      <c r="AB245" s="167" t="s">
        <v>1619</v>
      </c>
      <c r="AC245" s="167">
        <v>347</v>
      </c>
      <c r="AD245" s="203">
        <v>43118</v>
      </c>
      <c r="AE245" s="203">
        <v>43133</v>
      </c>
      <c r="AF245" s="167" t="s">
        <v>3470</v>
      </c>
    </row>
    <row r="246" spans="16:32" x14ac:dyDescent="0.25">
      <c r="P246" s="167" t="s">
        <v>739</v>
      </c>
      <c r="Q246" s="167">
        <v>353</v>
      </c>
      <c r="R246" s="167" t="s">
        <v>3407</v>
      </c>
      <c r="S246" s="167" t="s">
        <v>982</v>
      </c>
      <c r="T246" s="167">
        <v>20</v>
      </c>
      <c r="U246" s="167" t="s">
        <v>1786</v>
      </c>
      <c r="V246" s="167" t="s">
        <v>3409</v>
      </c>
      <c r="AB246" s="167" t="s">
        <v>1619</v>
      </c>
      <c r="AC246" s="167">
        <v>340</v>
      </c>
      <c r="AD246" s="203">
        <v>43133</v>
      </c>
      <c r="AE246" s="203">
        <v>43168</v>
      </c>
      <c r="AF246" s="167" t="s">
        <v>3470</v>
      </c>
    </row>
    <row r="247" spans="16:32" x14ac:dyDescent="0.25">
      <c r="P247" s="167" t="s">
        <v>739</v>
      </c>
      <c r="Q247" s="167">
        <v>353</v>
      </c>
      <c r="R247" s="167" t="s">
        <v>3407</v>
      </c>
      <c r="S247" s="167" t="s">
        <v>982</v>
      </c>
      <c r="T247" s="167">
        <v>5</v>
      </c>
      <c r="U247" s="167" t="s">
        <v>1786</v>
      </c>
      <c r="V247" s="167" t="s">
        <v>3409</v>
      </c>
      <c r="AB247" s="167" t="s">
        <v>1619</v>
      </c>
      <c r="AC247" s="167">
        <v>353</v>
      </c>
      <c r="AD247" s="203">
        <v>43180</v>
      </c>
      <c r="AE247" s="203">
        <v>0</v>
      </c>
      <c r="AF247" s="167" t="s">
        <v>3469</v>
      </c>
    </row>
    <row r="248" spans="16:32" x14ac:dyDescent="0.25">
      <c r="P248" s="167" t="s">
        <v>739</v>
      </c>
      <c r="Q248" s="167">
        <v>353</v>
      </c>
      <c r="R248" s="167" t="s">
        <v>3407</v>
      </c>
      <c r="S248" s="167" t="s">
        <v>982</v>
      </c>
      <c r="T248" s="167">
        <v>40</v>
      </c>
      <c r="U248" s="167" t="s">
        <v>1786</v>
      </c>
      <c r="V248" s="167" t="s">
        <v>3409</v>
      </c>
      <c r="AB248" s="167" t="s">
        <v>1621</v>
      </c>
      <c r="AC248" s="167">
        <v>347</v>
      </c>
      <c r="AD248" s="203">
        <v>43118</v>
      </c>
      <c r="AE248" s="203">
        <v>43133</v>
      </c>
      <c r="AF248" s="167" t="s">
        <v>3470</v>
      </c>
    </row>
    <row r="249" spans="16:32" x14ac:dyDescent="0.25">
      <c r="P249" s="167" t="s">
        <v>739</v>
      </c>
      <c r="Q249" s="167">
        <v>353</v>
      </c>
      <c r="R249" s="167" t="s">
        <v>3407</v>
      </c>
      <c r="S249" s="167" t="s">
        <v>982</v>
      </c>
      <c r="T249" s="167">
        <v>11</v>
      </c>
      <c r="U249" s="167" t="s">
        <v>1786</v>
      </c>
      <c r="V249" s="167" t="s">
        <v>3409</v>
      </c>
      <c r="AB249" s="167" t="s">
        <v>1621</v>
      </c>
      <c r="AC249" s="167">
        <v>340</v>
      </c>
      <c r="AD249" s="203">
        <v>43133</v>
      </c>
      <c r="AE249" s="203">
        <v>43168</v>
      </c>
      <c r="AF249" s="167" t="s">
        <v>3470</v>
      </c>
    </row>
    <row r="250" spans="16:32" x14ac:dyDescent="0.25">
      <c r="P250" s="167" t="s">
        <v>739</v>
      </c>
      <c r="Q250" s="167">
        <v>353</v>
      </c>
      <c r="R250" s="167" t="s">
        <v>3407</v>
      </c>
      <c r="S250" s="167" t="s">
        <v>983</v>
      </c>
      <c r="T250" s="167">
        <v>36</v>
      </c>
      <c r="U250" s="167" t="s">
        <v>1787</v>
      </c>
      <c r="V250" s="167" t="s">
        <v>3409</v>
      </c>
      <c r="AB250" s="167" t="s">
        <v>1621</v>
      </c>
      <c r="AC250" s="167">
        <v>340</v>
      </c>
      <c r="AD250" s="203">
        <v>43133</v>
      </c>
      <c r="AE250" s="203">
        <v>43168</v>
      </c>
      <c r="AF250" s="167" t="s">
        <v>3470</v>
      </c>
    </row>
    <row r="251" spans="16:32" x14ac:dyDescent="0.25">
      <c r="P251" s="167" t="s">
        <v>739</v>
      </c>
      <c r="Q251" s="167">
        <v>353</v>
      </c>
      <c r="R251" s="167" t="s">
        <v>3407</v>
      </c>
      <c r="S251" s="167" t="s">
        <v>1790</v>
      </c>
      <c r="T251" s="167">
        <v>4</v>
      </c>
      <c r="U251" s="167" t="s">
        <v>1791</v>
      </c>
      <c r="V251" s="167" t="s">
        <v>3409</v>
      </c>
      <c r="AB251" s="167" t="s">
        <v>1621</v>
      </c>
      <c r="AC251" s="167">
        <v>353</v>
      </c>
      <c r="AD251" s="203">
        <v>43180</v>
      </c>
      <c r="AE251" s="203">
        <v>0</v>
      </c>
      <c r="AF251" s="167" t="s">
        <v>3469</v>
      </c>
    </row>
    <row r="252" spans="16:32" x14ac:dyDescent="0.25">
      <c r="P252" s="167" t="s">
        <v>739</v>
      </c>
      <c r="Q252" s="167">
        <v>353</v>
      </c>
      <c r="R252" s="167" t="s">
        <v>3407</v>
      </c>
      <c r="S252" s="167" t="s">
        <v>1792</v>
      </c>
      <c r="T252" s="167">
        <v>4</v>
      </c>
      <c r="U252" s="167" t="s">
        <v>1793</v>
      </c>
      <c r="V252" s="167" t="s">
        <v>3409</v>
      </c>
      <c r="AB252" s="167" t="s">
        <v>1623</v>
      </c>
      <c r="AC252" s="167">
        <v>327</v>
      </c>
      <c r="AD252" s="203">
        <v>43074</v>
      </c>
      <c r="AE252" s="203">
        <v>43131</v>
      </c>
      <c r="AF252" s="167" t="s">
        <v>3470</v>
      </c>
    </row>
    <row r="253" spans="16:32" x14ac:dyDescent="0.25">
      <c r="P253" s="167" t="s">
        <v>739</v>
      </c>
      <c r="Q253" s="167">
        <v>353</v>
      </c>
      <c r="R253" s="167" t="s">
        <v>3407</v>
      </c>
      <c r="S253" s="167" t="s">
        <v>1794</v>
      </c>
      <c r="T253" s="167">
        <v>2</v>
      </c>
      <c r="U253" s="167" t="s">
        <v>1795</v>
      </c>
      <c r="V253" s="167" t="s">
        <v>3409</v>
      </c>
      <c r="AB253" s="167" t="s">
        <v>1623</v>
      </c>
      <c r="AC253" s="167">
        <v>347</v>
      </c>
      <c r="AD253" s="203">
        <v>43118</v>
      </c>
      <c r="AE253" s="203">
        <v>43133</v>
      </c>
      <c r="AF253" s="167" t="s">
        <v>3470</v>
      </c>
    </row>
    <row r="254" spans="16:32" x14ac:dyDescent="0.25">
      <c r="P254" s="167" t="s">
        <v>739</v>
      </c>
      <c r="Q254" s="167">
        <v>353</v>
      </c>
      <c r="R254" s="167" t="s">
        <v>3407</v>
      </c>
      <c r="S254" s="167" t="s">
        <v>1796</v>
      </c>
      <c r="T254" s="167">
        <v>3</v>
      </c>
      <c r="U254" s="167" t="s">
        <v>1797</v>
      </c>
      <c r="V254" s="167" t="s">
        <v>3409</v>
      </c>
      <c r="AB254" s="167" t="s">
        <v>1623</v>
      </c>
      <c r="AC254" s="167">
        <v>340</v>
      </c>
      <c r="AD254" s="203">
        <v>43133</v>
      </c>
      <c r="AE254" s="203">
        <v>43168</v>
      </c>
      <c r="AF254" s="167" t="s">
        <v>3470</v>
      </c>
    </row>
    <row r="255" spans="16:32" x14ac:dyDescent="0.25">
      <c r="P255" s="167" t="s">
        <v>739</v>
      </c>
      <c r="Q255" s="167">
        <v>353</v>
      </c>
      <c r="R255" s="167" t="s">
        <v>3407</v>
      </c>
      <c r="S255" s="167" t="s">
        <v>1796</v>
      </c>
      <c r="T255" s="167">
        <v>3</v>
      </c>
      <c r="U255" s="167" t="s">
        <v>1797</v>
      </c>
      <c r="V255" s="167" t="s">
        <v>3409</v>
      </c>
      <c r="AB255" s="167" t="s">
        <v>1623</v>
      </c>
      <c r="AC255" s="167">
        <v>353</v>
      </c>
      <c r="AD255" s="203">
        <v>43180</v>
      </c>
      <c r="AE255" s="203">
        <v>0</v>
      </c>
      <c r="AF255" s="167" t="s">
        <v>3469</v>
      </c>
    </row>
    <row r="256" spans="16:32" x14ac:dyDescent="0.25">
      <c r="P256" s="167" t="s">
        <v>739</v>
      </c>
      <c r="Q256" s="167">
        <v>353</v>
      </c>
      <c r="R256" s="167" t="s">
        <v>3407</v>
      </c>
      <c r="S256" s="167" t="s">
        <v>1796</v>
      </c>
      <c r="T256" s="167">
        <v>2</v>
      </c>
      <c r="U256" s="167" t="s">
        <v>1797</v>
      </c>
      <c r="V256" s="167" t="s">
        <v>3409</v>
      </c>
      <c r="AB256" s="167" t="s">
        <v>1623</v>
      </c>
      <c r="AC256" s="167">
        <v>353</v>
      </c>
      <c r="AD256" s="203">
        <v>43180</v>
      </c>
      <c r="AE256" s="203">
        <v>0</v>
      </c>
      <c r="AF256" s="167" t="s">
        <v>3469</v>
      </c>
    </row>
    <row r="257" spans="16:32" x14ac:dyDescent="0.25">
      <c r="P257" s="167" t="s">
        <v>739</v>
      </c>
      <c r="Q257" s="167">
        <v>353</v>
      </c>
      <c r="R257" s="167" t="s">
        <v>3407</v>
      </c>
      <c r="S257" s="167" t="s">
        <v>3347</v>
      </c>
      <c r="T257" s="167">
        <v>2</v>
      </c>
      <c r="U257" s="167" t="s">
        <v>3416</v>
      </c>
      <c r="V257" s="167" t="s">
        <v>3409</v>
      </c>
      <c r="AB257" s="167" t="s">
        <v>1625</v>
      </c>
      <c r="AC257" s="167">
        <v>364</v>
      </c>
      <c r="AD257" s="203">
        <v>43168</v>
      </c>
      <c r="AE257" s="203">
        <v>43179</v>
      </c>
      <c r="AF257" s="167" t="s">
        <v>3470</v>
      </c>
    </row>
    <row r="258" spans="16:32" x14ac:dyDescent="0.25">
      <c r="P258" s="167" t="s">
        <v>739</v>
      </c>
      <c r="Q258" s="167">
        <v>353</v>
      </c>
      <c r="R258" s="167" t="s">
        <v>3407</v>
      </c>
      <c r="S258" s="167" t="s">
        <v>1798</v>
      </c>
      <c r="T258" s="167">
        <v>1</v>
      </c>
      <c r="U258" s="167" t="s">
        <v>1799</v>
      </c>
      <c r="V258" s="167" t="s">
        <v>3409</v>
      </c>
      <c r="AB258" s="167" t="s">
        <v>1625</v>
      </c>
      <c r="AC258" s="167">
        <v>353</v>
      </c>
      <c r="AD258" s="203">
        <v>43180</v>
      </c>
      <c r="AE258" s="203">
        <v>0</v>
      </c>
      <c r="AF258" s="167" t="s">
        <v>3469</v>
      </c>
    </row>
    <row r="259" spans="16:32" x14ac:dyDescent="0.25">
      <c r="P259" s="167" t="s">
        <v>739</v>
      </c>
      <c r="Q259" s="167">
        <v>353</v>
      </c>
      <c r="R259" s="167" t="s">
        <v>3407</v>
      </c>
      <c r="S259" s="167" t="s">
        <v>1800</v>
      </c>
      <c r="T259" s="167">
        <v>10</v>
      </c>
      <c r="U259" s="167" t="s">
        <v>1801</v>
      </c>
      <c r="V259" s="167" t="s">
        <v>3409</v>
      </c>
      <c r="AB259" s="167" t="s">
        <v>1627</v>
      </c>
      <c r="AC259" s="167">
        <v>327</v>
      </c>
      <c r="AD259" s="203">
        <v>43074</v>
      </c>
      <c r="AE259" s="203">
        <v>43131</v>
      </c>
      <c r="AF259" s="167" t="s">
        <v>3470</v>
      </c>
    </row>
    <row r="260" spans="16:32" x14ac:dyDescent="0.25">
      <c r="P260" s="167" t="s">
        <v>739</v>
      </c>
      <c r="Q260" s="167">
        <v>353</v>
      </c>
      <c r="R260" s="167" t="s">
        <v>3407</v>
      </c>
      <c r="S260" s="167" t="s">
        <v>1800</v>
      </c>
      <c r="T260" s="167">
        <v>10</v>
      </c>
      <c r="U260" s="167" t="s">
        <v>1801</v>
      </c>
      <c r="V260" s="167" t="s">
        <v>3409</v>
      </c>
      <c r="AB260" s="167" t="s">
        <v>1627</v>
      </c>
      <c r="AC260" s="167">
        <v>357</v>
      </c>
      <c r="AD260" s="203">
        <v>43139</v>
      </c>
      <c r="AE260" s="203">
        <v>43164</v>
      </c>
      <c r="AF260" s="167" t="s">
        <v>3470</v>
      </c>
    </row>
    <row r="261" spans="16:32" x14ac:dyDescent="0.25">
      <c r="P261" s="167" t="s">
        <v>739</v>
      </c>
      <c r="Q261" s="167">
        <v>353</v>
      </c>
      <c r="R261" s="167" t="s">
        <v>3407</v>
      </c>
      <c r="S261" s="167" t="s">
        <v>1800</v>
      </c>
      <c r="T261" s="167">
        <v>10</v>
      </c>
      <c r="U261" s="167" t="s">
        <v>1801</v>
      </c>
      <c r="V261" s="167" t="s">
        <v>3409</v>
      </c>
      <c r="AB261" s="167" t="s">
        <v>1627</v>
      </c>
      <c r="AC261" s="167">
        <v>364</v>
      </c>
      <c r="AD261" s="203">
        <v>43168</v>
      </c>
      <c r="AE261" s="203">
        <v>43179</v>
      </c>
      <c r="AF261" s="167" t="s">
        <v>3470</v>
      </c>
    </row>
    <row r="262" spans="16:32" x14ac:dyDescent="0.25">
      <c r="P262" s="167" t="s">
        <v>739</v>
      </c>
      <c r="Q262" s="167">
        <v>353</v>
      </c>
      <c r="R262" s="167" t="s">
        <v>3407</v>
      </c>
      <c r="S262" s="167" t="s">
        <v>1800</v>
      </c>
      <c r="T262" s="167">
        <v>10</v>
      </c>
      <c r="U262" s="167" t="s">
        <v>1801</v>
      </c>
      <c r="V262" s="167" t="s">
        <v>3409</v>
      </c>
      <c r="AB262" s="167" t="s">
        <v>1627</v>
      </c>
      <c r="AC262" s="167">
        <v>353</v>
      </c>
      <c r="AD262" s="203">
        <v>43180</v>
      </c>
      <c r="AE262" s="203">
        <v>0</v>
      </c>
      <c r="AF262" s="167" t="s">
        <v>3469</v>
      </c>
    </row>
    <row r="263" spans="16:32" x14ac:dyDescent="0.25">
      <c r="P263" s="167" t="s">
        <v>739</v>
      </c>
      <c r="Q263" s="167">
        <v>353</v>
      </c>
      <c r="R263" s="167" t="s">
        <v>3407</v>
      </c>
      <c r="S263" s="167" t="s">
        <v>1800</v>
      </c>
      <c r="T263" s="167">
        <v>10</v>
      </c>
      <c r="U263" s="167" t="s">
        <v>1801</v>
      </c>
      <c r="V263" s="167" t="s">
        <v>3409</v>
      </c>
      <c r="AB263" s="167" t="s">
        <v>1627</v>
      </c>
      <c r="AC263" s="167">
        <v>353</v>
      </c>
      <c r="AD263" s="203">
        <v>43180</v>
      </c>
      <c r="AE263" s="203">
        <v>0</v>
      </c>
      <c r="AF263" s="167" t="s">
        <v>3469</v>
      </c>
    </row>
    <row r="264" spans="16:32" x14ac:dyDescent="0.25">
      <c r="P264" s="167" t="s">
        <v>739</v>
      </c>
      <c r="Q264" s="167">
        <v>353</v>
      </c>
      <c r="R264" s="167" t="s">
        <v>3407</v>
      </c>
      <c r="S264" s="167" t="s">
        <v>1800</v>
      </c>
      <c r="T264" s="167">
        <v>10</v>
      </c>
      <c r="U264" s="167" t="s">
        <v>1801</v>
      </c>
      <c r="V264" s="167" t="s">
        <v>3409</v>
      </c>
      <c r="AB264" s="167" t="s">
        <v>1627</v>
      </c>
      <c r="AC264" s="167">
        <v>353</v>
      </c>
      <c r="AD264" s="203">
        <v>43180</v>
      </c>
      <c r="AE264" s="203">
        <v>0</v>
      </c>
      <c r="AF264" s="167" t="s">
        <v>3469</v>
      </c>
    </row>
    <row r="265" spans="16:32" x14ac:dyDescent="0.25">
      <c r="P265" s="167" t="s">
        <v>739</v>
      </c>
      <c r="Q265" s="167">
        <v>353</v>
      </c>
      <c r="R265" s="167" t="s">
        <v>3407</v>
      </c>
      <c r="S265" s="167" t="s">
        <v>1802</v>
      </c>
      <c r="T265" s="167">
        <v>1</v>
      </c>
      <c r="U265" s="167" t="s">
        <v>1803</v>
      </c>
      <c r="V265" s="167" t="s">
        <v>3409</v>
      </c>
      <c r="AB265" s="167" t="s">
        <v>1629</v>
      </c>
      <c r="AC265" s="167">
        <v>327</v>
      </c>
      <c r="AD265" s="203">
        <v>43074</v>
      </c>
      <c r="AE265" s="203">
        <v>43131</v>
      </c>
      <c r="AF265" s="167" t="s">
        <v>3470</v>
      </c>
    </row>
    <row r="266" spans="16:32" x14ac:dyDescent="0.25">
      <c r="P266" s="167" t="s">
        <v>739</v>
      </c>
      <c r="Q266" s="167">
        <v>353</v>
      </c>
      <c r="R266" s="167" t="s">
        <v>3407</v>
      </c>
      <c r="S266" s="167" t="s">
        <v>1804</v>
      </c>
      <c r="T266" s="167">
        <v>10</v>
      </c>
      <c r="U266" s="167" t="s">
        <v>1805</v>
      </c>
      <c r="V266" s="167" t="s">
        <v>3409</v>
      </c>
      <c r="AB266" s="167" t="s">
        <v>1629</v>
      </c>
      <c r="AC266" s="167">
        <v>364</v>
      </c>
      <c r="AD266" s="203">
        <v>43168</v>
      </c>
      <c r="AE266" s="203">
        <v>43179</v>
      </c>
      <c r="AF266" s="167" t="s">
        <v>3470</v>
      </c>
    </row>
    <row r="267" spans="16:32" x14ac:dyDescent="0.25">
      <c r="P267" s="167" t="s">
        <v>739</v>
      </c>
      <c r="Q267" s="167">
        <v>353</v>
      </c>
      <c r="R267" s="167" t="s">
        <v>3407</v>
      </c>
      <c r="S267" s="167" t="s">
        <v>1808</v>
      </c>
      <c r="T267" s="167">
        <v>10</v>
      </c>
      <c r="U267" s="167" t="s">
        <v>1809</v>
      </c>
      <c r="V267" s="167" t="s">
        <v>3409</v>
      </c>
      <c r="AB267" s="167" t="s">
        <v>1629</v>
      </c>
      <c r="AC267" s="167">
        <v>353</v>
      </c>
      <c r="AD267" s="203">
        <v>43180</v>
      </c>
      <c r="AE267" s="203">
        <v>0</v>
      </c>
      <c r="AF267" s="167" t="s">
        <v>3469</v>
      </c>
    </row>
    <row r="268" spans="16:32" x14ac:dyDescent="0.25">
      <c r="P268" s="167" t="s">
        <v>739</v>
      </c>
      <c r="Q268" s="167">
        <v>353</v>
      </c>
      <c r="R268" s="167" t="s">
        <v>3407</v>
      </c>
      <c r="S268" s="167" t="s">
        <v>1808</v>
      </c>
      <c r="T268" s="167">
        <v>2</v>
      </c>
      <c r="U268" s="167" t="s">
        <v>1809</v>
      </c>
      <c r="V268" s="167" t="s">
        <v>3409</v>
      </c>
      <c r="AB268" s="167" t="s">
        <v>1629</v>
      </c>
      <c r="AC268" s="167">
        <v>353</v>
      </c>
      <c r="AD268" s="203">
        <v>43180</v>
      </c>
      <c r="AE268" s="203">
        <v>0</v>
      </c>
      <c r="AF268" s="167" t="s">
        <v>3469</v>
      </c>
    </row>
    <row r="269" spans="16:32" x14ac:dyDescent="0.25">
      <c r="P269" s="167" t="s">
        <v>739</v>
      </c>
      <c r="Q269" s="167">
        <v>353</v>
      </c>
      <c r="R269" s="167" t="s">
        <v>3407</v>
      </c>
      <c r="S269" s="167" t="s">
        <v>1808</v>
      </c>
      <c r="T269" s="167">
        <v>8</v>
      </c>
      <c r="U269" s="167" t="s">
        <v>1809</v>
      </c>
      <c r="V269" s="167" t="s">
        <v>3409</v>
      </c>
      <c r="AB269" s="167" t="s">
        <v>1631</v>
      </c>
      <c r="AC269" s="167">
        <v>340</v>
      </c>
      <c r="AD269" s="203">
        <v>43133</v>
      </c>
      <c r="AE269" s="203">
        <v>43168</v>
      </c>
      <c r="AF269" s="167" t="s">
        <v>3470</v>
      </c>
    </row>
    <row r="270" spans="16:32" x14ac:dyDescent="0.25">
      <c r="P270" s="167" t="s">
        <v>739</v>
      </c>
      <c r="Q270" s="167">
        <v>353</v>
      </c>
      <c r="R270" s="167" t="s">
        <v>3407</v>
      </c>
      <c r="S270" s="167" t="s">
        <v>1808</v>
      </c>
      <c r="T270" s="167">
        <v>2</v>
      </c>
      <c r="U270" s="167" t="s">
        <v>1809</v>
      </c>
      <c r="V270" s="167" t="s">
        <v>3409</v>
      </c>
      <c r="AB270" s="167" t="s">
        <v>1631</v>
      </c>
      <c r="AC270" s="167">
        <v>353</v>
      </c>
      <c r="AD270" s="203">
        <v>43180</v>
      </c>
      <c r="AE270" s="203">
        <v>0</v>
      </c>
      <c r="AF270" s="167" t="s">
        <v>3469</v>
      </c>
    </row>
    <row r="271" spans="16:32" x14ac:dyDescent="0.25">
      <c r="P271" s="167" t="s">
        <v>739</v>
      </c>
      <c r="Q271" s="167">
        <v>353</v>
      </c>
      <c r="R271" s="167" t="s">
        <v>3407</v>
      </c>
      <c r="S271" s="167" t="s">
        <v>1808</v>
      </c>
      <c r="T271" s="167">
        <v>2</v>
      </c>
      <c r="U271" s="167" t="s">
        <v>1809</v>
      </c>
      <c r="V271" s="167" t="s">
        <v>3409</v>
      </c>
      <c r="AB271" s="167" t="s">
        <v>1631</v>
      </c>
      <c r="AC271" s="167">
        <v>353</v>
      </c>
      <c r="AD271" s="203">
        <v>43180</v>
      </c>
      <c r="AE271" s="203">
        <v>0</v>
      </c>
      <c r="AF271" s="167" t="s">
        <v>3469</v>
      </c>
    </row>
    <row r="272" spans="16:32" x14ac:dyDescent="0.25">
      <c r="P272" s="167" t="s">
        <v>739</v>
      </c>
      <c r="Q272" s="167">
        <v>353</v>
      </c>
      <c r="R272" s="167" t="s">
        <v>3407</v>
      </c>
      <c r="S272" s="167" t="s">
        <v>1811</v>
      </c>
      <c r="T272" s="167">
        <v>5</v>
      </c>
      <c r="U272" s="167" t="s">
        <v>1812</v>
      </c>
      <c r="V272" s="167" t="s">
        <v>3409</v>
      </c>
      <c r="AB272" s="167" t="s">
        <v>1631</v>
      </c>
      <c r="AC272" s="167">
        <v>353</v>
      </c>
      <c r="AD272" s="203">
        <v>43180</v>
      </c>
      <c r="AE272" s="203">
        <v>0</v>
      </c>
      <c r="AF272" s="167" t="s">
        <v>3469</v>
      </c>
    </row>
    <row r="273" spans="16:32" x14ac:dyDescent="0.25">
      <c r="P273" s="167" t="s">
        <v>739</v>
      </c>
      <c r="Q273" s="167">
        <v>353</v>
      </c>
      <c r="R273" s="167" t="s">
        <v>3407</v>
      </c>
      <c r="S273" s="167" t="s">
        <v>1811</v>
      </c>
      <c r="T273" s="167">
        <v>15</v>
      </c>
      <c r="U273" s="167" t="s">
        <v>1812</v>
      </c>
      <c r="V273" s="167" t="s">
        <v>3409</v>
      </c>
      <c r="AB273" s="167" t="s">
        <v>1632</v>
      </c>
      <c r="AC273" s="167">
        <v>347</v>
      </c>
      <c r="AD273" s="203">
        <v>43118</v>
      </c>
      <c r="AE273" s="203">
        <v>43133</v>
      </c>
      <c r="AF273" s="167" t="s">
        <v>3470</v>
      </c>
    </row>
    <row r="274" spans="16:32" x14ac:dyDescent="0.25">
      <c r="P274" s="167" t="s">
        <v>739</v>
      </c>
      <c r="Q274" s="167">
        <v>353</v>
      </c>
      <c r="R274" s="167" t="s">
        <v>3407</v>
      </c>
      <c r="S274" s="167" t="s">
        <v>1811</v>
      </c>
      <c r="T274" s="167">
        <v>3</v>
      </c>
      <c r="U274" s="167" t="s">
        <v>1812</v>
      </c>
      <c r="V274" s="167" t="s">
        <v>3409</v>
      </c>
      <c r="AB274" s="167" t="s">
        <v>1632</v>
      </c>
      <c r="AC274" s="167">
        <v>340</v>
      </c>
      <c r="AD274" s="203">
        <v>43133</v>
      </c>
      <c r="AE274" s="203">
        <v>43168</v>
      </c>
      <c r="AF274" s="167" t="s">
        <v>3470</v>
      </c>
    </row>
    <row r="275" spans="16:32" x14ac:dyDescent="0.25">
      <c r="P275" s="167" t="s">
        <v>739</v>
      </c>
      <c r="Q275" s="167">
        <v>353</v>
      </c>
      <c r="R275" s="167" t="s">
        <v>3407</v>
      </c>
      <c r="S275" s="167" t="s">
        <v>1813</v>
      </c>
      <c r="T275" s="167">
        <v>2</v>
      </c>
      <c r="U275" s="167" t="s">
        <v>1814</v>
      </c>
      <c r="V275" s="167" t="s">
        <v>3409</v>
      </c>
      <c r="AB275" s="167" t="s">
        <v>1633</v>
      </c>
      <c r="AC275" s="167">
        <v>323</v>
      </c>
      <c r="AD275" s="203">
        <v>43074</v>
      </c>
      <c r="AE275" s="203">
        <v>43111</v>
      </c>
      <c r="AF275" s="167" t="s">
        <v>3470</v>
      </c>
    </row>
    <row r="276" spans="16:32" x14ac:dyDescent="0.25">
      <c r="P276" s="167" t="s">
        <v>739</v>
      </c>
      <c r="Q276" s="167">
        <v>353</v>
      </c>
      <c r="R276" s="167" t="s">
        <v>3407</v>
      </c>
      <c r="S276" s="167" t="s">
        <v>1813</v>
      </c>
      <c r="T276" s="167">
        <v>5</v>
      </c>
      <c r="U276" s="167" t="s">
        <v>1814</v>
      </c>
      <c r="V276" s="167" t="s">
        <v>3409</v>
      </c>
      <c r="AB276" s="167" t="s">
        <v>1633</v>
      </c>
      <c r="AC276" s="167">
        <v>347</v>
      </c>
      <c r="AD276" s="203">
        <v>43118</v>
      </c>
      <c r="AE276" s="203">
        <v>43133</v>
      </c>
      <c r="AF276" s="167" t="s">
        <v>3470</v>
      </c>
    </row>
    <row r="277" spans="16:32" x14ac:dyDescent="0.25">
      <c r="P277" s="167" t="s">
        <v>739</v>
      </c>
      <c r="Q277" s="167">
        <v>353</v>
      </c>
      <c r="R277" s="167" t="s">
        <v>3407</v>
      </c>
      <c r="S277" s="167" t="s">
        <v>1813</v>
      </c>
      <c r="T277" s="167">
        <v>5</v>
      </c>
      <c r="U277" s="167" t="s">
        <v>1814</v>
      </c>
      <c r="V277" s="167" t="s">
        <v>3409</v>
      </c>
      <c r="AB277" s="167" t="s">
        <v>1633</v>
      </c>
      <c r="AC277" s="167">
        <v>357</v>
      </c>
      <c r="AD277" s="203">
        <v>43139</v>
      </c>
      <c r="AE277" s="203">
        <v>43164</v>
      </c>
      <c r="AF277" s="167" t="s">
        <v>3470</v>
      </c>
    </row>
    <row r="278" spans="16:32" x14ac:dyDescent="0.25">
      <c r="P278" s="167" t="s">
        <v>739</v>
      </c>
      <c r="Q278" s="167">
        <v>353</v>
      </c>
      <c r="R278" s="167" t="s">
        <v>3407</v>
      </c>
      <c r="S278" s="167" t="s">
        <v>1815</v>
      </c>
      <c r="T278" s="167">
        <v>6</v>
      </c>
      <c r="U278" s="167" t="s">
        <v>1816</v>
      </c>
      <c r="V278" s="167" t="s">
        <v>3409</v>
      </c>
      <c r="AB278" s="167" t="s">
        <v>1633</v>
      </c>
      <c r="AC278" s="167">
        <v>364</v>
      </c>
      <c r="AD278" s="203">
        <v>43168</v>
      </c>
      <c r="AE278" s="203">
        <v>43179</v>
      </c>
      <c r="AF278" s="167" t="s">
        <v>3470</v>
      </c>
    </row>
    <row r="279" spans="16:32" x14ac:dyDescent="0.25">
      <c r="P279" s="167" t="s">
        <v>739</v>
      </c>
      <c r="Q279" s="167">
        <v>353</v>
      </c>
      <c r="R279" s="167" t="s">
        <v>3407</v>
      </c>
      <c r="S279" s="167" t="s">
        <v>984</v>
      </c>
      <c r="T279" s="167">
        <v>421</v>
      </c>
      <c r="U279" s="167" t="s">
        <v>1819</v>
      </c>
      <c r="V279" s="167" t="s">
        <v>3409</v>
      </c>
      <c r="AB279" s="167" t="s">
        <v>1633</v>
      </c>
      <c r="AC279" s="167">
        <v>353</v>
      </c>
      <c r="AD279" s="203">
        <v>43180</v>
      </c>
      <c r="AE279" s="203">
        <v>0</v>
      </c>
      <c r="AF279" s="167" t="s">
        <v>3469</v>
      </c>
    </row>
    <row r="280" spans="16:32" x14ac:dyDescent="0.25">
      <c r="P280" s="167" t="s">
        <v>739</v>
      </c>
      <c r="Q280" s="167">
        <v>353</v>
      </c>
      <c r="R280" s="167" t="s">
        <v>3407</v>
      </c>
      <c r="S280" s="167" t="s">
        <v>985</v>
      </c>
      <c r="T280" s="167">
        <v>1</v>
      </c>
      <c r="U280" s="167" t="s">
        <v>1820</v>
      </c>
      <c r="V280" s="167" t="s">
        <v>3409</v>
      </c>
      <c r="AB280" s="167" t="s">
        <v>1633</v>
      </c>
      <c r="AC280" s="167">
        <v>353</v>
      </c>
      <c r="AD280" s="203">
        <v>43180</v>
      </c>
      <c r="AE280" s="203">
        <v>0</v>
      </c>
      <c r="AF280" s="167" t="s">
        <v>3469</v>
      </c>
    </row>
    <row r="281" spans="16:32" x14ac:dyDescent="0.25">
      <c r="P281" s="167" t="s">
        <v>739</v>
      </c>
      <c r="Q281" s="167">
        <v>353</v>
      </c>
      <c r="R281" s="167" t="s">
        <v>3407</v>
      </c>
      <c r="S281" s="167" t="s">
        <v>985</v>
      </c>
      <c r="T281" s="167">
        <v>1</v>
      </c>
      <c r="U281" s="167" t="s">
        <v>1820</v>
      </c>
      <c r="V281" s="167" t="s">
        <v>3409</v>
      </c>
      <c r="AB281" s="167" t="s">
        <v>1633</v>
      </c>
      <c r="AC281" s="167">
        <v>353</v>
      </c>
      <c r="AD281" s="203">
        <v>43180</v>
      </c>
      <c r="AE281" s="203">
        <v>0</v>
      </c>
      <c r="AF281" s="167" t="s">
        <v>3469</v>
      </c>
    </row>
    <row r="282" spans="16:32" x14ac:dyDescent="0.25">
      <c r="P282" s="167" t="s">
        <v>739</v>
      </c>
      <c r="Q282" s="167">
        <v>353</v>
      </c>
      <c r="R282" s="167" t="s">
        <v>3407</v>
      </c>
      <c r="S282" s="167" t="s">
        <v>1824</v>
      </c>
      <c r="T282" s="167">
        <v>5</v>
      </c>
      <c r="U282" s="167" t="s">
        <v>1825</v>
      </c>
      <c r="V282" s="167" t="s">
        <v>3409</v>
      </c>
      <c r="AB282" s="167" t="s">
        <v>1633</v>
      </c>
      <c r="AC282" s="167">
        <v>353</v>
      </c>
      <c r="AD282" s="203">
        <v>43180</v>
      </c>
      <c r="AE282" s="203">
        <v>0</v>
      </c>
      <c r="AF282" s="167" t="s">
        <v>3469</v>
      </c>
    </row>
    <row r="283" spans="16:32" x14ac:dyDescent="0.25">
      <c r="P283" s="167" t="s">
        <v>739</v>
      </c>
      <c r="Q283" s="167">
        <v>353</v>
      </c>
      <c r="R283" s="167" t="s">
        <v>3407</v>
      </c>
      <c r="S283" s="167" t="s">
        <v>1826</v>
      </c>
      <c r="T283" s="167">
        <v>3</v>
      </c>
      <c r="U283" s="167" t="s">
        <v>1827</v>
      </c>
      <c r="V283" s="167" t="s">
        <v>3409</v>
      </c>
      <c r="AB283" s="167" t="s">
        <v>1633</v>
      </c>
      <c r="AC283" s="167">
        <v>353</v>
      </c>
      <c r="AD283" s="203">
        <v>43180</v>
      </c>
      <c r="AE283" s="203">
        <v>0</v>
      </c>
      <c r="AF283" s="167" t="s">
        <v>3469</v>
      </c>
    </row>
    <row r="284" spans="16:32" x14ac:dyDescent="0.25">
      <c r="P284" s="167" t="s">
        <v>739</v>
      </c>
      <c r="Q284" s="167">
        <v>353</v>
      </c>
      <c r="R284" s="167" t="s">
        <v>3407</v>
      </c>
      <c r="S284" s="167" t="s">
        <v>1826</v>
      </c>
      <c r="T284" s="167">
        <v>25</v>
      </c>
      <c r="U284" s="167" t="s">
        <v>1827</v>
      </c>
      <c r="V284" s="167" t="s">
        <v>3409</v>
      </c>
      <c r="AB284" s="167" t="s">
        <v>1633</v>
      </c>
      <c r="AC284" s="167">
        <v>353</v>
      </c>
      <c r="AD284" s="203">
        <v>43180</v>
      </c>
      <c r="AE284" s="203">
        <v>0</v>
      </c>
      <c r="AF284" s="167" t="s">
        <v>3469</v>
      </c>
    </row>
    <row r="285" spans="16:32" x14ac:dyDescent="0.25">
      <c r="P285" s="167" t="s">
        <v>739</v>
      </c>
      <c r="Q285" s="167">
        <v>353</v>
      </c>
      <c r="R285" s="167" t="s">
        <v>3407</v>
      </c>
      <c r="S285" s="167" t="s">
        <v>1828</v>
      </c>
      <c r="T285" s="167">
        <v>2</v>
      </c>
      <c r="U285" s="167" t="s">
        <v>1829</v>
      </c>
      <c r="V285" s="167" t="s">
        <v>3409</v>
      </c>
      <c r="AB285" s="167" t="s">
        <v>1633</v>
      </c>
      <c r="AC285" s="167">
        <v>353</v>
      </c>
      <c r="AD285" s="203">
        <v>43180</v>
      </c>
      <c r="AE285" s="203">
        <v>0</v>
      </c>
      <c r="AF285" s="167" t="s">
        <v>3469</v>
      </c>
    </row>
    <row r="286" spans="16:32" x14ac:dyDescent="0.25">
      <c r="P286" s="167" t="s">
        <v>739</v>
      </c>
      <c r="Q286" s="167">
        <v>353</v>
      </c>
      <c r="R286" s="167" t="s">
        <v>3407</v>
      </c>
      <c r="S286" s="167" t="s">
        <v>1828</v>
      </c>
      <c r="T286" s="167">
        <v>1</v>
      </c>
      <c r="U286" s="167" t="s">
        <v>1829</v>
      </c>
      <c r="V286" s="167" t="s">
        <v>3409</v>
      </c>
      <c r="AB286" s="167" t="s">
        <v>1634</v>
      </c>
      <c r="AC286" s="167">
        <v>327</v>
      </c>
      <c r="AD286" s="203">
        <v>43074</v>
      </c>
      <c r="AE286" s="203">
        <v>43131</v>
      </c>
      <c r="AF286" s="167" t="s">
        <v>3470</v>
      </c>
    </row>
    <row r="287" spans="16:32" x14ac:dyDescent="0.25">
      <c r="P287" s="167" t="s">
        <v>739</v>
      </c>
      <c r="Q287" s="167">
        <v>353</v>
      </c>
      <c r="R287" s="167" t="s">
        <v>3407</v>
      </c>
      <c r="S287" s="167" t="s">
        <v>1830</v>
      </c>
      <c r="T287" s="167">
        <v>1</v>
      </c>
      <c r="U287" s="167" t="s">
        <v>1831</v>
      </c>
      <c r="V287" s="167" t="s">
        <v>3409</v>
      </c>
      <c r="AB287" s="167" t="s">
        <v>1634</v>
      </c>
      <c r="AC287" s="167">
        <v>327</v>
      </c>
      <c r="AD287" s="203">
        <v>43074</v>
      </c>
      <c r="AE287" s="203">
        <v>43131</v>
      </c>
      <c r="AF287" s="167" t="s">
        <v>3470</v>
      </c>
    </row>
    <row r="288" spans="16:32" x14ac:dyDescent="0.25">
      <c r="P288" s="167" t="s">
        <v>739</v>
      </c>
      <c r="Q288" s="167">
        <v>353</v>
      </c>
      <c r="R288" s="167" t="s">
        <v>3407</v>
      </c>
      <c r="S288" s="167" t="s">
        <v>1835</v>
      </c>
      <c r="T288" s="167">
        <v>5</v>
      </c>
      <c r="U288" s="167" t="s">
        <v>1836</v>
      </c>
      <c r="V288" s="167" t="s">
        <v>3409</v>
      </c>
      <c r="AB288" s="167" t="s">
        <v>1634</v>
      </c>
      <c r="AC288" s="167">
        <v>327</v>
      </c>
      <c r="AD288" s="203">
        <v>43074</v>
      </c>
      <c r="AE288" s="203">
        <v>43131</v>
      </c>
      <c r="AF288" s="167" t="s">
        <v>3470</v>
      </c>
    </row>
    <row r="289" spans="16:32" x14ac:dyDescent="0.25">
      <c r="P289" s="167" t="s">
        <v>739</v>
      </c>
      <c r="Q289" s="167">
        <v>353</v>
      </c>
      <c r="R289" s="167" t="s">
        <v>3407</v>
      </c>
      <c r="S289" s="167" t="s">
        <v>1835</v>
      </c>
      <c r="T289" s="167">
        <v>1</v>
      </c>
      <c r="U289" s="167" t="s">
        <v>1836</v>
      </c>
      <c r="V289" s="167" t="s">
        <v>3409</v>
      </c>
      <c r="AB289" s="167" t="s">
        <v>1634</v>
      </c>
      <c r="AC289" s="167">
        <v>327</v>
      </c>
      <c r="AD289" s="203">
        <v>43074</v>
      </c>
      <c r="AE289" s="203">
        <v>43131</v>
      </c>
      <c r="AF289" s="167" t="s">
        <v>3470</v>
      </c>
    </row>
    <row r="290" spans="16:32" x14ac:dyDescent="0.25">
      <c r="P290" s="167" t="s">
        <v>739</v>
      </c>
      <c r="Q290" s="167">
        <v>353</v>
      </c>
      <c r="R290" s="167" t="s">
        <v>3407</v>
      </c>
      <c r="S290" s="167" t="s">
        <v>1835</v>
      </c>
      <c r="T290" s="167">
        <v>5</v>
      </c>
      <c r="U290" s="167" t="s">
        <v>1836</v>
      </c>
      <c r="V290" s="167" t="s">
        <v>3409</v>
      </c>
      <c r="AB290" s="167" t="s">
        <v>1634</v>
      </c>
      <c r="AC290" s="167">
        <v>327</v>
      </c>
      <c r="AD290" s="203">
        <v>43074</v>
      </c>
      <c r="AE290" s="203">
        <v>43131</v>
      </c>
      <c r="AF290" s="167" t="s">
        <v>3470</v>
      </c>
    </row>
    <row r="291" spans="16:32" x14ac:dyDescent="0.25">
      <c r="P291" s="167" t="s">
        <v>739</v>
      </c>
      <c r="Q291" s="167">
        <v>353</v>
      </c>
      <c r="R291" s="167" t="s">
        <v>3407</v>
      </c>
      <c r="S291" s="167" t="s">
        <v>1835</v>
      </c>
      <c r="T291" s="167">
        <v>1</v>
      </c>
      <c r="U291" s="167" t="s">
        <v>1836</v>
      </c>
      <c r="V291" s="167" t="s">
        <v>3409</v>
      </c>
      <c r="AB291" s="167" t="s">
        <v>1634</v>
      </c>
      <c r="AC291" s="167">
        <v>340</v>
      </c>
      <c r="AD291" s="203">
        <v>43133</v>
      </c>
      <c r="AE291" s="203">
        <v>43168</v>
      </c>
      <c r="AF291" s="167" t="s">
        <v>3470</v>
      </c>
    </row>
    <row r="292" spans="16:32" x14ac:dyDescent="0.25">
      <c r="P292" s="167" t="s">
        <v>739</v>
      </c>
      <c r="Q292" s="167">
        <v>353</v>
      </c>
      <c r="R292" s="167" t="s">
        <v>3407</v>
      </c>
      <c r="S292" s="167" t="s">
        <v>1837</v>
      </c>
      <c r="T292" s="167">
        <v>2</v>
      </c>
      <c r="U292" s="167" t="s">
        <v>1838</v>
      </c>
      <c r="V292" s="167" t="s">
        <v>3409</v>
      </c>
      <c r="AB292" s="167" t="s">
        <v>1634</v>
      </c>
      <c r="AC292" s="167">
        <v>353</v>
      </c>
      <c r="AD292" s="203">
        <v>43180</v>
      </c>
      <c r="AE292" s="203">
        <v>0</v>
      </c>
      <c r="AF292" s="167" t="s">
        <v>3469</v>
      </c>
    </row>
    <row r="293" spans="16:32" x14ac:dyDescent="0.25">
      <c r="P293" s="167" t="s">
        <v>739</v>
      </c>
      <c r="Q293" s="167">
        <v>353</v>
      </c>
      <c r="R293" s="167" t="s">
        <v>3407</v>
      </c>
      <c r="S293" s="167" t="s">
        <v>1837</v>
      </c>
      <c r="T293" s="167">
        <v>3</v>
      </c>
      <c r="U293" s="167" t="s">
        <v>1838</v>
      </c>
      <c r="V293" s="167" t="s">
        <v>3409</v>
      </c>
      <c r="AB293" s="167" t="s">
        <v>1634</v>
      </c>
      <c r="AC293" s="167">
        <v>353</v>
      </c>
      <c r="AD293" s="203">
        <v>43180</v>
      </c>
      <c r="AE293" s="203">
        <v>0</v>
      </c>
      <c r="AF293" s="167" t="s">
        <v>3469</v>
      </c>
    </row>
    <row r="294" spans="16:32" x14ac:dyDescent="0.25">
      <c r="P294" s="167" t="s">
        <v>739</v>
      </c>
      <c r="Q294" s="167">
        <v>353</v>
      </c>
      <c r="R294" s="167" t="s">
        <v>3407</v>
      </c>
      <c r="S294" s="167" t="s">
        <v>1837</v>
      </c>
      <c r="T294" s="167">
        <v>6</v>
      </c>
      <c r="U294" s="167" t="s">
        <v>1838</v>
      </c>
      <c r="V294" s="167" t="s">
        <v>3409</v>
      </c>
      <c r="AB294" s="167" t="s">
        <v>1634</v>
      </c>
      <c r="AC294" s="167">
        <v>374</v>
      </c>
      <c r="AD294" s="203">
        <v>43195</v>
      </c>
      <c r="AE294" s="203">
        <v>0</v>
      </c>
      <c r="AF294" s="167" t="s">
        <v>3469</v>
      </c>
    </row>
    <row r="295" spans="16:32" x14ac:dyDescent="0.25">
      <c r="P295" s="167" t="s">
        <v>739</v>
      </c>
      <c r="Q295" s="167">
        <v>353</v>
      </c>
      <c r="R295" s="167" t="s">
        <v>3407</v>
      </c>
      <c r="S295" s="167" t="s">
        <v>1837</v>
      </c>
      <c r="T295" s="167">
        <v>2</v>
      </c>
      <c r="U295" s="167" t="s">
        <v>1838</v>
      </c>
      <c r="V295" s="167" t="s">
        <v>3409</v>
      </c>
      <c r="AB295" s="167" t="s">
        <v>1636</v>
      </c>
      <c r="AC295" s="167">
        <v>357</v>
      </c>
      <c r="AD295" s="203">
        <v>43139</v>
      </c>
      <c r="AE295" s="203">
        <v>43164</v>
      </c>
      <c r="AF295" s="167" t="s">
        <v>3470</v>
      </c>
    </row>
    <row r="296" spans="16:32" x14ac:dyDescent="0.25">
      <c r="P296" s="167" t="s">
        <v>739</v>
      </c>
      <c r="Q296" s="167">
        <v>353</v>
      </c>
      <c r="R296" s="167" t="s">
        <v>3407</v>
      </c>
      <c r="S296" s="167" t="s">
        <v>1839</v>
      </c>
      <c r="T296" s="167">
        <v>6</v>
      </c>
      <c r="U296" s="167" t="s">
        <v>1840</v>
      </c>
      <c r="V296" s="167" t="s">
        <v>3409</v>
      </c>
      <c r="AB296" s="167" t="s">
        <v>1636</v>
      </c>
      <c r="AC296" s="167">
        <v>364</v>
      </c>
      <c r="AD296" s="203">
        <v>43168</v>
      </c>
      <c r="AE296" s="203">
        <v>43179</v>
      </c>
      <c r="AF296" s="167" t="s">
        <v>3470</v>
      </c>
    </row>
    <row r="297" spans="16:32" x14ac:dyDescent="0.25">
      <c r="P297" s="167" t="s">
        <v>739</v>
      </c>
      <c r="Q297" s="167">
        <v>353</v>
      </c>
      <c r="R297" s="167" t="s">
        <v>3407</v>
      </c>
      <c r="S297" s="167" t="s">
        <v>1839</v>
      </c>
      <c r="T297" s="167">
        <v>6</v>
      </c>
      <c r="U297" s="167" t="s">
        <v>1840</v>
      </c>
      <c r="V297" s="167" t="s">
        <v>3409</v>
      </c>
      <c r="AB297" s="167" t="s">
        <v>1636</v>
      </c>
      <c r="AC297" s="167">
        <v>353</v>
      </c>
      <c r="AD297" s="203">
        <v>43180</v>
      </c>
      <c r="AE297" s="203">
        <v>0</v>
      </c>
      <c r="AF297" s="167" t="s">
        <v>3469</v>
      </c>
    </row>
    <row r="298" spans="16:32" x14ac:dyDescent="0.25">
      <c r="P298" s="167" t="s">
        <v>739</v>
      </c>
      <c r="Q298" s="167">
        <v>353</v>
      </c>
      <c r="R298" s="167" t="s">
        <v>3407</v>
      </c>
      <c r="S298" s="167" t="s">
        <v>1839</v>
      </c>
      <c r="T298" s="167">
        <v>15</v>
      </c>
      <c r="U298" s="167" t="s">
        <v>1840</v>
      </c>
      <c r="V298" s="167" t="s">
        <v>3409</v>
      </c>
      <c r="AB298" s="167" t="s">
        <v>1636</v>
      </c>
      <c r="AC298" s="167">
        <v>353</v>
      </c>
      <c r="AD298" s="203">
        <v>43180</v>
      </c>
      <c r="AE298" s="203">
        <v>0</v>
      </c>
      <c r="AF298" s="167" t="s">
        <v>3469</v>
      </c>
    </row>
    <row r="299" spans="16:32" x14ac:dyDescent="0.25">
      <c r="P299" s="167" t="s">
        <v>739</v>
      </c>
      <c r="Q299" s="167">
        <v>353</v>
      </c>
      <c r="R299" s="167" t="s">
        <v>3407</v>
      </c>
      <c r="S299" s="167" t="s">
        <v>1839</v>
      </c>
      <c r="T299" s="167">
        <v>11</v>
      </c>
      <c r="U299" s="167" t="s">
        <v>1840</v>
      </c>
      <c r="V299" s="167" t="s">
        <v>3409</v>
      </c>
      <c r="AB299" s="167" t="s">
        <v>1637</v>
      </c>
      <c r="AC299" s="167">
        <v>327</v>
      </c>
      <c r="AD299" s="203">
        <v>43074</v>
      </c>
      <c r="AE299" s="203">
        <v>43131</v>
      </c>
      <c r="AF299" s="167" t="s">
        <v>3470</v>
      </c>
    </row>
    <row r="300" spans="16:32" x14ac:dyDescent="0.25">
      <c r="P300" s="167" t="s">
        <v>739</v>
      </c>
      <c r="Q300" s="167">
        <v>353</v>
      </c>
      <c r="R300" s="167" t="s">
        <v>3407</v>
      </c>
      <c r="S300" s="167" t="s">
        <v>1839</v>
      </c>
      <c r="T300" s="167">
        <v>6</v>
      </c>
      <c r="U300" s="167" t="s">
        <v>1840</v>
      </c>
      <c r="V300" s="167" t="s">
        <v>3409</v>
      </c>
      <c r="AB300" s="167" t="s">
        <v>1637</v>
      </c>
      <c r="AC300" s="167">
        <v>347</v>
      </c>
      <c r="AD300" s="203">
        <v>43118</v>
      </c>
      <c r="AE300" s="203">
        <v>43133</v>
      </c>
      <c r="AF300" s="167" t="s">
        <v>3470</v>
      </c>
    </row>
    <row r="301" spans="16:32" x14ac:dyDescent="0.25">
      <c r="P301" s="167" t="s">
        <v>739</v>
      </c>
      <c r="Q301" s="167">
        <v>353</v>
      </c>
      <c r="R301" s="167" t="s">
        <v>3407</v>
      </c>
      <c r="S301" s="167" t="s">
        <v>987</v>
      </c>
      <c r="T301" s="167">
        <v>17</v>
      </c>
      <c r="U301" s="167" t="s">
        <v>1842</v>
      </c>
      <c r="V301" s="167" t="s">
        <v>3409</v>
      </c>
      <c r="AB301" s="167" t="s">
        <v>1637</v>
      </c>
      <c r="AC301" s="167">
        <v>340</v>
      </c>
      <c r="AD301" s="203">
        <v>43133</v>
      </c>
      <c r="AE301" s="203">
        <v>43168</v>
      </c>
      <c r="AF301" s="167" t="s">
        <v>3470</v>
      </c>
    </row>
    <row r="302" spans="16:32" x14ac:dyDescent="0.25">
      <c r="P302" s="167" t="s">
        <v>739</v>
      </c>
      <c r="Q302" s="167">
        <v>353</v>
      </c>
      <c r="R302" s="167" t="s">
        <v>3407</v>
      </c>
      <c r="S302" s="167" t="s">
        <v>1843</v>
      </c>
      <c r="T302" s="167">
        <v>10</v>
      </c>
      <c r="U302" s="167" t="s">
        <v>1844</v>
      </c>
      <c r="V302" s="167" t="s">
        <v>3409</v>
      </c>
      <c r="AB302" s="167" t="s">
        <v>1637</v>
      </c>
      <c r="AC302" s="167">
        <v>340</v>
      </c>
      <c r="AD302" s="203">
        <v>43133</v>
      </c>
      <c r="AE302" s="203">
        <v>43168</v>
      </c>
      <c r="AF302" s="167" t="s">
        <v>3470</v>
      </c>
    </row>
    <row r="303" spans="16:32" x14ac:dyDescent="0.25">
      <c r="P303" s="167" t="s">
        <v>739</v>
      </c>
      <c r="Q303" s="167">
        <v>353</v>
      </c>
      <c r="R303" s="167" t="s">
        <v>3407</v>
      </c>
      <c r="S303" s="167" t="s">
        <v>1843</v>
      </c>
      <c r="T303" s="167">
        <v>12</v>
      </c>
      <c r="U303" s="167" t="s">
        <v>1844</v>
      </c>
      <c r="V303" s="167" t="s">
        <v>3409</v>
      </c>
      <c r="AB303" s="167" t="s">
        <v>3472</v>
      </c>
      <c r="AC303" s="167">
        <v>323</v>
      </c>
      <c r="AD303" s="203">
        <v>43074</v>
      </c>
      <c r="AE303" s="203">
        <v>43111</v>
      </c>
      <c r="AF303" s="167" t="s">
        <v>3470</v>
      </c>
    </row>
    <row r="304" spans="16:32" x14ac:dyDescent="0.25">
      <c r="P304" s="167" t="s">
        <v>739</v>
      </c>
      <c r="Q304" s="167">
        <v>353</v>
      </c>
      <c r="R304" s="167" t="s">
        <v>3407</v>
      </c>
      <c r="S304" s="167" t="s">
        <v>1843</v>
      </c>
      <c r="T304" s="167">
        <v>12</v>
      </c>
      <c r="U304" s="167" t="s">
        <v>1844</v>
      </c>
      <c r="V304" s="167" t="s">
        <v>3409</v>
      </c>
      <c r="AB304" s="167" t="s">
        <v>3472</v>
      </c>
      <c r="AC304" s="167">
        <v>347</v>
      </c>
      <c r="AD304" s="203">
        <v>43118</v>
      </c>
      <c r="AE304" s="203">
        <v>43133</v>
      </c>
      <c r="AF304" s="167" t="s">
        <v>3470</v>
      </c>
    </row>
    <row r="305" spans="16:32" x14ac:dyDescent="0.25">
      <c r="P305" s="167" t="s">
        <v>739</v>
      </c>
      <c r="Q305" s="167">
        <v>353</v>
      </c>
      <c r="R305" s="167" t="s">
        <v>3407</v>
      </c>
      <c r="S305" s="167" t="s">
        <v>1843</v>
      </c>
      <c r="T305" s="167">
        <v>33</v>
      </c>
      <c r="U305" s="167" t="s">
        <v>1844</v>
      </c>
      <c r="V305" s="167" t="s">
        <v>3409</v>
      </c>
      <c r="AB305" s="167" t="s">
        <v>3472</v>
      </c>
      <c r="AC305" s="167">
        <v>340</v>
      </c>
      <c r="AD305" s="203">
        <v>43133</v>
      </c>
      <c r="AE305" s="203">
        <v>43168</v>
      </c>
      <c r="AF305" s="167" t="s">
        <v>3470</v>
      </c>
    </row>
    <row r="306" spans="16:32" x14ac:dyDescent="0.25">
      <c r="P306" s="167" t="s">
        <v>739</v>
      </c>
      <c r="Q306" s="167">
        <v>353</v>
      </c>
      <c r="R306" s="167" t="s">
        <v>3407</v>
      </c>
      <c r="S306" s="167" t="s">
        <v>1843</v>
      </c>
      <c r="T306" s="167">
        <v>19</v>
      </c>
      <c r="U306" s="167" t="s">
        <v>1844</v>
      </c>
      <c r="V306" s="167" t="s">
        <v>3409</v>
      </c>
      <c r="AB306" s="167" t="s">
        <v>1639</v>
      </c>
      <c r="AC306" s="167">
        <v>357</v>
      </c>
      <c r="AD306" s="203">
        <v>43139</v>
      </c>
      <c r="AE306" s="203">
        <v>43164</v>
      </c>
      <c r="AF306" s="167" t="s">
        <v>3470</v>
      </c>
    </row>
    <row r="307" spans="16:32" x14ac:dyDescent="0.25">
      <c r="P307" s="167" t="s">
        <v>739</v>
      </c>
      <c r="Q307" s="167">
        <v>353</v>
      </c>
      <c r="R307" s="167" t="s">
        <v>3407</v>
      </c>
      <c r="S307" s="167" t="s">
        <v>1845</v>
      </c>
      <c r="T307" s="167">
        <v>7</v>
      </c>
      <c r="U307" s="167" t="s">
        <v>1846</v>
      </c>
      <c r="V307" s="167" t="s">
        <v>3409</v>
      </c>
      <c r="AB307" s="167" t="s">
        <v>1639</v>
      </c>
      <c r="AC307" s="167">
        <v>364</v>
      </c>
      <c r="AD307" s="203">
        <v>43168</v>
      </c>
      <c r="AE307" s="203">
        <v>43179</v>
      </c>
      <c r="AF307" s="167" t="s">
        <v>3470</v>
      </c>
    </row>
    <row r="308" spans="16:32" x14ac:dyDescent="0.25">
      <c r="P308" s="167" t="s">
        <v>739</v>
      </c>
      <c r="Q308" s="167">
        <v>353</v>
      </c>
      <c r="R308" s="167" t="s">
        <v>3407</v>
      </c>
      <c r="S308" s="167" t="s">
        <v>1845</v>
      </c>
      <c r="T308" s="167">
        <v>5</v>
      </c>
      <c r="U308" s="167" t="s">
        <v>1846</v>
      </c>
      <c r="V308" s="167" t="s">
        <v>3409</v>
      </c>
      <c r="AB308" s="167" t="s">
        <v>1639</v>
      </c>
      <c r="AC308" s="167">
        <v>353</v>
      </c>
      <c r="AD308" s="203">
        <v>43180</v>
      </c>
      <c r="AE308" s="203">
        <v>0</v>
      </c>
      <c r="AF308" s="167" t="s">
        <v>3469</v>
      </c>
    </row>
    <row r="309" spans="16:32" x14ac:dyDescent="0.25">
      <c r="P309" s="167" t="s">
        <v>739</v>
      </c>
      <c r="Q309" s="167">
        <v>353</v>
      </c>
      <c r="R309" s="167" t="s">
        <v>3407</v>
      </c>
      <c r="S309" s="167" t="s">
        <v>1845</v>
      </c>
      <c r="T309" s="167">
        <v>5</v>
      </c>
      <c r="U309" s="167" t="s">
        <v>1846</v>
      </c>
      <c r="V309" s="167" t="s">
        <v>3409</v>
      </c>
      <c r="AB309" s="167" t="s">
        <v>1639</v>
      </c>
      <c r="AC309" s="167">
        <v>353</v>
      </c>
      <c r="AD309" s="203">
        <v>43180</v>
      </c>
      <c r="AE309" s="203">
        <v>0</v>
      </c>
      <c r="AF309" s="167" t="s">
        <v>3469</v>
      </c>
    </row>
    <row r="310" spans="16:32" x14ac:dyDescent="0.25">
      <c r="P310" s="167" t="s">
        <v>739</v>
      </c>
      <c r="Q310" s="167">
        <v>353</v>
      </c>
      <c r="R310" s="167" t="s">
        <v>3407</v>
      </c>
      <c r="S310" s="167" t="s">
        <v>988</v>
      </c>
      <c r="T310" s="167">
        <v>40</v>
      </c>
      <c r="U310" s="167" t="s">
        <v>1851</v>
      </c>
      <c r="V310" s="167" t="s">
        <v>3409</v>
      </c>
      <c r="AB310" s="167" t="s">
        <v>1641</v>
      </c>
      <c r="AC310" s="167">
        <v>323</v>
      </c>
      <c r="AD310" s="203">
        <v>43074</v>
      </c>
      <c r="AE310" s="203">
        <v>43111</v>
      </c>
      <c r="AF310" s="167" t="s">
        <v>3470</v>
      </c>
    </row>
    <row r="311" spans="16:32" x14ac:dyDescent="0.25">
      <c r="P311" s="167" t="s">
        <v>739</v>
      </c>
      <c r="Q311" s="167">
        <v>353</v>
      </c>
      <c r="R311" s="167" t="s">
        <v>3407</v>
      </c>
      <c r="S311" s="167" t="s">
        <v>988</v>
      </c>
      <c r="T311" s="167">
        <v>15</v>
      </c>
      <c r="U311" s="167" t="s">
        <v>1851</v>
      </c>
      <c r="V311" s="167" t="s">
        <v>3409</v>
      </c>
      <c r="AB311" s="167" t="s">
        <v>1641</v>
      </c>
      <c r="AC311" s="167">
        <v>347</v>
      </c>
      <c r="AD311" s="203">
        <v>43118</v>
      </c>
      <c r="AE311" s="203">
        <v>43133</v>
      </c>
      <c r="AF311" s="167" t="s">
        <v>3470</v>
      </c>
    </row>
    <row r="312" spans="16:32" x14ac:dyDescent="0.25">
      <c r="P312" s="167" t="s">
        <v>739</v>
      </c>
      <c r="Q312" s="167">
        <v>353</v>
      </c>
      <c r="R312" s="167" t="s">
        <v>3407</v>
      </c>
      <c r="S312" s="167" t="s">
        <v>1852</v>
      </c>
      <c r="T312" s="167">
        <v>1</v>
      </c>
      <c r="U312" s="167" t="s">
        <v>1853</v>
      </c>
      <c r="V312" s="167" t="s">
        <v>3409</v>
      </c>
      <c r="AB312" s="167" t="s">
        <v>1641</v>
      </c>
      <c r="AC312" s="167">
        <v>340</v>
      </c>
      <c r="AD312" s="203">
        <v>43133</v>
      </c>
      <c r="AE312" s="203">
        <v>43168</v>
      </c>
      <c r="AF312" s="167" t="s">
        <v>3470</v>
      </c>
    </row>
    <row r="313" spans="16:32" x14ac:dyDescent="0.25">
      <c r="P313" s="167" t="s">
        <v>739</v>
      </c>
      <c r="Q313" s="167">
        <v>353</v>
      </c>
      <c r="R313" s="167" t="s">
        <v>3407</v>
      </c>
      <c r="S313" s="167" t="s">
        <v>1852</v>
      </c>
      <c r="T313" s="167">
        <v>10</v>
      </c>
      <c r="U313" s="167" t="s">
        <v>1853</v>
      </c>
      <c r="V313" s="167" t="s">
        <v>3409</v>
      </c>
      <c r="AB313" s="167" t="s">
        <v>1641</v>
      </c>
      <c r="AC313" s="167">
        <v>340</v>
      </c>
      <c r="AD313" s="203">
        <v>43133</v>
      </c>
      <c r="AE313" s="203">
        <v>43168</v>
      </c>
      <c r="AF313" s="167" t="s">
        <v>3470</v>
      </c>
    </row>
    <row r="314" spans="16:32" x14ac:dyDescent="0.25">
      <c r="P314" s="167" t="s">
        <v>739</v>
      </c>
      <c r="Q314" s="167">
        <v>353</v>
      </c>
      <c r="R314" s="167" t="s">
        <v>3407</v>
      </c>
      <c r="S314" s="167" t="s">
        <v>1854</v>
      </c>
      <c r="T314" s="167">
        <v>1</v>
      </c>
      <c r="U314" s="167" t="s">
        <v>1855</v>
      </c>
      <c r="V314" s="167" t="s">
        <v>3409</v>
      </c>
      <c r="AB314" s="167" t="s">
        <v>1641</v>
      </c>
      <c r="AC314" s="167">
        <v>357</v>
      </c>
      <c r="AD314" s="203">
        <v>43139</v>
      </c>
      <c r="AE314" s="203">
        <v>43164</v>
      </c>
      <c r="AF314" s="167" t="s">
        <v>3470</v>
      </c>
    </row>
    <row r="315" spans="16:32" x14ac:dyDescent="0.25">
      <c r="P315" s="167" t="s">
        <v>739</v>
      </c>
      <c r="Q315" s="167">
        <v>353</v>
      </c>
      <c r="R315" s="167" t="s">
        <v>3407</v>
      </c>
      <c r="S315" s="167" t="s">
        <v>1856</v>
      </c>
      <c r="T315" s="167">
        <v>11</v>
      </c>
      <c r="U315" s="167" t="s">
        <v>1857</v>
      </c>
      <c r="V315" s="167" t="s">
        <v>3409</v>
      </c>
      <c r="AB315" s="167" t="s">
        <v>1641</v>
      </c>
      <c r="AC315" s="167">
        <v>364</v>
      </c>
      <c r="AD315" s="203">
        <v>43168</v>
      </c>
      <c r="AE315" s="203">
        <v>43179</v>
      </c>
      <c r="AF315" s="167" t="s">
        <v>3470</v>
      </c>
    </row>
    <row r="316" spans="16:32" x14ac:dyDescent="0.25">
      <c r="P316" s="167" t="s">
        <v>739</v>
      </c>
      <c r="Q316" s="167">
        <v>353</v>
      </c>
      <c r="R316" s="167" t="s">
        <v>3407</v>
      </c>
      <c r="S316" s="167" t="s">
        <v>1858</v>
      </c>
      <c r="T316" s="167">
        <v>3</v>
      </c>
      <c r="U316" s="167" t="s">
        <v>1859</v>
      </c>
      <c r="V316" s="167" t="s">
        <v>3409</v>
      </c>
      <c r="AB316" s="167" t="s">
        <v>1641</v>
      </c>
      <c r="AC316" s="167">
        <v>353</v>
      </c>
      <c r="AD316" s="203">
        <v>43180</v>
      </c>
      <c r="AE316" s="203">
        <v>0</v>
      </c>
      <c r="AF316" s="167" t="s">
        <v>3469</v>
      </c>
    </row>
    <row r="317" spans="16:32" x14ac:dyDescent="0.25">
      <c r="P317" s="167" t="s">
        <v>739</v>
      </c>
      <c r="Q317" s="167">
        <v>353</v>
      </c>
      <c r="R317" s="167" t="s">
        <v>3407</v>
      </c>
      <c r="S317" s="167" t="s">
        <v>1860</v>
      </c>
      <c r="T317" s="167">
        <v>10</v>
      </c>
      <c r="U317" s="167" t="s">
        <v>1861</v>
      </c>
      <c r="V317" s="167" t="s">
        <v>3409</v>
      </c>
      <c r="AB317" s="167" t="s">
        <v>1641</v>
      </c>
      <c r="AC317" s="167">
        <v>353</v>
      </c>
      <c r="AD317" s="203">
        <v>43180</v>
      </c>
      <c r="AE317" s="203">
        <v>0</v>
      </c>
      <c r="AF317" s="167" t="s">
        <v>3469</v>
      </c>
    </row>
    <row r="318" spans="16:32" x14ac:dyDescent="0.25">
      <c r="P318" s="167" t="s">
        <v>739</v>
      </c>
      <c r="Q318" s="167">
        <v>353</v>
      </c>
      <c r="R318" s="167" t="s">
        <v>3407</v>
      </c>
      <c r="S318" s="167" t="s">
        <v>3348</v>
      </c>
      <c r="T318" s="167">
        <v>3</v>
      </c>
      <c r="U318" s="167" t="s">
        <v>3417</v>
      </c>
      <c r="V318" s="167" t="s">
        <v>3409</v>
      </c>
      <c r="AB318" s="167" t="s">
        <v>1643</v>
      </c>
      <c r="AC318" s="167">
        <v>353</v>
      </c>
      <c r="AD318" s="203">
        <v>43180</v>
      </c>
      <c r="AE318" s="203">
        <v>0</v>
      </c>
      <c r="AF318" s="167" t="s">
        <v>3469</v>
      </c>
    </row>
    <row r="319" spans="16:32" x14ac:dyDescent="0.25">
      <c r="P319" s="167" t="s">
        <v>739</v>
      </c>
      <c r="Q319" s="167">
        <v>353</v>
      </c>
      <c r="R319" s="167" t="s">
        <v>3407</v>
      </c>
      <c r="S319" s="167" t="s">
        <v>3348</v>
      </c>
      <c r="T319" s="167">
        <v>4</v>
      </c>
      <c r="U319" s="167" t="s">
        <v>3417</v>
      </c>
      <c r="V319" s="167" t="s">
        <v>3409</v>
      </c>
      <c r="AB319" s="167" t="s">
        <v>1645</v>
      </c>
      <c r="AC319" s="167">
        <v>364</v>
      </c>
      <c r="AD319" s="203">
        <v>43168</v>
      </c>
      <c r="AE319" s="203">
        <v>43179</v>
      </c>
      <c r="AF319" s="167" t="s">
        <v>3470</v>
      </c>
    </row>
    <row r="320" spans="16:32" x14ac:dyDescent="0.25">
      <c r="P320" s="167" t="s">
        <v>739</v>
      </c>
      <c r="Q320" s="167">
        <v>353</v>
      </c>
      <c r="R320" s="167" t="s">
        <v>3407</v>
      </c>
      <c r="S320" s="167" t="s">
        <v>3348</v>
      </c>
      <c r="T320" s="167">
        <v>3</v>
      </c>
      <c r="U320" s="167" t="s">
        <v>3417</v>
      </c>
      <c r="V320" s="167" t="s">
        <v>3409</v>
      </c>
      <c r="AB320" s="167" t="s">
        <v>1645</v>
      </c>
      <c r="AC320" s="167">
        <v>353</v>
      </c>
      <c r="AD320" s="203">
        <v>43180</v>
      </c>
      <c r="AE320" s="203">
        <v>0</v>
      </c>
      <c r="AF320" s="167" t="s">
        <v>3469</v>
      </c>
    </row>
    <row r="321" spans="16:32" x14ac:dyDescent="0.25">
      <c r="P321" s="167" t="s">
        <v>739</v>
      </c>
      <c r="Q321" s="167">
        <v>353</v>
      </c>
      <c r="R321" s="167" t="s">
        <v>3407</v>
      </c>
      <c r="S321" s="167" t="s">
        <v>3348</v>
      </c>
      <c r="T321" s="167">
        <v>3</v>
      </c>
      <c r="U321" s="167" t="s">
        <v>3417</v>
      </c>
      <c r="V321" s="167" t="s">
        <v>3409</v>
      </c>
      <c r="AB321" s="167" t="s">
        <v>1647</v>
      </c>
      <c r="AC321" s="167">
        <v>357</v>
      </c>
      <c r="AD321" s="203">
        <v>43139</v>
      </c>
      <c r="AE321" s="203">
        <v>43164</v>
      </c>
      <c r="AF321" s="167" t="s">
        <v>3470</v>
      </c>
    </row>
    <row r="322" spans="16:32" x14ac:dyDescent="0.25">
      <c r="P322" s="167" t="s">
        <v>739</v>
      </c>
      <c r="Q322" s="167">
        <v>353</v>
      </c>
      <c r="R322" s="167" t="s">
        <v>3407</v>
      </c>
      <c r="S322" s="167" t="s">
        <v>1868</v>
      </c>
      <c r="T322" s="167">
        <v>9</v>
      </c>
      <c r="U322" s="167" t="s">
        <v>1869</v>
      </c>
      <c r="V322" s="167" t="s">
        <v>3409</v>
      </c>
      <c r="AB322" s="167" t="s">
        <v>1647</v>
      </c>
      <c r="AC322" s="167">
        <v>353</v>
      </c>
      <c r="AD322" s="203">
        <v>43180</v>
      </c>
      <c r="AE322" s="203">
        <v>0</v>
      </c>
      <c r="AF322" s="167" t="s">
        <v>3469</v>
      </c>
    </row>
    <row r="323" spans="16:32" x14ac:dyDescent="0.25">
      <c r="P323" s="167" t="s">
        <v>739</v>
      </c>
      <c r="Q323" s="167">
        <v>353</v>
      </c>
      <c r="R323" s="167" t="s">
        <v>3407</v>
      </c>
      <c r="S323" s="167" t="s">
        <v>1868</v>
      </c>
      <c r="T323" s="167">
        <v>22</v>
      </c>
      <c r="U323" s="167" t="s">
        <v>1869</v>
      </c>
      <c r="V323" s="167" t="s">
        <v>3409</v>
      </c>
      <c r="AB323" s="167" t="s">
        <v>1649</v>
      </c>
      <c r="AC323" s="167">
        <v>347</v>
      </c>
      <c r="AD323" s="203">
        <v>43118</v>
      </c>
      <c r="AE323" s="203">
        <v>43133</v>
      </c>
      <c r="AF323" s="167" t="s">
        <v>3470</v>
      </c>
    </row>
    <row r="324" spans="16:32" x14ac:dyDescent="0.25">
      <c r="P324" s="167" t="s">
        <v>739</v>
      </c>
      <c r="Q324" s="167">
        <v>353</v>
      </c>
      <c r="R324" s="167" t="s">
        <v>3407</v>
      </c>
      <c r="S324" s="167" t="s">
        <v>3350</v>
      </c>
      <c r="T324" s="167">
        <v>3</v>
      </c>
      <c r="U324" s="167" t="s">
        <v>3418</v>
      </c>
      <c r="V324" s="167" t="s">
        <v>3409</v>
      </c>
      <c r="AB324" s="167" t="s">
        <v>1649</v>
      </c>
      <c r="AC324" s="167">
        <v>340</v>
      </c>
      <c r="AD324" s="203">
        <v>43133</v>
      </c>
      <c r="AE324" s="203">
        <v>43168</v>
      </c>
      <c r="AF324" s="167" t="s">
        <v>3470</v>
      </c>
    </row>
    <row r="325" spans="16:32" x14ac:dyDescent="0.25">
      <c r="P325" s="167" t="s">
        <v>739</v>
      </c>
      <c r="Q325" s="167">
        <v>353</v>
      </c>
      <c r="R325" s="167" t="s">
        <v>3407</v>
      </c>
      <c r="S325" s="167" t="s">
        <v>989</v>
      </c>
      <c r="T325" s="167">
        <v>10</v>
      </c>
      <c r="U325" s="167" t="s">
        <v>1885</v>
      </c>
      <c r="V325" s="167" t="s">
        <v>3409</v>
      </c>
      <c r="AB325" s="167" t="s">
        <v>1649</v>
      </c>
      <c r="AC325" s="167">
        <v>374</v>
      </c>
      <c r="AD325" s="203">
        <v>43195</v>
      </c>
      <c r="AE325" s="203">
        <v>0</v>
      </c>
      <c r="AF325" s="167" t="s">
        <v>3469</v>
      </c>
    </row>
    <row r="326" spans="16:32" x14ac:dyDescent="0.25">
      <c r="P326" s="167" t="s">
        <v>739</v>
      </c>
      <c r="Q326" s="167">
        <v>353</v>
      </c>
      <c r="R326" s="167" t="s">
        <v>3407</v>
      </c>
      <c r="S326" s="167" t="s">
        <v>989</v>
      </c>
      <c r="T326" s="167">
        <v>10</v>
      </c>
      <c r="U326" s="167" t="s">
        <v>1885</v>
      </c>
      <c r="V326" s="167" t="s">
        <v>3409</v>
      </c>
      <c r="AB326" s="167" t="s">
        <v>1651</v>
      </c>
      <c r="AC326" s="167">
        <v>347</v>
      </c>
      <c r="AD326" s="203">
        <v>43118</v>
      </c>
      <c r="AE326" s="203">
        <v>43133</v>
      </c>
      <c r="AF326" s="167" t="s">
        <v>3470</v>
      </c>
    </row>
    <row r="327" spans="16:32" x14ac:dyDescent="0.25">
      <c r="P327" s="167" t="s">
        <v>739</v>
      </c>
      <c r="Q327" s="167">
        <v>353</v>
      </c>
      <c r="R327" s="167" t="s">
        <v>3407</v>
      </c>
      <c r="S327" s="167" t="s">
        <v>1886</v>
      </c>
      <c r="T327" s="167">
        <v>2</v>
      </c>
      <c r="U327" s="167" t="s">
        <v>1887</v>
      </c>
      <c r="V327" s="167" t="s">
        <v>3409</v>
      </c>
      <c r="AB327" s="167" t="s">
        <v>1651</v>
      </c>
      <c r="AC327" s="167">
        <v>340</v>
      </c>
      <c r="AD327" s="203">
        <v>43133</v>
      </c>
      <c r="AE327" s="203">
        <v>43168</v>
      </c>
      <c r="AF327" s="167" t="s">
        <v>3470</v>
      </c>
    </row>
    <row r="328" spans="16:32" x14ac:dyDescent="0.25">
      <c r="P328" s="167" t="s">
        <v>739</v>
      </c>
      <c r="Q328" s="167">
        <v>353</v>
      </c>
      <c r="R328" s="167" t="s">
        <v>3407</v>
      </c>
      <c r="S328" s="167" t="s">
        <v>1886</v>
      </c>
      <c r="T328" s="167">
        <v>8</v>
      </c>
      <c r="U328" s="167" t="s">
        <v>1887</v>
      </c>
      <c r="V328" s="167" t="s">
        <v>3409</v>
      </c>
      <c r="AB328" s="167" t="s">
        <v>1651</v>
      </c>
      <c r="AC328" s="167">
        <v>340</v>
      </c>
      <c r="AD328" s="203">
        <v>43133</v>
      </c>
      <c r="AE328" s="203">
        <v>43168</v>
      </c>
      <c r="AF328" s="167" t="s">
        <v>3470</v>
      </c>
    </row>
    <row r="329" spans="16:32" x14ac:dyDescent="0.25">
      <c r="P329" s="167" t="s">
        <v>739</v>
      </c>
      <c r="Q329" s="167">
        <v>353</v>
      </c>
      <c r="R329" s="167" t="s">
        <v>3407</v>
      </c>
      <c r="S329" s="167" t="s">
        <v>1888</v>
      </c>
      <c r="T329" s="167">
        <v>2</v>
      </c>
      <c r="U329" s="167" t="s">
        <v>1889</v>
      </c>
      <c r="V329" s="167" t="s">
        <v>3409</v>
      </c>
      <c r="AB329" s="167" t="s">
        <v>1651</v>
      </c>
      <c r="AC329" s="167">
        <v>364</v>
      </c>
      <c r="AD329" s="203">
        <v>43168</v>
      </c>
      <c r="AE329" s="203">
        <v>43179</v>
      </c>
      <c r="AF329" s="167" t="s">
        <v>3470</v>
      </c>
    </row>
    <row r="330" spans="16:32" x14ac:dyDescent="0.25">
      <c r="P330" s="167" t="s">
        <v>739</v>
      </c>
      <c r="Q330" s="167">
        <v>353</v>
      </c>
      <c r="R330" s="167" t="s">
        <v>3407</v>
      </c>
      <c r="S330" s="167" t="s">
        <v>1888</v>
      </c>
      <c r="T330" s="167">
        <v>5</v>
      </c>
      <c r="U330" s="167" t="s">
        <v>1889</v>
      </c>
      <c r="V330" s="167" t="s">
        <v>3409</v>
      </c>
      <c r="AB330" s="167" t="s">
        <v>1651</v>
      </c>
      <c r="AC330" s="167">
        <v>353</v>
      </c>
      <c r="AD330" s="203">
        <v>43180</v>
      </c>
      <c r="AE330" s="203">
        <v>0</v>
      </c>
      <c r="AF330" s="167" t="s">
        <v>3469</v>
      </c>
    </row>
    <row r="331" spans="16:32" x14ac:dyDescent="0.25">
      <c r="P331" s="167" t="s">
        <v>739</v>
      </c>
      <c r="Q331" s="167">
        <v>353</v>
      </c>
      <c r="R331" s="167" t="s">
        <v>3407</v>
      </c>
      <c r="S331" s="167" t="s">
        <v>1888</v>
      </c>
      <c r="T331" s="167">
        <v>1</v>
      </c>
      <c r="U331" s="167" t="s">
        <v>1889</v>
      </c>
      <c r="V331" s="167" t="s">
        <v>3409</v>
      </c>
      <c r="AB331" s="167" t="s">
        <v>3473</v>
      </c>
      <c r="AC331" s="167">
        <v>347</v>
      </c>
      <c r="AD331" s="203">
        <v>43118</v>
      </c>
      <c r="AE331" s="203">
        <v>43133</v>
      </c>
      <c r="AF331" s="167" t="s">
        <v>3470</v>
      </c>
    </row>
    <row r="332" spans="16:32" x14ac:dyDescent="0.25">
      <c r="P332" s="167" t="s">
        <v>739</v>
      </c>
      <c r="Q332" s="167">
        <v>353</v>
      </c>
      <c r="R332" s="167" t="s">
        <v>3407</v>
      </c>
      <c r="S332" s="167" t="s">
        <v>990</v>
      </c>
      <c r="T332" s="167">
        <v>40</v>
      </c>
      <c r="U332" s="167" t="s">
        <v>1890</v>
      </c>
      <c r="V332" s="167" t="s">
        <v>3409</v>
      </c>
      <c r="AB332" s="167" t="s">
        <v>3473</v>
      </c>
      <c r="AC332" s="167">
        <v>357</v>
      </c>
      <c r="AD332" s="203">
        <v>43139</v>
      </c>
      <c r="AE332" s="203">
        <v>43164</v>
      </c>
      <c r="AF332" s="167" t="s">
        <v>3470</v>
      </c>
    </row>
    <row r="333" spans="16:32" x14ac:dyDescent="0.25">
      <c r="P333" s="167" t="s">
        <v>739</v>
      </c>
      <c r="Q333" s="167">
        <v>353</v>
      </c>
      <c r="R333" s="167" t="s">
        <v>3407</v>
      </c>
      <c r="S333" s="167" t="s">
        <v>3351</v>
      </c>
      <c r="T333" s="167">
        <v>1</v>
      </c>
      <c r="U333" s="167" t="s">
        <v>3419</v>
      </c>
      <c r="V333" s="167" t="s">
        <v>3409</v>
      </c>
      <c r="AB333" s="167" t="s">
        <v>3473</v>
      </c>
      <c r="AC333" s="167">
        <v>364</v>
      </c>
      <c r="AD333" s="203">
        <v>43168</v>
      </c>
      <c r="AE333" s="203">
        <v>43179</v>
      </c>
      <c r="AF333" s="167" t="s">
        <v>3470</v>
      </c>
    </row>
    <row r="334" spans="16:32" x14ac:dyDescent="0.25">
      <c r="P334" s="167" t="s">
        <v>739</v>
      </c>
      <c r="Q334" s="167">
        <v>353</v>
      </c>
      <c r="R334" s="167" t="s">
        <v>3407</v>
      </c>
      <c r="S334" s="167" t="s">
        <v>1891</v>
      </c>
      <c r="T334" s="167">
        <v>3</v>
      </c>
      <c r="U334" s="167" t="s">
        <v>1892</v>
      </c>
      <c r="V334" s="167" t="s">
        <v>3409</v>
      </c>
      <c r="AB334" s="167" t="s">
        <v>1652</v>
      </c>
      <c r="AC334" s="167">
        <v>347</v>
      </c>
      <c r="AD334" s="203">
        <v>43118</v>
      </c>
      <c r="AE334" s="203">
        <v>43133</v>
      </c>
      <c r="AF334" s="167" t="s">
        <v>3470</v>
      </c>
    </row>
    <row r="335" spans="16:32" x14ac:dyDescent="0.25">
      <c r="P335" s="167" t="s">
        <v>739</v>
      </c>
      <c r="Q335" s="167">
        <v>353</v>
      </c>
      <c r="R335" s="167" t="s">
        <v>3407</v>
      </c>
      <c r="S335" s="167" t="s">
        <v>1891</v>
      </c>
      <c r="T335" s="167">
        <v>10</v>
      </c>
      <c r="U335" s="167" t="s">
        <v>1892</v>
      </c>
      <c r="V335" s="167" t="s">
        <v>3409</v>
      </c>
      <c r="AB335" s="167" t="s">
        <v>1652</v>
      </c>
      <c r="AC335" s="167">
        <v>340</v>
      </c>
      <c r="AD335" s="203">
        <v>43133</v>
      </c>
      <c r="AE335" s="203">
        <v>43168</v>
      </c>
      <c r="AF335" s="167" t="s">
        <v>3470</v>
      </c>
    </row>
    <row r="336" spans="16:32" x14ac:dyDescent="0.25">
      <c r="P336" s="167" t="s">
        <v>739</v>
      </c>
      <c r="Q336" s="167">
        <v>353</v>
      </c>
      <c r="R336" s="167" t="s">
        <v>3407</v>
      </c>
      <c r="S336" s="167" t="s">
        <v>1895</v>
      </c>
      <c r="T336" s="167">
        <v>16</v>
      </c>
      <c r="U336" s="167" t="s">
        <v>1896</v>
      </c>
      <c r="V336" s="167" t="s">
        <v>3409</v>
      </c>
      <c r="AB336" s="167" t="s">
        <v>1652</v>
      </c>
      <c r="AC336" s="167">
        <v>340</v>
      </c>
      <c r="AD336" s="203">
        <v>43133</v>
      </c>
      <c r="AE336" s="203">
        <v>43168</v>
      </c>
      <c r="AF336" s="167" t="s">
        <v>3470</v>
      </c>
    </row>
    <row r="337" spans="16:32" x14ac:dyDescent="0.25">
      <c r="P337" s="167" t="s">
        <v>739</v>
      </c>
      <c r="Q337" s="167">
        <v>353</v>
      </c>
      <c r="R337" s="167" t="s">
        <v>3407</v>
      </c>
      <c r="S337" s="167" t="s">
        <v>1895</v>
      </c>
      <c r="T337" s="167">
        <v>10</v>
      </c>
      <c r="U337" s="167" t="s">
        <v>1896</v>
      </c>
      <c r="V337" s="167" t="s">
        <v>3409</v>
      </c>
      <c r="AB337" s="167" t="s">
        <v>3412</v>
      </c>
      <c r="AC337" s="167">
        <v>364</v>
      </c>
      <c r="AD337" s="203">
        <v>43168</v>
      </c>
      <c r="AE337" s="203">
        <v>43179</v>
      </c>
      <c r="AF337" s="167" t="s">
        <v>3470</v>
      </c>
    </row>
    <row r="338" spans="16:32" x14ac:dyDescent="0.25">
      <c r="P338" s="167" t="s">
        <v>739</v>
      </c>
      <c r="Q338" s="167">
        <v>353</v>
      </c>
      <c r="R338" s="167" t="s">
        <v>3407</v>
      </c>
      <c r="S338" s="167" t="s">
        <v>992</v>
      </c>
      <c r="T338" s="167">
        <v>36</v>
      </c>
      <c r="U338" s="167" t="s">
        <v>1897</v>
      </c>
      <c r="V338" s="167" t="s">
        <v>3409</v>
      </c>
      <c r="AB338" s="167" t="s">
        <v>3412</v>
      </c>
      <c r="AC338" s="167">
        <v>353</v>
      </c>
      <c r="AD338" s="203">
        <v>43180</v>
      </c>
      <c r="AE338" s="203">
        <v>0</v>
      </c>
      <c r="AF338" s="167" t="s">
        <v>3469</v>
      </c>
    </row>
    <row r="339" spans="16:32" x14ac:dyDescent="0.25">
      <c r="P339" s="167" t="s">
        <v>739</v>
      </c>
      <c r="Q339" s="167">
        <v>353</v>
      </c>
      <c r="R339" s="167" t="s">
        <v>3407</v>
      </c>
      <c r="S339" s="167" t="s">
        <v>992</v>
      </c>
      <c r="T339" s="167">
        <v>5</v>
      </c>
      <c r="U339" s="167" t="s">
        <v>1897</v>
      </c>
      <c r="V339" s="167" t="s">
        <v>3409</v>
      </c>
      <c r="AB339" s="167" t="s">
        <v>1654</v>
      </c>
      <c r="AC339" s="167">
        <v>323</v>
      </c>
      <c r="AD339" s="203">
        <v>43074</v>
      </c>
      <c r="AE339" s="203">
        <v>43111</v>
      </c>
      <c r="AF339" s="167" t="s">
        <v>3470</v>
      </c>
    </row>
    <row r="340" spans="16:32" x14ac:dyDescent="0.25">
      <c r="P340" s="167" t="s">
        <v>739</v>
      </c>
      <c r="Q340" s="167">
        <v>353</v>
      </c>
      <c r="R340" s="167" t="s">
        <v>3407</v>
      </c>
      <c r="S340" s="167" t="s">
        <v>992</v>
      </c>
      <c r="T340" s="167">
        <v>2</v>
      </c>
      <c r="U340" s="167" t="s">
        <v>1897</v>
      </c>
      <c r="V340" s="167" t="s">
        <v>3409</v>
      </c>
      <c r="AB340" s="167" t="s">
        <v>1654</v>
      </c>
      <c r="AC340" s="167">
        <v>327</v>
      </c>
      <c r="AD340" s="203">
        <v>43074</v>
      </c>
      <c r="AE340" s="203">
        <v>43131</v>
      </c>
      <c r="AF340" s="167" t="s">
        <v>3470</v>
      </c>
    </row>
    <row r="341" spans="16:32" x14ac:dyDescent="0.25">
      <c r="P341" s="167" t="s">
        <v>739</v>
      </c>
      <c r="Q341" s="167">
        <v>353</v>
      </c>
      <c r="R341" s="167" t="s">
        <v>3407</v>
      </c>
      <c r="S341" s="167" t="s">
        <v>1898</v>
      </c>
      <c r="T341" s="167">
        <v>2</v>
      </c>
      <c r="U341" s="167" t="s">
        <v>1899</v>
      </c>
      <c r="V341" s="167" t="s">
        <v>3409</v>
      </c>
      <c r="AB341" s="167" t="s">
        <v>1654</v>
      </c>
      <c r="AC341" s="167">
        <v>347</v>
      </c>
      <c r="AD341" s="203">
        <v>43118</v>
      </c>
      <c r="AE341" s="203">
        <v>43133</v>
      </c>
      <c r="AF341" s="167" t="s">
        <v>3470</v>
      </c>
    </row>
    <row r="342" spans="16:32" x14ac:dyDescent="0.25">
      <c r="P342" s="167" t="s">
        <v>739</v>
      </c>
      <c r="Q342" s="167">
        <v>353</v>
      </c>
      <c r="R342" s="167" t="s">
        <v>3407</v>
      </c>
      <c r="S342" s="167" t="s">
        <v>1900</v>
      </c>
      <c r="T342" s="167">
        <v>10</v>
      </c>
      <c r="U342" s="167" t="s">
        <v>1901</v>
      </c>
      <c r="V342" s="167" t="s">
        <v>3409</v>
      </c>
      <c r="AB342" s="167" t="s">
        <v>1654</v>
      </c>
      <c r="AC342" s="167">
        <v>335</v>
      </c>
      <c r="AD342" s="203">
        <v>43133</v>
      </c>
      <c r="AE342" s="203">
        <v>43147</v>
      </c>
      <c r="AF342" s="167" t="s">
        <v>3470</v>
      </c>
    </row>
    <row r="343" spans="16:32" x14ac:dyDescent="0.25">
      <c r="P343" s="167" t="s">
        <v>739</v>
      </c>
      <c r="Q343" s="167">
        <v>353</v>
      </c>
      <c r="R343" s="167" t="s">
        <v>3407</v>
      </c>
      <c r="S343" s="167" t="s">
        <v>1900</v>
      </c>
      <c r="T343" s="167">
        <v>2</v>
      </c>
      <c r="U343" s="167" t="s">
        <v>1901</v>
      </c>
      <c r="V343" s="167" t="s">
        <v>3409</v>
      </c>
      <c r="AB343" s="167" t="s">
        <v>1654</v>
      </c>
      <c r="AC343" s="167">
        <v>340</v>
      </c>
      <c r="AD343" s="203">
        <v>43133</v>
      </c>
      <c r="AE343" s="203">
        <v>43168</v>
      </c>
      <c r="AF343" s="167" t="s">
        <v>3470</v>
      </c>
    </row>
    <row r="344" spans="16:32" x14ac:dyDescent="0.25">
      <c r="P344" s="167" t="s">
        <v>739</v>
      </c>
      <c r="Q344" s="167">
        <v>353</v>
      </c>
      <c r="R344" s="167" t="s">
        <v>3407</v>
      </c>
      <c r="S344" s="167" t="s">
        <v>1900</v>
      </c>
      <c r="T344" s="167">
        <v>9</v>
      </c>
      <c r="U344" s="167" t="s">
        <v>1901</v>
      </c>
      <c r="V344" s="167" t="s">
        <v>3409</v>
      </c>
      <c r="AB344" s="167" t="s">
        <v>1654</v>
      </c>
      <c r="AC344" s="167">
        <v>374</v>
      </c>
      <c r="AD344" s="203">
        <v>43195</v>
      </c>
      <c r="AE344" s="203">
        <v>0</v>
      </c>
      <c r="AF344" s="167" t="s">
        <v>3469</v>
      </c>
    </row>
    <row r="345" spans="16:32" x14ac:dyDescent="0.25">
      <c r="P345" s="167" t="s">
        <v>739</v>
      </c>
      <c r="Q345" s="167">
        <v>353</v>
      </c>
      <c r="R345" s="167" t="s">
        <v>3407</v>
      </c>
      <c r="S345" s="167" t="s">
        <v>1900</v>
      </c>
      <c r="T345" s="167">
        <v>2</v>
      </c>
      <c r="U345" s="167" t="s">
        <v>1901</v>
      </c>
      <c r="V345" s="167" t="s">
        <v>3409</v>
      </c>
      <c r="AB345" s="167" t="s">
        <v>1655</v>
      </c>
      <c r="AC345" s="167">
        <v>364</v>
      </c>
      <c r="AD345" s="203">
        <v>43168</v>
      </c>
      <c r="AE345" s="203">
        <v>43179</v>
      </c>
      <c r="AF345" s="167" t="s">
        <v>3470</v>
      </c>
    </row>
    <row r="346" spans="16:32" x14ac:dyDescent="0.25">
      <c r="P346" s="167" t="s">
        <v>739</v>
      </c>
      <c r="Q346" s="167">
        <v>353</v>
      </c>
      <c r="R346" s="167" t="s">
        <v>3407</v>
      </c>
      <c r="S346" s="167" t="s">
        <v>1900</v>
      </c>
      <c r="T346" s="167">
        <v>2</v>
      </c>
      <c r="U346" s="167" t="s">
        <v>1901</v>
      </c>
      <c r="V346" s="167" t="s">
        <v>3409</v>
      </c>
      <c r="AB346" s="167" t="s">
        <v>1655</v>
      </c>
      <c r="AC346" s="167">
        <v>353</v>
      </c>
      <c r="AD346" s="203">
        <v>43180</v>
      </c>
      <c r="AE346" s="203">
        <v>0</v>
      </c>
      <c r="AF346" s="167" t="s">
        <v>3469</v>
      </c>
    </row>
    <row r="347" spans="16:32" x14ac:dyDescent="0.25">
      <c r="P347" s="167" t="s">
        <v>739</v>
      </c>
      <c r="Q347" s="167">
        <v>353</v>
      </c>
      <c r="R347" s="167" t="s">
        <v>3407</v>
      </c>
      <c r="S347" s="167" t="s">
        <v>1904</v>
      </c>
      <c r="T347" s="167">
        <v>6</v>
      </c>
      <c r="U347" s="167" t="s">
        <v>1905</v>
      </c>
      <c r="V347" s="167" t="s">
        <v>3409</v>
      </c>
      <c r="AB347" s="167" t="s">
        <v>1655</v>
      </c>
      <c r="AC347" s="167">
        <v>353</v>
      </c>
      <c r="AD347" s="203">
        <v>43180</v>
      </c>
      <c r="AE347" s="203">
        <v>0</v>
      </c>
      <c r="AF347" s="167" t="s">
        <v>3469</v>
      </c>
    </row>
    <row r="348" spans="16:32" x14ac:dyDescent="0.25">
      <c r="P348" s="167" t="s">
        <v>739</v>
      </c>
      <c r="Q348" s="167">
        <v>353</v>
      </c>
      <c r="R348" s="167" t="s">
        <v>3407</v>
      </c>
      <c r="S348" s="167" t="s">
        <v>1904</v>
      </c>
      <c r="T348" s="167">
        <v>2</v>
      </c>
      <c r="U348" s="167" t="s">
        <v>1905</v>
      </c>
      <c r="V348" s="167" t="s">
        <v>3409</v>
      </c>
      <c r="AB348" s="167" t="s">
        <v>1655</v>
      </c>
      <c r="AC348" s="167">
        <v>353</v>
      </c>
      <c r="AD348" s="203">
        <v>43180</v>
      </c>
      <c r="AE348" s="203">
        <v>0</v>
      </c>
      <c r="AF348" s="167" t="s">
        <v>3469</v>
      </c>
    </row>
    <row r="349" spans="16:32" x14ac:dyDescent="0.25">
      <c r="P349" s="167" t="s">
        <v>739</v>
      </c>
      <c r="Q349" s="167">
        <v>353</v>
      </c>
      <c r="R349" s="167" t="s">
        <v>3407</v>
      </c>
      <c r="S349" s="167" t="s">
        <v>1908</v>
      </c>
      <c r="T349" s="167">
        <v>2</v>
      </c>
      <c r="U349" s="167" t="s">
        <v>1909</v>
      </c>
      <c r="V349" s="167" t="s">
        <v>3409</v>
      </c>
      <c r="AB349" s="167" t="s">
        <v>1657</v>
      </c>
      <c r="AC349" s="167">
        <v>357</v>
      </c>
      <c r="AD349" s="203">
        <v>43139</v>
      </c>
      <c r="AE349" s="203">
        <v>43164</v>
      </c>
      <c r="AF349" s="167" t="s">
        <v>3470</v>
      </c>
    </row>
    <row r="350" spans="16:32" x14ac:dyDescent="0.25">
      <c r="P350" s="167" t="s">
        <v>739</v>
      </c>
      <c r="Q350" s="167">
        <v>353</v>
      </c>
      <c r="R350" s="167" t="s">
        <v>3407</v>
      </c>
      <c r="S350" s="167" t="s">
        <v>1910</v>
      </c>
      <c r="T350" s="167">
        <v>2</v>
      </c>
      <c r="U350" s="167" t="s">
        <v>1911</v>
      </c>
      <c r="V350" s="167" t="s">
        <v>3409</v>
      </c>
      <c r="AB350" s="167" t="s">
        <v>1657</v>
      </c>
      <c r="AC350" s="167">
        <v>353</v>
      </c>
      <c r="AD350" s="203">
        <v>43180</v>
      </c>
      <c r="AE350" s="203">
        <v>0</v>
      </c>
      <c r="AF350" s="167" t="s">
        <v>3469</v>
      </c>
    </row>
    <row r="351" spans="16:32" x14ac:dyDescent="0.25">
      <c r="P351" s="167" t="s">
        <v>739</v>
      </c>
      <c r="Q351" s="167">
        <v>353</v>
      </c>
      <c r="R351" s="167" t="s">
        <v>3407</v>
      </c>
      <c r="S351" s="167" t="s">
        <v>1912</v>
      </c>
      <c r="T351" s="167">
        <v>13</v>
      </c>
      <c r="U351" s="167" t="s">
        <v>1913</v>
      </c>
      <c r="V351" s="167" t="s">
        <v>3409</v>
      </c>
      <c r="AB351" s="167" t="s">
        <v>1658</v>
      </c>
      <c r="AC351" s="167">
        <v>323</v>
      </c>
      <c r="AD351" s="203">
        <v>43074</v>
      </c>
      <c r="AE351" s="203">
        <v>43111</v>
      </c>
      <c r="AF351" s="167" t="s">
        <v>3470</v>
      </c>
    </row>
    <row r="352" spans="16:32" x14ac:dyDescent="0.25">
      <c r="P352" s="167" t="s">
        <v>739</v>
      </c>
      <c r="Q352" s="167">
        <v>353</v>
      </c>
      <c r="R352" s="167" t="s">
        <v>3407</v>
      </c>
      <c r="S352" s="167" t="s">
        <v>1912</v>
      </c>
      <c r="T352" s="167">
        <v>5</v>
      </c>
      <c r="U352" s="167" t="s">
        <v>1913</v>
      </c>
      <c r="V352" s="167" t="s">
        <v>3409</v>
      </c>
      <c r="AB352" s="167" t="s">
        <v>1658</v>
      </c>
      <c r="AC352" s="167">
        <v>347</v>
      </c>
      <c r="AD352" s="203">
        <v>43118</v>
      </c>
      <c r="AE352" s="203">
        <v>43133</v>
      </c>
      <c r="AF352" s="167" t="s">
        <v>3470</v>
      </c>
    </row>
    <row r="353" spans="16:32" x14ac:dyDescent="0.25">
      <c r="P353" s="167" t="s">
        <v>739</v>
      </c>
      <c r="Q353" s="167">
        <v>353</v>
      </c>
      <c r="R353" s="167" t="s">
        <v>3407</v>
      </c>
      <c r="S353" s="167" t="s">
        <v>1912</v>
      </c>
      <c r="T353" s="167">
        <v>10</v>
      </c>
      <c r="U353" s="167" t="s">
        <v>1913</v>
      </c>
      <c r="V353" s="167" t="s">
        <v>3409</v>
      </c>
      <c r="AB353" s="167" t="s">
        <v>1658</v>
      </c>
      <c r="AC353" s="167">
        <v>340</v>
      </c>
      <c r="AD353" s="203">
        <v>43133</v>
      </c>
      <c r="AE353" s="203">
        <v>43168</v>
      </c>
      <c r="AF353" s="167" t="s">
        <v>3470</v>
      </c>
    </row>
    <row r="354" spans="16:32" x14ac:dyDescent="0.25">
      <c r="P354" s="167" t="s">
        <v>739</v>
      </c>
      <c r="Q354" s="167">
        <v>353</v>
      </c>
      <c r="R354" s="167" t="s">
        <v>3407</v>
      </c>
      <c r="S354" s="167" t="s">
        <v>1912</v>
      </c>
      <c r="T354" s="167">
        <v>2</v>
      </c>
      <c r="U354" s="167" t="s">
        <v>1913</v>
      </c>
      <c r="V354" s="167" t="s">
        <v>3409</v>
      </c>
      <c r="AB354" s="167" t="s">
        <v>1658</v>
      </c>
      <c r="AC354" s="167">
        <v>340</v>
      </c>
      <c r="AD354" s="203">
        <v>43133</v>
      </c>
      <c r="AE354" s="203">
        <v>43168</v>
      </c>
      <c r="AF354" s="167" t="s">
        <v>3470</v>
      </c>
    </row>
    <row r="355" spans="16:32" x14ac:dyDescent="0.25">
      <c r="P355" s="167" t="s">
        <v>739</v>
      </c>
      <c r="Q355" s="167">
        <v>353</v>
      </c>
      <c r="R355" s="167" t="s">
        <v>3407</v>
      </c>
      <c r="S355" s="167" t="s">
        <v>1912</v>
      </c>
      <c r="T355" s="167">
        <v>5</v>
      </c>
      <c r="U355" s="167" t="s">
        <v>1913</v>
      </c>
      <c r="V355" s="167" t="s">
        <v>3409</v>
      </c>
      <c r="AB355" s="167" t="s">
        <v>1660</v>
      </c>
      <c r="AC355" s="167">
        <v>323</v>
      </c>
      <c r="AD355" s="203">
        <v>43074</v>
      </c>
      <c r="AE355" s="203">
        <v>43111</v>
      </c>
      <c r="AF355" s="167" t="s">
        <v>3470</v>
      </c>
    </row>
    <row r="356" spans="16:32" x14ac:dyDescent="0.25">
      <c r="P356" s="167" t="s">
        <v>739</v>
      </c>
      <c r="Q356" s="167">
        <v>353</v>
      </c>
      <c r="R356" s="167" t="s">
        <v>3407</v>
      </c>
      <c r="S356" s="167" t="s">
        <v>1915</v>
      </c>
      <c r="T356" s="167">
        <v>2</v>
      </c>
      <c r="U356" s="167" t="s">
        <v>1916</v>
      </c>
      <c r="V356" s="167" t="s">
        <v>3409</v>
      </c>
      <c r="AB356" s="167" t="s">
        <v>1660</v>
      </c>
      <c r="AC356" s="167">
        <v>327</v>
      </c>
      <c r="AD356" s="203">
        <v>43074</v>
      </c>
      <c r="AE356" s="203">
        <v>43131</v>
      </c>
      <c r="AF356" s="167" t="s">
        <v>3470</v>
      </c>
    </row>
    <row r="357" spans="16:32" x14ac:dyDescent="0.25">
      <c r="P357" s="167" t="s">
        <v>739</v>
      </c>
      <c r="Q357" s="167">
        <v>353</v>
      </c>
      <c r="R357" s="167" t="s">
        <v>3407</v>
      </c>
      <c r="S357" s="167" t="s">
        <v>1915</v>
      </c>
      <c r="T357" s="167">
        <v>8</v>
      </c>
      <c r="U357" s="167" t="s">
        <v>1916</v>
      </c>
      <c r="V357" s="167" t="s">
        <v>3409</v>
      </c>
      <c r="AB357" s="167" t="s">
        <v>1660</v>
      </c>
      <c r="AC357" s="167">
        <v>347</v>
      </c>
      <c r="AD357" s="203">
        <v>43118</v>
      </c>
      <c r="AE357" s="203">
        <v>43133</v>
      </c>
      <c r="AF357" s="167" t="s">
        <v>3470</v>
      </c>
    </row>
    <row r="358" spans="16:32" x14ac:dyDescent="0.25">
      <c r="P358" s="167" t="s">
        <v>739</v>
      </c>
      <c r="Q358" s="167">
        <v>353</v>
      </c>
      <c r="R358" s="167" t="s">
        <v>3407</v>
      </c>
      <c r="S358" s="167" t="s">
        <v>1915</v>
      </c>
      <c r="T358" s="167">
        <v>5</v>
      </c>
      <c r="U358" s="167" t="s">
        <v>1916</v>
      </c>
      <c r="V358" s="167" t="s">
        <v>3409</v>
      </c>
      <c r="AB358" s="167" t="s">
        <v>1660</v>
      </c>
      <c r="AC358" s="167">
        <v>340</v>
      </c>
      <c r="AD358" s="203">
        <v>43133</v>
      </c>
      <c r="AE358" s="203">
        <v>43168</v>
      </c>
      <c r="AF358" s="167" t="s">
        <v>3470</v>
      </c>
    </row>
    <row r="359" spans="16:32" x14ac:dyDescent="0.25">
      <c r="P359" s="167" t="s">
        <v>739</v>
      </c>
      <c r="Q359" s="167">
        <v>353</v>
      </c>
      <c r="R359" s="167" t="s">
        <v>3407</v>
      </c>
      <c r="S359" s="167" t="s">
        <v>993</v>
      </c>
      <c r="T359" s="167">
        <v>92</v>
      </c>
      <c r="U359" s="167" t="s">
        <v>1920</v>
      </c>
      <c r="V359" s="167" t="s">
        <v>3409</v>
      </c>
      <c r="AB359" s="167" t="s">
        <v>1660</v>
      </c>
      <c r="AC359" s="167">
        <v>340</v>
      </c>
      <c r="AD359" s="203">
        <v>43133</v>
      </c>
      <c r="AE359" s="203">
        <v>43168</v>
      </c>
      <c r="AF359" s="167" t="s">
        <v>3470</v>
      </c>
    </row>
    <row r="360" spans="16:32" x14ac:dyDescent="0.25">
      <c r="P360" s="167" t="s">
        <v>739</v>
      </c>
      <c r="Q360" s="167">
        <v>353</v>
      </c>
      <c r="R360" s="167" t="s">
        <v>3407</v>
      </c>
      <c r="S360" s="167" t="s">
        <v>994</v>
      </c>
      <c r="T360" s="167">
        <v>96</v>
      </c>
      <c r="U360" s="167" t="s">
        <v>3420</v>
      </c>
      <c r="V360" s="167" t="s">
        <v>3409</v>
      </c>
      <c r="AB360" s="167" t="s">
        <v>1660</v>
      </c>
      <c r="AC360" s="167">
        <v>357</v>
      </c>
      <c r="AD360" s="203">
        <v>43139</v>
      </c>
      <c r="AE360" s="203">
        <v>43164</v>
      </c>
      <c r="AF360" s="167" t="s">
        <v>3470</v>
      </c>
    </row>
    <row r="361" spans="16:32" x14ac:dyDescent="0.25">
      <c r="P361" s="167" t="s">
        <v>739</v>
      </c>
      <c r="Q361" s="167">
        <v>353</v>
      </c>
      <c r="R361" s="167" t="s">
        <v>3407</v>
      </c>
      <c r="S361" s="167" t="s">
        <v>1921</v>
      </c>
      <c r="T361" s="167">
        <v>5</v>
      </c>
      <c r="U361" s="167" t="s">
        <v>1922</v>
      </c>
      <c r="V361" s="167" t="s">
        <v>3409</v>
      </c>
      <c r="AB361" s="167" t="s">
        <v>1660</v>
      </c>
      <c r="AC361" s="167">
        <v>364</v>
      </c>
      <c r="AD361" s="203">
        <v>43168</v>
      </c>
      <c r="AE361" s="203">
        <v>43179</v>
      </c>
      <c r="AF361" s="167" t="s">
        <v>3470</v>
      </c>
    </row>
    <row r="362" spans="16:32" x14ac:dyDescent="0.25">
      <c r="P362" s="167" t="s">
        <v>739</v>
      </c>
      <c r="Q362" s="167">
        <v>353</v>
      </c>
      <c r="R362" s="167" t="s">
        <v>3407</v>
      </c>
      <c r="S362" s="167" t="s">
        <v>995</v>
      </c>
      <c r="T362" s="167">
        <v>30</v>
      </c>
      <c r="U362" s="167" t="s">
        <v>1923</v>
      </c>
      <c r="V362" s="167" t="s">
        <v>3409</v>
      </c>
      <c r="AB362" s="167" t="s">
        <v>1660</v>
      </c>
      <c r="AC362" s="167">
        <v>353</v>
      </c>
      <c r="AD362" s="203">
        <v>43180</v>
      </c>
      <c r="AE362" s="203">
        <v>0</v>
      </c>
      <c r="AF362" s="167" t="s">
        <v>3469</v>
      </c>
    </row>
    <row r="363" spans="16:32" x14ac:dyDescent="0.25">
      <c r="P363" s="167" t="s">
        <v>739</v>
      </c>
      <c r="Q363" s="167">
        <v>353</v>
      </c>
      <c r="R363" s="167" t="s">
        <v>3407</v>
      </c>
      <c r="S363" s="167" t="s">
        <v>995</v>
      </c>
      <c r="T363" s="167">
        <v>11</v>
      </c>
      <c r="U363" s="167" t="s">
        <v>1923</v>
      </c>
      <c r="V363" s="167" t="s">
        <v>3409</v>
      </c>
      <c r="AB363" s="167" t="s">
        <v>1660</v>
      </c>
      <c r="AC363" s="167">
        <v>353</v>
      </c>
      <c r="AD363" s="203">
        <v>43180</v>
      </c>
      <c r="AE363" s="203">
        <v>0</v>
      </c>
      <c r="AF363" s="167" t="s">
        <v>3469</v>
      </c>
    </row>
    <row r="364" spans="16:32" x14ac:dyDescent="0.25">
      <c r="P364" s="167" t="s">
        <v>739</v>
      </c>
      <c r="Q364" s="167">
        <v>353</v>
      </c>
      <c r="R364" s="167" t="s">
        <v>3407</v>
      </c>
      <c r="S364" s="167" t="s">
        <v>995</v>
      </c>
      <c r="T364" s="167">
        <v>25</v>
      </c>
      <c r="U364" s="167" t="s">
        <v>1923</v>
      </c>
      <c r="V364" s="167" t="s">
        <v>3409</v>
      </c>
      <c r="AB364" s="167" t="s">
        <v>1662</v>
      </c>
      <c r="AC364" s="167">
        <v>347</v>
      </c>
      <c r="AD364" s="203">
        <v>43118</v>
      </c>
      <c r="AE364" s="203">
        <v>43133</v>
      </c>
      <c r="AF364" s="167" t="s">
        <v>3470</v>
      </c>
    </row>
    <row r="365" spans="16:32" x14ac:dyDescent="0.25">
      <c r="P365" s="167" t="s">
        <v>739</v>
      </c>
      <c r="Q365" s="167">
        <v>353</v>
      </c>
      <c r="R365" s="167" t="s">
        <v>3407</v>
      </c>
      <c r="S365" s="167" t="s">
        <v>996</v>
      </c>
      <c r="T365" s="167">
        <v>40</v>
      </c>
      <c r="U365" s="167" t="s">
        <v>1924</v>
      </c>
      <c r="V365" s="167" t="s">
        <v>3409</v>
      </c>
      <c r="AB365" s="167" t="s">
        <v>1662</v>
      </c>
      <c r="AC365" s="167">
        <v>340</v>
      </c>
      <c r="AD365" s="203">
        <v>43133</v>
      </c>
      <c r="AE365" s="203">
        <v>43168</v>
      </c>
      <c r="AF365" s="167" t="s">
        <v>3470</v>
      </c>
    </row>
    <row r="366" spans="16:32" x14ac:dyDescent="0.25">
      <c r="P366" s="167" t="s">
        <v>739</v>
      </c>
      <c r="Q366" s="167">
        <v>353</v>
      </c>
      <c r="R366" s="167" t="s">
        <v>3407</v>
      </c>
      <c r="S366" s="167" t="s">
        <v>996</v>
      </c>
      <c r="T366" s="167">
        <v>13</v>
      </c>
      <c r="U366" s="167" t="s">
        <v>1924</v>
      </c>
      <c r="V366" s="167" t="s">
        <v>3409</v>
      </c>
      <c r="AB366" s="167" t="s">
        <v>1662</v>
      </c>
      <c r="AC366" s="167">
        <v>340</v>
      </c>
      <c r="AD366" s="203">
        <v>43133</v>
      </c>
      <c r="AE366" s="203">
        <v>43168</v>
      </c>
      <c r="AF366" s="167" t="s">
        <v>3470</v>
      </c>
    </row>
    <row r="367" spans="16:32" x14ac:dyDescent="0.25">
      <c r="P367" s="167" t="s">
        <v>739</v>
      </c>
      <c r="Q367" s="167">
        <v>353</v>
      </c>
      <c r="R367" s="167" t="s">
        <v>3407</v>
      </c>
      <c r="S367" s="167" t="s">
        <v>1925</v>
      </c>
      <c r="T367" s="167">
        <v>5</v>
      </c>
      <c r="U367" s="167" t="s">
        <v>1926</v>
      </c>
      <c r="V367" s="167" t="s">
        <v>3409</v>
      </c>
      <c r="AB367" s="167" t="s">
        <v>1662</v>
      </c>
      <c r="AC367" s="167">
        <v>364</v>
      </c>
      <c r="AD367" s="203">
        <v>43168</v>
      </c>
      <c r="AE367" s="203">
        <v>43179</v>
      </c>
      <c r="AF367" s="167" t="s">
        <v>3470</v>
      </c>
    </row>
    <row r="368" spans="16:32" x14ac:dyDescent="0.25">
      <c r="P368" s="167" t="s">
        <v>739</v>
      </c>
      <c r="Q368" s="167">
        <v>353</v>
      </c>
      <c r="R368" s="167" t="s">
        <v>3407</v>
      </c>
      <c r="S368" s="167" t="s">
        <v>1925</v>
      </c>
      <c r="T368" s="167">
        <v>5</v>
      </c>
      <c r="U368" s="167" t="s">
        <v>1926</v>
      </c>
      <c r="V368" s="167" t="s">
        <v>3409</v>
      </c>
      <c r="AB368" s="167" t="s">
        <v>1662</v>
      </c>
      <c r="AC368" s="167">
        <v>353</v>
      </c>
      <c r="AD368" s="203">
        <v>43180</v>
      </c>
      <c r="AE368" s="203">
        <v>0</v>
      </c>
      <c r="AF368" s="167" t="s">
        <v>3469</v>
      </c>
    </row>
    <row r="369" spans="16:32" x14ac:dyDescent="0.25">
      <c r="P369" s="167" t="s">
        <v>739</v>
      </c>
      <c r="Q369" s="167">
        <v>353</v>
      </c>
      <c r="R369" s="167" t="s">
        <v>3407</v>
      </c>
      <c r="S369" s="167" t="s">
        <v>1925</v>
      </c>
      <c r="T369" s="167">
        <v>11</v>
      </c>
      <c r="U369" s="167" t="s">
        <v>1926</v>
      </c>
      <c r="V369" s="167" t="s">
        <v>3409</v>
      </c>
      <c r="AB369" s="167" t="s">
        <v>1662</v>
      </c>
      <c r="AC369" s="167">
        <v>353</v>
      </c>
      <c r="AD369" s="203">
        <v>43180</v>
      </c>
      <c r="AE369" s="203">
        <v>0</v>
      </c>
      <c r="AF369" s="167" t="s">
        <v>3469</v>
      </c>
    </row>
    <row r="370" spans="16:32" x14ac:dyDescent="0.25">
      <c r="P370" s="167" t="s">
        <v>739</v>
      </c>
      <c r="Q370" s="167">
        <v>353</v>
      </c>
      <c r="R370" s="167" t="s">
        <v>3407</v>
      </c>
      <c r="S370" s="167" t="s">
        <v>1927</v>
      </c>
      <c r="T370" s="167">
        <v>1</v>
      </c>
      <c r="U370" s="167" t="s">
        <v>1928</v>
      </c>
      <c r="V370" s="167" t="s">
        <v>3409</v>
      </c>
      <c r="AB370" s="167" t="s">
        <v>1662</v>
      </c>
      <c r="AC370" s="167">
        <v>353</v>
      </c>
      <c r="AD370" s="203">
        <v>43180</v>
      </c>
      <c r="AE370" s="203">
        <v>0</v>
      </c>
      <c r="AF370" s="167" t="s">
        <v>3469</v>
      </c>
    </row>
    <row r="371" spans="16:32" x14ac:dyDescent="0.25">
      <c r="P371" s="167" t="s">
        <v>739</v>
      </c>
      <c r="Q371" s="167">
        <v>353</v>
      </c>
      <c r="R371" s="167" t="s">
        <v>3407</v>
      </c>
      <c r="S371" s="167" t="s">
        <v>1927</v>
      </c>
      <c r="T371" s="167">
        <v>1</v>
      </c>
      <c r="U371" s="167" t="s">
        <v>1928</v>
      </c>
      <c r="V371" s="167" t="s">
        <v>3409</v>
      </c>
      <c r="AB371" s="167" t="s">
        <v>1664</v>
      </c>
      <c r="AC371" s="167">
        <v>364</v>
      </c>
      <c r="AD371" s="203">
        <v>43168</v>
      </c>
      <c r="AE371" s="203">
        <v>43179</v>
      </c>
      <c r="AF371" s="167" t="s">
        <v>3470</v>
      </c>
    </row>
    <row r="372" spans="16:32" x14ac:dyDescent="0.25">
      <c r="P372" s="167" t="s">
        <v>739</v>
      </c>
      <c r="Q372" s="167">
        <v>353</v>
      </c>
      <c r="R372" s="167" t="s">
        <v>3407</v>
      </c>
      <c r="S372" s="167" t="s">
        <v>1930</v>
      </c>
      <c r="T372" s="167">
        <v>1</v>
      </c>
      <c r="U372" s="167" t="s">
        <v>1931</v>
      </c>
      <c r="V372" s="167" t="s">
        <v>3409</v>
      </c>
      <c r="AB372" s="167" t="s">
        <v>1664</v>
      </c>
      <c r="AC372" s="167">
        <v>353</v>
      </c>
      <c r="AD372" s="203">
        <v>43180</v>
      </c>
      <c r="AE372" s="203">
        <v>0</v>
      </c>
      <c r="AF372" s="167" t="s">
        <v>3469</v>
      </c>
    </row>
    <row r="373" spans="16:32" x14ac:dyDescent="0.25">
      <c r="P373" s="167" t="s">
        <v>739</v>
      </c>
      <c r="Q373" s="167">
        <v>353</v>
      </c>
      <c r="R373" s="167" t="s">
        <v>3407</v>
      </c>
      <c r="S373" s="167" t="s">
        <v>1930</v>
      </c>
      <c r="T373" s="167">
        <v>155</v>
      </c>
      <c r="U373" s="167" t="s">
        <v>1931</v>
      </c>
      <c r="V373" s="167" t="s">
        <v>3409</v>
      </c>
      <c r="AB373" s="167" t="s">
        <v>1666</v>
      </c>
      <c r="AC373" s="167">
        <v>364</v>
      </c>
      <c r="AD373" s="203">
        <v>43168</v>
      </c>
      <c r="AE373" s="203">
        <v>43179</v>
      </c>
      <c r="AF373" s="167" t="s">
        <v>3470</v>
      </c>
    </row>
    <row r="374" spans="16:32" x14ac:dyDescent="0.25">
      <c r="P374" s="167" t="s">
        <v>739</v>
      </c>
      <c r="Q374" s="167">
        <v>353</v>
      </c>
      <c r="R374" s="167" t="s">
        <v>3407</v>
      </c>
      <c r="S374" s="167" t="s">
        <v>1930</v>
      </c>
      <c r="T374" s="167">
        <v>20</v>
      </c>
      <c r="U374" s="167" t="s">
        <v>1931</v>
      </c>
      <c r="V374" s="167" t="s">
        <v>3409</v>
      </c>
      <c r="AB374" s="167" t="s">
        <v>1666</v>
      </c>
      <c r="AC374" s="167">
        <v>353</v>
      </c>
      <c r="AD374" s="203">
        <v>43180</v>
      </c>
      <c r="AE374" s="203">
        <v>0</v>
      </c>
      <c r="AF374" s="167" t="s">
        <v>3469</v>
      </c>
    </row>
    <row r="375" spans="16:32" x14ac:dyDescent="0.25">
      <c r="P375" s="167" t="s">
        <v>739</v>
      </c>
      <c r="Q375" s="167">
        <v>353</v>
      </c>
      <c r="R375" s="167" t="s">
        <v>3407</v>
      </c>
      <c r="S375" s="167" t="s">
        <v>1930</v>
      </c>
      <c r="T375" s="167">
        <v>35</v>
      </c>
      <c r="U375" s="167" t="s">
        <v>1931</v>
      </c>
      <c r="V375" s="167" t="s">
        <v>3409</v>
      </c>
      <c r="AB375" s="167" t="s">
        <v>1668</v>
      </c>
      <c r="AC375" s="167">
        <v>357</v>
      </c>
      <c r="AD375" s="203">
        <v>43139</v>
      </c>
      <c r="AE375" s="203">
        <v>43164</v>
      </c>
      <c r="AF375" s="167" t="s">
        <v>3470</v>
      </c>
    </row>
    <row r="376" spans="16:32" x14ac:dyDescent="0.25">
      <c r="P376" s="167" t="s">
        <v>739</v>
      </c>
      <c r="Q376" s="167">
        <v>353</v>
      </c>
      <c r="R376" s="167" t="s">
        <v>3407</v>
      </c>
      <c r="S376" s="167" t="s">
        <v>1930</v>
      </c>
      <c r="T376" s="167">
        <v>7</v>
      </c>
      <c r="U376" s="167" t="s">
        <v>1931</v>
      </c>
      <c r="V376" s="167" t="s">
        <v>3409</v>
      </c>
      <c r="AB376" s="167" t="s">
        <v>1668</v>
      </c>
      <c r="AC376" s="167">
        <v>353</v>
      </c>
      <c r="AD376" s="203">
        <v>43180</v>
      </c>
      <c r="AE376" s="203">
        <v>0</v>
      </c>
      <c r="AF376" s="167" t="s">
        <v>3469</v>
      </c>
    </row>
    <row r="377" spans="16:32" x14ac:dyDescent="0.25">
      <c r="P377" s="167" t="s">
        <v>739</v>
      </c>
      <c r="Q377" s="167">
        <v>353</v>
      </c>
      <c r="R377" s="167" t="s">
        <v>3407</v>
      </c>
      <c r="S377" s="167" t="s">
        <v>998</v>
      </c>
      <c r="T377" s="167">
        <v>36</v>
      </c>
      <c r="U377" s="167" t="s">
        <v>1933</v>
      </c>
      <c r="V377" s="167" t="s">
        <v>3409</v>
      </c>
      <c r="AB377" s="167" t="s">
        <v>1670</v>
      </c>
      <c r="AC377" s="167">
        <v>327</v>
      </c>
      <c r="AD377" s="203">
        <v>43074</v>
      </c>
      <c r="AE377" s="203">
        <v>43131</v>
      </c>
      <c r="AF377" s="167" t="s">
        <v>3470</v>
      </c>
    </row>
    <row r="378" spans="16:32" x14ac:dyDescent="0.25">
      <c r="P378" s="167" t="s">
        <v>739</v>
      </c>
      <c r="Q378" s="167">
        <v>353</v>
      </c>
      <c r="R378" s="167" t="s">
        <v>3407</v>
      </c>
      <c r="S378" s="167" t="s">
        <v>998</v>
      </c>
      <c r="T378" s="167">
        <v>200</v>
      </c>
      <c r="U378" s="167" t="s">
        <v>1933</v>
      </c>
      <c r="V378" s="167" t="s">
        <v>3409</v>
      </c>
      <c r="AB378" s="167" t="s">
        <v>1670</v>
      </c>
      <c r="AC378" s="167">
        <v>347</v>
      </c>
      <c r="AD378" s="203">
        <v>43118</v>
      </c>
      <c r="AE378" s="203">
        <v>43133</v>
      </c>
      <c r="AF378" s="167" t="s">
        <v>3470</v>
      </c>
    </row>
    <row r="379" spans="16:32" x14ac:dyDescent="0.25">
      <c r="P379" s="167" t="s">
        <v>739</v>
      </c>
      <c r="Q379" s="167">
        <v>353</v>
      </c>
      <c r="R379" s="167" t="s">
        <v>3407</v>
      </c>
      <c r="S379" s="167" t="s">
        <v>1936</v>
      </c>
      <c r="T379" s="167">
        <v>5</v>
      </c>
      <c r="U379" s="167" t="s">
        <v>1937</v>
      </c>
      <c r="V379" s="167" t="s">
        <v>3409</v>
      </c>
      <c r="AB379" s="167" t="s">
        <v>1670</v>
      </c>
      <c r="AC379" s="167">
        <v>340</v>
      </c>
      <c r="AD379" s="203">
        <v>43133</v>
      </c>
      <c r="AE379" s="203">
        <v>43168</v>
      </c>
      <c r="AF379" s="167" t="s">
        <v>3470</v>
      </c>
    </row>
    <row r="380" spans="16:32" x14ac:dyDescent="0.25">
      <c r="P380" s="167" t="s">
        <v>739</v>
      </c>
      <c r="Q380" s="167">
        <v>353</v>
      </c>
      <c r="R380" s="167" t="s">
        <v>3407</v>
      </c>
      <c r="S380" s="167" t="s">
        <v>1936</v>
      </c>
      <c r="T380" s="167">
        <v>6</v>
      </c>
      <c r="U380" s="167" t="s">
        <v>1937</v>
      </c>
      <c r="V380" s="167" t="s">
        <v>3409</v>
      </c>
      <c r="AB380" s="167" t="s">
        <v>1670</v>
      </c>
      <c r="AC380" s="167">
        <v>340</v>
      </c>
      <c r="AD380" s="203">
        <v>43133</v>
      </c>
      <c r="AE380" s="203">
        <v>43168</v>
      </c>
      <c r="AF380" s="167" t="s">
        <v>3470</v>
      </c>
    </row>
    <row r="381" spans="16:32" x14ac:dyDescent="0.25">
      <c r="P381" s="167" t="s">
        <v>739</v>
      </c>
      <c r="Q381" s="167">
        <v>353</v>
      </c>
      <c r="R381" s="167" t="s">
        <v>3407</v>
      </c>
      <c r="S381" s="167" t="s">
        <v>1936</v>
      </c>
      <c r="T381" s="167">
        <v>7</v>
      </c>
      <c r="U381" s="167" t="s">
        <v>1937</v>
      </c>
      <c r="V381" s="167" t="s">
        <v>3409</v>
      </c>
      <c r="AB381" s="167" t="s">
        <v>1670</v>
      </c>
      <c r="AC381" s="167">
        <v>357</v>
      </c>
      <c r="AD381" s="203">
        <v>43139</v>
      </c>
      <c r="AE381" s="203">
        <v>43164</v>
      </c>
      <c r="AF381" s="167" t="s">
        <v>3470</v>
      </c>
    </row>
    <row r="382" spans="16:32" x14ac:dyDescent="0.25">
      <c r="P382" s="167" t="s">
        <v>739</v>
      </c>
      <c r="Q382" s="167">
        <v>353</v>
      </c>
      <c r="R382" s="167" t="s">
        <v>3407</v>
      </c>
      <c r="S382" s="167" t="s">
        <v>1938</v>
      </c>
      <c r="T382" s="167">
        <v>38</v>
      </c>
      <c r="U382" s="167" t="s">
        <v>1939</v>
      </c>
      <c r="V382" s="167" t="s">
        <v>3409</v>
      </c>
      <c r="AB382" s="167" t="s">
        <v>1670</v>
      </c>
      <c r="AC382" s="167">
        <v>364</v>
      </c>
      <c r="AD382" s="203">
        <v>43168</v>
      </c>
      <c r="AE382" s="203">
        <v>43179</v>
      </c>
      <c r="AF382" s="167" t="s">
        <v>3470</v>
      </c>
    </row>
    <row r="383" spans="16:32" x14ac:dyDescent="0.25">
      <c r="P383" s="167" t="s">
        <v>739</v>
      </c>
      <c r="Q383" s="167">
        <v>353</v>
      </c>
      <c r="R383" s="167" t="s">
        <v>3407</v>
      </c>
      <c r="S383" s="167" t="s">
        <v>1938</v>
      </c>
      <c r="T383" s="167">
        <v>102</v>
      </c>
      <c r="U383" s="167" t="s">
        <v>1939</v>
      </c>
      <c r="V383" s="167" t="s">
        <v>3409</v>
      </c>
      <c r="AB383" s="167" t="s">
        <v>1670</v>
      </c>
      <c r="AC383" s="167">
        <v>353</v>
      </c>
      <c r="AD383" s="203">
        <v>43180</v>
      </c>
      <c r="AE383" s="203">
        <v>0</v>
      </c>
      <c r="AF383" s="167" t="s">
        <v>3469</v>
      </c>
    </row>
    <row r="384" spans="16:32" x14ac:dyDescent="0.25">
      <c r="P384" s="167" t="s">
        <v>739</v>
      </c>
      <c r="Q384" s="167">
        <v>353</v>
      </c>
      <c r="R384" s="167" t="s">
        <v>3407</v>
      </c>
      <c r="S384" s="167" t="s">
        <v>999</v>
      </c>
      <c r="T384" s="167">
        <v>60</v>
      </c>
      <c r="U384" s="167" t="s">
        <v>1940</v>
      </c>
      <c r="V384" s="167" t="s">
        <v>3409</v>
      </c>
      <c r="AB384" s="167" t="s">
        <v>1670</v>
      </c>
      <c r="AC384" s="167">
        <v>353</v>
      </c>
      <c r="AD384" s="203">
        <v>43180</v>
      </c>
      <c r="AE384" s="203">
        <v>0</v>
      </c>
      <c r="AF384" s="167" t="s">
        <v>3469</v>
      </c>
    </row>
    <row r="385" spans="16:32" x14ac:dyDescent="0.25">
      <c r="P385" s="167" t="s">
        <v>739</v>
      </c>
      <c r="Q385" s="167">
        <v>353</v>
      </c>
      <c r="R385" s="167" t="s">
        <v>3407</v>
      </c>
      <c r="S385" s="167" t="s">
        <v>999</v>
      </c>
      <c r="T385" s="167">
        <v>71</v>
      </c>
      <c r="U385" s="167" t="s">
        <v>1940</v>
      </c>
      <c r="V385" s="167" t="s">
        <v>3409</v>
      </c>
      <c r="AB385" s="167" t="s">
        <v>1670</v>
      </c>
      <c r="AC385" s="167">
        <v>353</v>
      </c>
      <c r="AD385" s="203">
        <v>43180</v>
      </c>
      <c r="AE385" s="203">
        <v>0</v>
      </c>
      <c r="AF385" s="167" t="s">
        <v>3469</v>
      </c>
    </row>
    <row r="386" spans="16:32" x14ac:dyDescent="0.25">
      <c r="P386" s="167" t="s">
        <v>739</v>
      </c>
      <c r="Q386" s="167">
        <v>353</v>
      </c>
      <c r="R386" s="167" t="s">
        <v>3407</v>
      </c>
      <c r="S386" s="167" t="s">
        <v>1000</v>
      </c>
      <c r="T386" s="167">
        <v>34</v>
      </c>
      <c r="U386" s="167" t="s">
        <v>1941</v>
      </c>
      <c r="V386" s="167" t="s">
        <v>3409</v>
      </c>
      <c r="AB386" s="167" t="s">
        <v>1670</v>
      </c>
      <c r="AC386" s="167">
        <v>353</v>
      </c>
      <c r="AD386" s="203">
        <v>43180</v>
      </c>
      <c r="AE386" s="203">
        <v>0</v>
      </c>
      <c r="AF386" s="167" t="s">
        <v>3469</v>
      </c>
    </row>
    <row r="387" spans="16:32" x14ac:dyDescent="0.25">
      <c r="P387" s="167" t="s">
        <v>739</v>
      </c>
      <c r="Q387" s="167">
        <v>353</v>
      </c>
      <c r="R387" s="167" t="s">
        <v>3407</v>
      </c>
      <c r="S387" s="167" t="s">
        <v>1000</v>
      </c>
      <c r="T387" s="167">
        <v>25</v>
      </c>
      <c r="U387" s="167" t="s">
        <v>1941</v>
      </c>
      <c r="V387" s="167" t="s">
        <v>3409</v>
      </c>
      <c r="AB387" s="167" t="s">
        <v>1672</v>
      </c>
      <c r="AC387" s="167">
        <v>327</v>
      </c>
      <c r="AD387" s="203">
        <v>43074</v>
      </c>
      <c r="AE387" s="203">
        <v>43131</v>
      </c>
      <c r="AF387" s="167" t="s">
        <v>3470</v>
      </c>
    </row>
    <row r="388" spans="16:32" x14ac:dyDescent="0.25">
      <c r="P388" s="167" t="s">
        <v>739</v>
      </c>
      <c r="Q388" s="167">
        <v>353</v>
      </c>
      <c r="R388" s="167" t="s">
        <v>3407</v>
      </c>
      <c r="S388" s="167" t="s">
        <v>1942</v>
      </c>
      <c r="T388" s="167">
        <v>4</v>
      </c>
      <c r="U388" s="167" t="s">
        <v>1943</v>
      </c>
      <c r="V388" s="167" t="s">
        <v>3409</v>
      </c>
      <c r="AB388" s="167" t="s">
        <v>1672</v>
      </c>
      <c r="AC388" s="167">
        <v>353</v>
      </c>
      <c r="AD388" s="203">
        <v>43180</v>
      </c>
      <c r="AE388" s="203">
        <v>0</v>
      </c>
      <c r="AF388" s="167" t="s">
        <v>3469</v>
      </c>
    </row>
    <row r="389" spans="16:32" x14ac:dyDescent="0.25">
      <c r="P389" s="167" t="s">
        <v>739</v>
      </c>
      <c r="Q389" s="167">
        <v>353</v>
      </c>
      <c r="R389" s="167" t="s">
        <v>3407</v>
      </c>
      <c r="S389" s="167" t="s">
        <v>1001</v>
      </c>
      <c r="T389" s="167">
        <v>3</v>
      </c>
      <c r="U389" s="167" t="s">
        <v>1948</v>
      </c>
      <c r="V389" s="167" t="s">
        <v>3409</v>
      </c>
      <c r="AB389" s="167" t="s">
        <v>1674</v>
      </c>
      <c r="AC389" s="167">
        <v>323</v>
      </c>
      <c r="AD389" s="203">
        <v>43074</v>
      </c>
      <c r="AE389" s="203">
        <v>43111</v>
      </c>
      <c r="AF389" s="167" t="s">
        <v>3470</v>
      </c>
    </row>
    <row r="390" spans="16:32" x14ac:dyDescent="0.25">
      <c r="P390" s="167" t="s">
        <v>739</v>
      </c>
      <c r="Q390" s="167">
        <v>353</v>
      </c>
      <c r="R390" s="167" t="s">
        <v>3407</v>
      </c>
      <c r="S390" s="167" t="s">
        <v>1001</v>
      </c>
      <c r="T390" s="167">
        <v>12</v>
      </c>
      <c r="U390" s="167" t="s">
        <v>1948</v>
      </c>
      <c r="V390" s="167" t="s">
        <v>3409</v>
      </c>
      <c r="AB390" s="167" t="s">
        <v>1674</v>
      </c>
      <c r="AC390" s="167">
        <v>364</v>
      </c>
      <c r="AD390" s="203">
        <v>43168</v>
      </c>
      <c r="AE390" s="203">
        <v>43179</v>
      </c>
      <c r="AF390" s="167" t="s">
        <v>3470</v>
      </c>
    </row>
    <row r="391" spans="16:32" x14ac:dyDescent="0.25">
      <c r="P391" s="167" t="s">
        <v>739</v>
      </c>
      <c r="Q391" s="167">
        <v>353</v>
      </c>
      <c r="R391" s="167" t="s">
        <v>3407</v>
      </c>
      <c r="S391" s="167" t="s">
        <v>1001</v>
      </c>
      <c r="T391" s="167">
        <v>27</v>
      </c>
      <c r="U391" s="167" t="s">
        <v>1948</v>
      </c>
      <c r="V391" s="167" t="s">
        <v>3409</v>
      </c>
      <c r="AB391" s="167" t="s">
        <v>1674</v>
      </c>
      <c r="AC391" s="167">
        <v>353</v>
      </c>
      <c r="AD391" s="203">
        <v>43180</v>
      </c>
      <c r="AE391" s="203">
        <v>0</v>
      </c>
      <c r="AF391" s="167" t="s">
        <v>3469</v>
      </c>
    </row>
    <row r="392" spans="16:32" x14ac:dyDescent="0.25">
      <c r="P392" s="167" t="s">
        <v>739</v>
      </c>
      <c r="Q392" s="167">
        <v>353</v>
      </c>
      <c r="R392" s="167" t="s">
        <v>3407</v>
      </c>
      <c r="S392" s="167" t="s">
        <v>1001</v>
      </c>
      <c r="T392" s="167">
        <v>72</v>
      </c>
      <c r="U392" s="167" t="s">
        <v>1948</v>
      </c>
      <c r="V392" s="167" t="s">
        <v>3409</v>
      </c>
      <c r="AB392" s="167" t="s">
        <v>1674</v>
      </c>
      <c r="AC392" s="167">
        <v>353</v>
      </c>
      <c r="AD392" s="203">
        <v>43180</v>
      </c>
      <c r="AE392" s="203">
        <v>0</v>
      </c>
      <c r="AF392" s="167" t="s">
        <v>3469</v>
      </c>
    </row>
    <row r="393" spans="16:32" x14ac:dyDescent="0.25">
      <c r="P393" s="167" t="s">
        <v>739</v>
      </c>
      <c r="Q393" s="167">
        <v>353</v>
      </c>
      <c r="R393" s="167" t="s">
        <v>3407</v>
      </c>
      <c r="S393" s="167" t="s">
        <v>1001</v>
      </c>
      <c r="T393" s="167">
        <v>12</v>
      </c>
      <c r="U393" s="167" t="s">
        <v>1948</v>
      </c>
      <c r="V393" s="167" t="s">
        <v>3409</v>
      </c>
      <c r="AB393" s="167" t="s">
        <v>1676</v>
      </c>
      <c r="AC393" s="167">
        <v>327</v>
      </c>
      <c r="AD393" s="203">
        <v>43074</v>
      </c>
      <c r="AE393" s="203">
        <v>43131</v>
      </c>
      <c r="AF393" s="167" t="s">
        <v>3470</v>
      </c>
    </row>
    <row r="394" spans="16:32" x14ac:dyDescent="0.25">
      <c r="P394" s="167" t="s">
        <v>739</v>
      </c>
      <c r="Q394" s="167">
        <v>353</v>
      </c>
      <c r="R394" s="167" t="s">
        <v>3407</v>
      </c>
      <c r="S394" s="167" t="s">
        <v>1001</v>
      </c>
      <c r="T394" s="167">
        <v>5</v>
      </c>
      <c r="U394" s="167" t="s">
        <v>1948</v>
      </c>
      <c r="V394" s="167" t="s">
        <v>3409</v>
      </c>
      <c r="AB394" s="167" t="s">
        <v>1676</v>
      </c>
      <c r="AC394" s="167">
        <v>335</v>
      </c>
      <c r="AD394" s="203">
        <v>43133</v>
      </c>
      <c r="AE394" s="203">
        <v>43147</v>
      </c>
      <c r="AF394" s="167" t="s">
        <v>3470</v>
      </c>
    </row>
    <row r="395" spans="16:32" x14ac:dyDescent="0.25">
      <c r="P395" s="167" t="s">
        <v>739</v>
      </c>
      <c r="Q395" s="167">
        <v>353</v>
      </c>
      <c r="R395" s="167" t="s">
        <v>3407</v>
      </c>
      <c r="S395" s="167" t="s">
        <v>1949</v>
      </c>
      <c r="T395" s="167">
        <v>7</v>
      </c>
      <c r="U395" s="167" t="s">
        <v>1950</v>
      </c>
      <c r="V395" s="167" t="s">
        <v>3409</v>
      </c>
      <c r="AB395" s="167" t="s">
        <v>1676</v>
      </c>
      <c r="AC395" s="167">
        <v>353</v>
      </c>
      <c r="AD395" s="203">
        <v>43180</v>
      </c>
      <c r="AE395" s="203">
        <v>0</v>
      </c>
      <c r="AF395" s="167" t="s">
        <v>3469</v>
      </c>
    </row>
    <row r="396" spans="16:32" x14ac:dyDescent="0.25">
      <c r="P396" s="167" t="s">
        <v>739</v>
      </c>
      <c r="Q396" s="167">
        <v>353</v>
      </c>
      <c r="R396" s="167" t="s">
        <v>3407</v>
      </c>
      <c r="S396" s="167" t="s">
        <v>1953</v>
      </c>
      <c r="T396" s="167">
        <v>6</v>
      </c>
      <c r="U396" s="167" t="s">
        <v>1954</v>
      </c>
      <c r="V396" s="167" t="s">
        <v>3409</v>
      </c>
      <c r="AB396" s="167" t="s">
        <v>1676</v>
      </c>
      <c r="AC396" s="167">
        <v>353</v>
      </c>
      <c r="AD396" s="203">
        <v>43180</v>
      </c>
      <c r="AE396" s="203">
        <v>0</v>
      </c>
      <c r="AF396" s="167" t="s">
        <v>3469</v>
      </c>
    </row>
    <row r="397" spans="16:32" x14ac:dyDescent="0.25">
      <c r="P397" s="167" t="s">
        <v>739</v>
      </c>
      <c r="Q397" s="167">
        <v>353</v>
      </c>
      <c r="R397" s="167" t="s">
        <v>3407</v>
      </c>
      <c r="S397" s="167" t="s">
        <v>1957</v>
      </c>
      <c r="T397" s="167">
        <v>8</v>
      </c>
      <c r="U397" s="167" t="s">
        <v>1958</v>
      </c>
      <c r="V397" s="167" t="s">
        <v>3409</v>
      </c>
      <c r="AB397" s="167" t="s">
        <v>1676</v>
      </c>
      <c r="AC397" s="167">
        <v>353</v>
      </c>
      <c r="AD397" s="203">
        <v>43180</v>
      </c>
      <c r="AE397" s="203">
        <v>0</v>
      </c>
      <c r="AF397" s="167" t="s">
        <v>3469</v>
      </c>
    </row>
    <row r="398" spans="16:32" x14ac:dyDescent="0.25">
      <c r="P398" s="167" t="s">
        <v>739</v>
      </c>
      <c r="Q398" s="167">
        <v>353</v>
      </c>
      <c r="R398" s="167" t="s">
        <v>3407</v>
      </c>
      <c r="S398" s="167" t="s">
        <v>1960</v>
      </c>
      <c r="T398" s="167">
        <v>4</v>
      </c>
      <c r="U398" s="167" t="s">
        <v>1961</v>
      </c>
      <c r="V398" s="167" t="s">
        <v>3409</v>
      </c>
      <c r="AB398" s="167" t="s">
        <v>1677</v>
      </c>
      <c r="AC398" s="167">
        <v>347</v>
      </c>
      <c r="AD398" s="203">
        <v>43118</v>
      </c>
      <c r="AE398" s="203">
        <v>43133</v>
      </c>
      <c r="AF398" s="167" t="s">
        <v>3470</v>
      </c>
    </row>
    <row r="399" spans="16:32" x14ac:dyDescent="0.25">
      <c r="P399" s="167" t="s">
        <v>739</v>
      </c>
      <c r="Q399" s="167">
        <v>353</v>
      </c>
      <c r="R399" s="167" t="s">
        <v>3407</v>
      </c>
      <c r="S399" s="167" t="s">
        <v>1962</v>
      </c>
      <c r="T399" s="167">
        <v>8</v>
      </c>
      <c r="U399" s="167" t="s">
        <v>1963</v>
      </c>
      <c r="V399" s="167" t="s">
        <v>3409</v>
      </c>
      <c r="AB399" s="167" t="s">
        <v>1677</v>
      </c>
      <c r="AC399" s="167">
        <v>340</v>
      </c>
      <c r="AD399" s="203">
        <v>43133</v>
      </c>
      <c r="AE399" s="203">
        <v>43168</v>
      </c>
      <c r="AF399" s="167" t="s">
        <v>3470</v>
      </c>
    </row>
    <row r="400" spans="16:32" x14ac:dyDescent="0.25">
      <c r="P400" s="167" t="s">
        <v>739</v>
      </c>
      <c r="Q400" s="167">
        <v>353</v>
      </c>
      <c r="R400" s="167" t="s">
        <v>3407</v>
      </c>
      <c r="S400" s="167" t="s">
        <v>1962</v>
      </c>
      <c r="T400" s="167">
        <v>19</v>
      </c>
      <c r="U400" s="167" t="s">
        <v>1963</v>
      </c>
      <c r="V400" s="167" t="s">
        <v>3409</v>
      </c>
      <c r="AB400" s="167" t="s">
        <v>1679</v>
      </c>
      <c r="AC400" s="167">
        <v>364</v>
      </c>
      <c r="AD400" s="203">
        <v>43168</v>
      </c>
      <c r="AE400" s="203">
        <v>43179</v>
      </c>
      <c r="AF400" s="167" t="s">
        <v>3470</v>
      </c>
    </row>
    <row r="401" spans="16:32" x14ac:dyDescent="0.25">
      <c r="P401" s="167" t="s">
        <v>739</v>
      </c>
      <c r="Q401" s="167">
        <v>353</v>
      </c>
      <c r="R401" s="167" t="s">
        <v>3407</v>
      </c>
      <c r="S401" s="167" t="s">
        <v>1962</v>
      </c>
      <c r="T401" s="167">
        <v>105</v>
      </c>
      <c r="U401" s="167" t="s">
        <v>1963</v>
      </c>
      <c r="V401" s="167" t="s">
        <v>3409</v>
      </c>
      <c r="AB401" s="167" t="s">
        <v>1679</v>
      </c>
      <c r="AC401" s="167">
        <v>353</v>
      </c>
      <c r="AD401" s="203">
        <v>43180</v>
      </c>
      <c r="AE401" s="203">
        <v>0</v>
      </c>
      <c r="AF401" s="167" t="s">
        <v>3469</v>
      </c>
    </row>
    <row r="402" spans="16:32" x14ac:dyDescent="0.25">
      <c r="P402" s="167" t="s">
        <v>739</v>
      </c>
      <c r="Q402" s="167">
        <v>353</v>
      </c>
      <c r="R402" s="167" t="s">
        <v>3407</v>
      </c>
      <c r="S402" s="167" t="s">
        <v>1964</v>
      </c>
      <c r="T402" s="167">
        <v>1</v>
      </c>
      <c r="U402" s="167" t="s">
        <v>1965</v>
      </c>
      <c r="V402" s="167" t="s">
        <v>3409</v>
      </c>
      <c r="AB402" s="167" t="s">
        <v>1679</v>
      </c>
      <c r="AC402" s="167">
        <v>353</v>
      </c>
      <c r="AD402" s="203">
        <v>43180</v>
      </c>
      <c r="AE402" s="203">
        <v>0</v>
      </c>
      <c r="AF402" s="167" t="s">
        <v>3469</v>
      </c>
    </row>
    <row r="403" spans="16:32" x14ac:dyDescent="0.25">
      <c r="P403" s="167" t="s">
        <v>739</v>
      </c>
      <c r="Q403" s="167">
        <v>353</v>
      </c>
      <c r="R403" s="167" t="s">
        <v>3407</v>
      </c>
      <c r="S403" s="167" t="s">
        <v>1966</v>
      </c>
      <c r="T403" s="167">
        <v>1</v>
      </c>
      <c r="U403" s="167" t="s">
        <v>1967</v>
      </c>
      <c r="V403" s="167" t="s">
        <v>3409</v>
      </c>
      <c r="AB403" s="167" t="s">
        <v>1680</v>
      </c>
      <c r="AC403" s="167">
        <v>323</v>
      </c>
      <c r="AD403" s="203">
        <v>43074</v>
      </c>
      <c r="AE403" s="203">
        <v>43111</v>
      </c>
      <c r="AF403" s="167" t="s">
        <v>3470</v>
      </c>
    </row>
    <row r="404" spans="16:32" x14ac:dyDescent="0.25">
      <c r="P404" s="167" t="s">
        <v>739</v>
      </c>
      <c r="Q404" s="167">
        <v>353</v>
      </c>
      <c r="R404" s="167" t="s">
        <v>3407</v>
      </c>
      <c r="S404" s="167" t="s">
        <v>1966</v>
      </c>
      <c r="T404" s="167">
        <v>10</v>
      </c>
      <c r="U404" s="167" t="s">
        <v>1967</v>
      </c>
      <c r="V404" s="167" t="s">
        <v>3409</v>
      </c>
      <c r="AB404" s="167" t="s">
        <v>1680</v>
      </c>
      <c r="AC404" s="167">
        <v>340</v>
      </c>
      <c r="AD404" s="203">
        <v>43133</v>
      </c>
      <c r="AE404" s="203">
        <v>43168</v>
      </c>
      <c r="AF404" s="167" t="s">
        <v>3470</v>
      </c>
    </row>
    <row r="405" spans="16:32" x14ac:dyDescent="0.25">
      <c r="P405" s="167" t="s">
        <v>739</v>
      </c>
      <c r="Q405" s="167">
        <v>353</v>
      </c>
      <c r="R405" s="167" t="s">
        <v>3407</v>
      </c>
      <c r="S405" s="167" t="s">
        <v>1966</v>
      </c>
      <c r="T405" s="167">
        <v>5</v>
      </c>
      <c r="U405" s="167" t="s">
        <v>1967</v>
      </c>
      <c r="V405" s="167" t="s">
        <v>3409</v>
      </c>
      <c r="AB405" s="167" t="s">
        <v>1682</v>
      </c>
      <c r="AC405" s="167">
        <v>327</v>
      </c>
      <c r="AD405" s="203">
        <v>43074</v>
      </c>
      <c r="AE405" s="203">
        <v>43131</v>
      </c>
      <c r="AF405" s="167" t="s">
        <v>3470</v>
      </c>
    </row>
    <row r="406" spans="16:32" x14ac:dyDescent="0.25">
      <c r="P406" s="167" t="s">
        <v>739</v>
      </c>
      <c r="Q406" s="167">
        <v>353</v>
      </c>
      <c r="R406" s="167" t="s">
        <v>3407</v>
      </c>
      <c r="S406" s="167" t="s">
        <v>1966</v>
      </c>
      <c r="T406" s="167">
        <v>5</v>
      </c>
      <c r="U406" s="167" t="s">
        <v>1967</v>
      </c>
      <c r="V406" s="167" t="s">
        <v>3409</v>
      </c>
      <c r="AB406" s="167" t="s">
        <v>1682</v>
      </c>
      <c r="AC406" s="167">
        <v>340</v>
      </c>
      <c r="AD406" s="203">
        <v>43133</v>
      </c>
      <c r="AE406" s="203">
        <v>43168</v>
      </c>
      <c r="AF406" s="167" t="s">
        <v>3470</v>
      </c>
    </row>
    <row r="407" spans="16:32" x14ac:dyDescent="0.25">
      <c r="P407" s="167" t="s">
        <v>739</v>
      </c>
      <c r="Q407" s="167">
        <v>353</v>
      </c>
      <c r="R407" s="167" t="s">
        <v>3407</v>
      </c>
      <c r="S407" s="167" t="s">
        <v>1968</v>
      </c>
      <c r="T407" s="167">
        <v>1</v>
      </c>
      <c r="U407" s="167" t="s">
        <v>1969</v>
      </c>
      <c r="V407" s="167" t="s">
        <v>3409</v>
      </c>
      <c r="AB407" s="167" t="s">
        <v>1682</v>
      </c>
      <c r="AC407" s="167">
        <v>357</v>
      </c>
      <c r="AD407" s="203">
        <v>43139</v>
      </c>
      <c r="AE407" s="203">
        <v>43164</v>
      </c>
      <c r="AF407" s="167" t="s">
        <v>3470</v>
      </c>
    </row>
    <row r="408" spans="16:32" x14ac:dyDescent="0.25">
      <c r="P408" s="167" t="s">
        <v>739</v>
      </c>
      <c r="Q408" s="167">
        <v>353</v>
      </c>
      <c r="R408" s="167" t="s">
        <v>3407</v>
      </c>
      <c r="S408" s="167" t="s">
        <v>1002</v>
      </c>
      <c r="T408" s="167">
        <v>100</v>
      </c>
      <c r="U408" s="167" t="s">
        <v>1970</v>
      </c>
      <c r="V408" s="167" t="s">
        <v>3409</v>
      </c>
      <c r="AB408" s="167" t="s">
        <v>1682</v>
      </c>
      <c r="AC408" s="167">
        <v>353</v>
      </c>
      <c r="AD408" s="203">
        <v>43180</v>
      </c>
      <c r="AE408" s="203">
        <v>0</v>
      </c>
      <c r="AF408" s="167" t="s">
        <v>3469</v>
      </c>
    </row>
    <row r="409" spans="16:32" x14ac:dyDescent="0.25">
      <c r="P409" s="167" t="s">
        <v>739</v>
      </c>
      <c r="Q409" s="167">
        <v>353</v>
      </c>
      <c r="R409" s="167" t="s">
        <v>3407</v>
      </c>
      <c r="S409" s="167" t="s">
        <v>1002</v>
      </c>
      <c r="T409" s="167">
        <v>5</v>
      </c>
      <c r="U409" s="167" t="s">
        <v>1970</v>
      </c>
      <c r="V409" s="167" t="s">
        <v>3409</v>
      </c>
      <c r="AB409" s="167" t="s">
        <v>1682</v>
      </c>
      <c r="AC409" s="167">
        <v>353</v>
      </c>
      <c r="AD409" s="203">
        <v>43180</v>
      </c>
      <c r="AE409" s="203">
        <v>0</v>
      </c>
      <c r="AF409" s="167" t="s">
        <v>3469</v>
      </c>
    </row>
    <row r="410" spans="16:32" x14ac:dyDescent="0.25">
      <c r="P410" s="167" t="s">
        <v>739</v>
      </c>
      <c r="Q410" s="167">
        <v>353</v>
      </c>
      <c r="R410" s="167" t="s">
        <v>3407</v>
      </c>
      <c r="S410" s="167" t="s">
        <v>1002</v>
      </c>
      <c r="T410" s="167">
        <v>5</v>
      </c>
      <c r="U410" s="167" t="s">
        <v>1970</v>
      </c>
      <c r="V410" s="167" t="s">
        <v>3409</v>
      </c>
      <c r="AB410" s="167" t="s">
        <v>1682</v>
      </c>
      <c r="AC410" s="167">
        <v>353</v>
      </c>
      <c r="AD410" s="203">
        <v>43180</v>
      </c>
      <c r="AE410" s="203">
        <v>0</v>
      </c>
      <c r="AF410" s="167" t="s">
        <v>3469</v>
      </c>
    </row>
    <row r="411" spans="16:32" x14ac:dyDescent="0.25">
      <c r="P411" s="167" t="s">
        <v>739</v>
      </c>
      <c r="Q411" s="167">
        <v>353</v>
      </c>
      <c r="R411" s="167" t="s">
        <v>3407</v>
      </c>
      <c r="S411" s="167" t="s">
        <v>1974</v>
      </c>
      <c r="T411" s="167">
        <v>10</v>
      </c>
      <c r="U411" s="167" t="s">
        <v>1975</v>
      </c>
      <c r="V411" s="167" t="s">
        <v>3409</v>
      </c>
      <c r="AB411" s="167" t="s">
        <v>1682</v>
      </c>
      <c r="AC411" s="167">
        <v>353</v>
      </c>
      <c r="AD411" s="203">
        <v>43180</v>
      </c>
      <c r="AE411" s="203">
        <v>0</v>
      </c>
      <c r="AF411" s="167" t="s">
        <v>3469</v>
      </c>
    </row>
    <row r="412" spans="16:32" x14ac:dyDescent="0.25">
      <c r="P412" s="167" t="s">
        <v>739</v>
      </c>
      <c r="Q412" s="167">
        <v>353</v>
      </c>
      <c r="R412" s="167" t="s">
        <v>3407</v>
      </c>
      <c r="S412" s="167" t="s">
        <v>1974</v>
      </c>
      <c r="T412" s="167">
        <v>8</v>
      </c>
      <c r="U412" s="167" t="s">
        <v>1975</v>
      </c>
      <c r="V412" s="167" t="s">
        <v>3409</v>
      </c>
      <c r="AB412" s="167" t="s">
        <v>1682</v>
      </c>
      <c r="AC412" s="167">
        <v>353</v>
      </c>
      <c r="AD412" s="203">
        <v>43180</v>
      </c>
      <c r="AE412" s="203">
        <v>0</v>
      </c>
      <c r="AF412" s="167" t="s">
        <v>3469</v>
      </c>
    </row>
    <row r="413" spans="16:32" x14ac:dyDescent="0.25">
      <c r="P413" s="167" t="s">
        <v>739</v>
      </c>
      <c r="Q413" s="167">
        <v>353</v>
      </c>
      <c r="R413" s="167" t="s">
        <v>3407</v>
      </c>
      <c r="S413" s="167" t="s">
        <v>1003</v>
      </c>
      <c r="T413" s="167">
        <v>50</v>
      </c>
      <c r="U413" s="167" t="s">
        <v>1976</v>
      </c>
      <c r="V413" s="167" t="s">
        <v>3409</v>
      </c>
      <c r="AB413" s="167" t="s">
        <v>1682</v>
      </c>
      <c r="AC413" s="167">
        <v>353</v>
      </c>
      <c r="AD413" s="203">
        <v>43180</v>
      </c>
      <c r="AE413" s="203">
        <v>0</v>
      </c>
      <c r="AF413" s="167" t="s">
        <v>3469</v>
      </c>
    </row>
    <row r="414" spans="16:32" x14ac:dyDescent="0.25">
      <c r="P414" s="167" t="s">
        <v>739</v>
      </c>
      <c r="Q414" s="167">
        <v>353</v>
      </c>
      <c r="R414" s="167" t="s">
        <v>3407</v>
      </c>
      <c r="S414" s="167" t="s">
        <v>1003</v>
      </c>
      <c r="T414" s="167">
        <v>11</v>
      </c>
      <c r="U414" s="167" t="s">
        <v>1976</v>
      </c>
      <c r="V414" s="167" t="s">
        <v>3409</v>
      </c>
      <c r="AB414" s="167" t="s">
        <v>1683</v>
      </c>
      <c r="AC414" s="167">
        <v>327</v>
      </c>
      <c r="AD414" s="203">
        <v>43074</v>
      </c>
      <c r="AE414" s="203">
        <v>43131</v>
      </c>
      <c r="AF414" s="167" t="s">
        <v>3470</v>
      </c>
    </row>
    <row r="415" spans="16:32" x14ac:dyDescent="0.25">
      <c r="P415" s="167" t="s">
        <v>739</v>
      </c>
      <c r="Q415" s="167">
        <v>353</v>
      </c>
      <c r="R415" s="167" t="s">
        <v>3407</v>
      </c>
      <c r="S415" s="167" t="s">
        <v>1003</v>
      </c>
      <c r="T415" s="167">
        <v>3</v>
      </c>
      <c r="U415" s="167" t="s">
        <v>1976</v>
      </c>
      <c r="V415" s="167" t="s">
        <v>3409</v>
      </c>
      <c r="AB415" s="167" t="s">
        <v>1685</v>
      </c>
      <c r="AC415" s="167">
        <v>323</v>
      </c>
      <c r="AD415" s="203">
        <v>43074</v>
      </c>
      <c r="AE415" s="203">
        <v>43111</v>
      </c>
      <c r="AF415" s="167" t="s">
        <v>3470</v>
      </c>
    </row>
    <row r="416" spans="16:32" x14ac:dyDescent="0.25">
      <c r="P416" s="167" t="s">
        <v>739</v>
      </c>
      <c r="Q416" s="167">
        <v>353</v>
      </c>
      <c r="R416" s="167" t="s">
        <v>3407</v>
      </c>
      <c r="S416" s="167" t="s">
        <v>1004</v>
      </c>
      <c r="T416" s="167">
        <v>250</v>
      </c>
      <c r="U416" s="167" t="s">
        <v>1977</v>
      </c>
      <c r="V416" s="167" t="s">
        <v>3409</v>
      </c>
      <c r="AB416" s="167" t="s">
        <v>1685</v>
      </c>
      <c r="AC416" s="167">
        <v>327</v>
      </c>
      <c r="AD416" s="203">
        <v>43074</v>
      </c>
      <c r="AE416" s="203">
        <v>43131</v>
      </c>
      <c r="AF416" s="167" t="s">
        <v>3470</v>
      </c>
    </row>
    <row r="417" spans="16:32" x14ac:dyDescent="0.25">
      <c r="P417" s="167" t="s">
        <v>739</v>
      </c>
      <c r="Q417" s="167">
        <v>353</v>
      </c>
      <c r="R417" s="167" t="s">
        <v>3407</v>
      </c>
      <c r="S417" s="167" t="s">
        <v>1004</v>
      </c>
      <c r="T417" s="167">
        <v>25</v>
      </c>
      <c r="U417" s="167" t="s">
        <v>1977</v>
      </c>
      <c r="V417" s="167" t="s">
        <v>3409</v>
      </c>
      <c r="AB417" s="167" t="s">
        <v>1685</v>
      </c>
      <c r="AC417" s="167">
        <v>347</v>
      </c>
      <c r="AD417" s="203">
        <v>43118</v>
      </c>
      <c r="AE417" s="203">
        <v>43133</v>
      </c>
      <c r="AF417" s="167" t="s">
        <v>3470</v>
      </c>
    </row>
    <row r="418" spans="16:32" x14ac:dyDescent="0.25">
      <c r="P418" s="167" t="s">
        <v>739</v>
      </c>
      <c r="Q418" s="167">
        <v>353</v>
      </c>
      <c r="R418" s="167" t="s">
        <v>3407</v>
      </c>
      <c r="S418" s="167" t="s">
        <v>1004</v>
      </c>
      <c r="T418" s="167">
        <v>2</v>
      </c>
      <c r="U418" s="167" t="s">
        <v>1977</v>
      </c>
      <c r="V418" s="167" t="s">
        <v>3409</v>
      </c>
      <c r="AB418" s="167" t="s">
        <v>1685</v>
      </c>
      <c r="AC418" s="167">
        <v>340</v>
      </c>
      <c r="AD418" s="203">
        <v>43133</v>
      </c>
      <c r="AE418" s="203">
        <v>43168</v>
      </c>
      <c r="AF418" s="167" t="s">
        <v>3470</v>
      </c>
    </row>
    <row r="419" spans="16:32" x14ac:dyDescent="0.25">
      <c r="P419" s="167" t="s">
        <v>739</v>
      </c>
      <c r="Q419" s="167">
        <v>353</v>
      </c>
      <c r="R419" s="167" t="s">
        <v>3407</v>
      </c>
      <c r="S419" s="167" t="s">
        <v>1004</v>
      </c>
      <c r="T419" s="167">
        <v>7</v>
      </c>
      <c r="U419" s="167" t="s">
        <v>1977</v>
      </c>
      <c r="V419" s="167" t="s">
        <v>3409</v>
      </c>
      <c r="AB419" s="167" t="s">
        <v>1685</v>
      </c>
      <c r="AC419" s="167">
        <v>340</v>
      </c>
      <c r="AD419" s="203">
        <v>43133</v>
      </c>
      <c r="AE419" s="203">
        <v>43168</v>
      </c>
      <c r="AF419" s="167" t="s">
        <v>3470</v>
      </c>
    </row>
    <row r="420" spans="16:32" x14ac:dyDescent="0.25">
      <c r="P420" s="167" t="s">
        <v>739</v>
      </c>
      <c r="Q420" s="167">
        <v>353</v>
      </c>
      <c r="R420" s="167" t="s">
        <v>3407</v>
      </c>
      <c r="S420" s="167" t="s">
        <v>3354</v>
      </c>
      <c r="T420" s="167">
        <v>13</v>
      </c>
      <c r="U420" s="167" t="s">
        <v>3421</v>
      </c>
      <c r="V420" s="167" t="s">
        <v>3409</v>
      </c>
      <c r="AB420" s="167" t="s">
        <v>1685</v>
      </c>
      <c r="AC420" s="167">
        <v>357</v>
      </c>
      <c r="AD420" s="203">
        <v>43139</v>
      </c>
      <c r="AE420" s="203">
        <v>43164</v>
      </c>
      <c r="AF420" s="167" t="s">
        <v>3470</v>
      </c>
    </row>
    <row r="421" spans="16:32" x14ac:dyDescent="0.25">
      <c r="P421" s="167" t="s">
        <v>739</v>
      </c>
      <c r="Q421" s="167">
        <v>353</v>
      </c>
      <c r="R421" s="167" t="s">
        <v>3407</v>
      </c>
      <c r="S421" s="167" t="s">
        <v>1006</v>
      </c>
      <c r="T421" s="167">
        <v>49</v>
      </c>
      <c r="U421" s="167" t="s">
        <v>1979</v>
      </c>
      <c r="V421" s="167" t="s">
        <v>3409</v>
      </c>
      <c r="AB421" s="167" t="s">
        <v>1685</v>
      </c>
      <c r="AC421" s="167">
        <v>353</v>
      </c>
      <c r="AD421" s="203">
        <v>43180</v>
      </c>
      <c r="AE421" s="203">
        <v>0</v>
      </c>
      <c r="AF421" s="167" t="s">
        <v>3469</v>
      </c>
    </row>
    <row r="422" spans="16:32" x14ac:dyDescent="0.25">
      <c r="P422" s="167" t="s">
        <v>739</v>
      </c>
      <c r="Q422" s="167">
        <v>353</v>
      </c>
      <c r="R422" s="167" t="s">
        <v>3407</v>
      </c>
      <c r="S422" s="167" t="s">
        <v>1006</v>
      </c>
      <c r="T422" s="167">
        <v>200</v>
      </c>
      <c r="U422" s="167" t="s">
        <v>1979</v>
      </c>
      <c r="V422" s="167" t="s">
        <v>3409</v>
      </c>
      <c r="AB422" s="167" t="s">
        <v>1687</v>
      </c>
      <c r="AC422" s="167">
        <v>323</v>
      </c>
      <c r="AD422" s="203">
        <v>43074</v>
      </c>
      <c r="AE422" s="203">
        <v>43111</v>
      </c>
      <c r="AF422" s="167" t="s">
        <v>3470</v>
      </c>
    </row>
    <row r="423" spans="16:32" x14ac:dyDescent="0.25">
      <c r="P423" s="167" t="s">
        <v>739</v>
      </c>
      <c r="Q423" s="167">
        <v>353</v>
      </c>
      <c r="R423" s="167" t="s">
        <v>3407</v>
      </c>
      <c r="S423" s="167" t="s">
        <v>1006</v>
      </c>
      <c r="T423" s="167">
        <v>28</v>
      </c>
      <c r="U423" s="167" t="s">
        <v>1979</v>
      </c>
      <c r="V423" s="167" t="s">
        <v>3409</v>
      </c>
      <c r="AB423" s="167" t="s">
        <v>1687</v>
      </c>
      <c r="AC423" s="167">
        <v>347</v>
      </c>
      <c r="AD423" s="203">
        <v>43118</v>
      </c>
      <c r="AE423" s="203">
        <v>43133</v>
      </c>
      <c r="AF423" s="167" t="s">
        <v>3470</v>
      </c>
    </row>
    <row r="424" spans="16:32" x14ac:dyDescent="0.25">
      <c r="P424" s="167" t="s">
        <v>739</v>
      </c>
      <c r="Q424" s="167">
        <v>353</v>
      </c>
      <c r="R424" s="167" t="s">
        <v>3407</v>
      </c>
      <c r="S424" s="167" t="s">
        <v>1006</v>
      </c>
      <c r="T424" s="167">
        <v>138</v>
      </c>
      <c r="U424" s="167" t="s">
        <v>1979</v>
      </c>
      <c r="V424" s="167" t="s">
        <v>3409</v>
      </c>
      <c r="AB424" s="167" t="s">
        <v>1687</v>
      </c>
      <c r="AC424" s="167">
        <v>335</v>
      </c>
      <c r="AD424" s="203">
        <v>43133</v>
      </c>
      <c r="AE424" s="203">
        <v>43147</v>
      </c>
      <c r="AF424" s="167" t="s">
        <v>3470</v>
      </c>
    </row>
    <row r="425" spans="16:32" x14ac:dyDescent="0.25">
      <c r="P425" s="167" t="s">
        <v>739</v>
      </c>
      <c r="Q425" s="167">
        <v>353</v>
      </c>
      <c r="R425" s="167" t="s">
        <v>3407</v>
      </c>
      <c r="S425" s="167" t="s">
        <v>1980</v>
      </c>
      <c r="T425" s="167">
        <v>100</v>
      </c>
      <c r="U425" s="167" t="s">
        <v>1981</v>
      </c>
      <c r="V425" s="167" t="s">
        <v>3409</v>
      </c>
      <c r="AB425" s="167" t="s">
        <v>1687</v>
      </c>
      <c r="AC425" s="167">
        <v>340</v>
      </c>
      <c r="AD425" s="203">
        <v>43133</v>
      </c>
      <c r="AE425" s="203">
        <v>43168</v>
      </c>
      <c r="AF425" s="167" t="s">
        <v>3470</v>
      </c>
    </row>
    <row r="426" spans="16:32" x14ac:dyDescent="0.25">
      <c r="P426" s="167" t="s">
        <v>739</v>
      </c>
      <c r="Q426" s="167">
        <v>353</v>
      </c>
      <c r="R426" s="167" t="s">
        <v>3407</v>
      </c>
      <c r="S426" s="167" t="s">
        <v>1980</v>
      </c>
      <c r="T426" s="167">
        <v>42</v>
      </c>
      <c r="U426" s="167" t="s">
        <v>1981</v>
      </c>
      <c r="V426" s="167" t="s">
        <v>3409</v>
      </c>
      <c r="AB426" s="167" t="s">
        <v>1687</v>
      </c>
      <c r="AC426" s="167">
        <v>340</v>
      </c>
      <c r="AD426" s="203">
        <v>43133</v>
      </c>
      <c r="AE426" s="203">
        <v>43168</v>
      </c>
      <c r="AF426" s="167" t="s">
        <v>3470</v>
      </c>
    </row>
    <row r="427" spans="16:32" x14ac:dyDescent="0.25">
      <c r="P427" s="167" t="s">
        <v>739</v>
      </c>
      <c r="Q427" s="167">
        <v>353</v>
      </c>
      <c r="R427" s="167" t="s">
        <v>3407</v>
      </c>
      <c r="S427" s="167" t="s">
        <v>1982</v>
      </c>
      <c r="T427" s="167">
        <v>12</v>
      </c>
      <c r="U427" s="167" t="s">
        <v>1983</v>
      </c>
      <c r="V427" s="167" t="s">
        <v>3409</v>
      </c>
      <c r="AB427" s="167" t="s">
        <v>1687</v>
      </c>
      <c r="AC427" s="167">
        <v>374</v>
      </c>
      <c r="AD427" s="203">
        <v>43195</v>
      </c>
      <c r="AE427" s="203">
        <v>0</v>
      </c>
      <c r="AF427" s="167" t="s">
        <v>3469</v>
      </c>
    </row>
    <row r="428" spans="16:32" x14ac:dyDescent="0.25">
      <c r="P428" s="167" t="s">
        <v>739</v>
      </c>
      <c r="Q428" s="167">
        <v>353</v>
      </c>
      <c r="R428" s="167" t="s">
        <v>3407</v>
      </c>
      <c r="S428" s="167" t="s">
        <v>1984</v>
      </c>
      <c r="T428" s="167">
        <v>100</v>
      </c>
      <c r="U428" s="167" t="s">
        <v>1985</v>
      </c>
      <c r="V428" s="167" t="s">
        <v>3409</v>
      </c>
      <c r="AB428" s="167" t="s">
        <v>1688</v>
      </c>
      <c r="AC428" s="167">
        <v>327</v>
      </c>
      <c r="AD428" s="203">
        <v>43074</v>
      </c>
      <c r="AE428" s="203">
        <v>43131</v>
      </c>
      <c r="AF428" s="167" t="s">
        <v>3470</v>
      </c>
    </row>
    <row r="429" spans="16:32" x14ac:dyDescent="0.25">
      <c r="P429" s="167" t="s">
        <v>739</v>
      </c>
      <c r="Q429" s="167">
        <v>353</v>
      </c>
      <c r="R429" s="167" t="s">
        <v>3407</v>
      </c>
      <c r="S429" s="167" t="s">
        <v>1984</v>
      </c>
      <c r="T429" s="167">
        <v>94</v>
      </c>
      <c r="U429" s="167" t="s">
        <v>1985</v>
      </c>
      <c r="V429" s="167" t="s">
        <v>3409</v>
      </c>
      <c r="AB429" s="167" t="s">
        <v>1690</v>
      </c>
      <c r="AC429" s="167">
        <v>323</v>
      </c>
      <c r="AD429" s="203">
        <v>43074</v>
      </c>
      <c r="AE429" s="203">
        <v>43111</v>
      </c>
      <c r="AF429" s="167" t="s">
        <v>3470</v>
      </c>
    </row>
    <row r="430" spans="16:32" x14ac:dyDescent="0.25">
      <c r="P430" s="167" t="s">
        <v>739</v>
      </c>
      <c r="Q430" s="167">
        <v>353</v>
      </c>
      <c r="R430" s="167" t="s">
        <v>3407</v>
      </c>
      <c r="S430" s="167" t="s">
        <v>1984</v>
      </c>
      <c r="T430" s="167">
        <v>175</v>
      </c>
      <c r="U430" s="167" t="s">
        <v>1985</v>
      </c>
      <c r="V430" s="167" t="s">
        <v>3409</v>
      </c>
      <c r="AB430" s="167" t="s">
        <v>1690</v>
      </c>
      <c r="AC430" s="167">
        <v>347</v>
      </c>
      <c r="AD430" s="203">
        <v>43118</v>
      </c>
      <c r="AE430" s="203">
        <v>43133</v>
      </c>
      <c r="AF430" s="167" t="s">
        <v>3470</v>
      </c>
    </row>
    <row r="431" spans="16:32" x14ac:dyDescent="0.25">
      <c r="P431" s="167" t="s">
        <v>739</v>
      </c>
      <c r="Q431" s="167">
        <v>353</v>
      </c>
      <c r="R431" s="167" t="s">
        <v>3407</v>
      </c>
      <c r="S431" s="167" t="s">
        <v>1007</v>
      </c>
      <c r="T431" s="167">
        <v>10</v>
      </c>
      <c r="U431" s="167" t="s">
        <v>1986</v>
      </c>
      <c r="V431" s="167" t="s">
        <v>3409</v>
      </c>
      <c r="AB431" s="167" t="s">
        <v>1690</v>
      </c>
      <c r="AC431" s="167">
        <v>357</v>
      </c>
      <c r="AD431" s="203">
        <v>43139</v>
      </c>
      <c r="AE431" s="203">
        <v>43164</v>
      </c>
      <c r="AF431" s="167" t="s">
        <v>3470</v>
      </c>
    </row>
    <row r="432" spans="16:32" x14ac:dyDescent="0.25">
      <c r="P432" s="167" t="s">
        <v>739</v>
      </c>
      <c r="Q432" s="167">
        <v>353</v>
      </c>
      <c r="R432" s="167" t="s">
        <v>3407</v>
      </c>
      <c r="S432" s="167" t="s">
        <v>1007</v>
      </c>
      <c r="T432" s="167">
        <v>100</v>
      </c>
      <c r="U432" s="167" t="s">
        <v>1986</v>
      </c>
      <c r="V432" s="167" t="s">
        <v>3409</v>
      </c>
      <c r="AB432" s="167" t="s">
        <v>1690</v>
      </c>
      <c r="AC432" s="167">
        <v>364</v>
      </c>
      <c r="AD432" s="203">
        <v>43168</v>
      </c>
      <c r="AE432" s="203">
        <v>43179</v>
      </c>
      <c r="AF432" s="167" t="s">
        <v>3470</v>
      </c>
    </row>
    <row r="433" spans="16:32" x14ac:dyDescent="0.25">
      <c r="P433" s="167" t="s">
        <v>739</v>
      </c>
      <c r="Q433" s="167">
        <v>353</v>
      </c>
      <c r="R433" s="167" t="s">
        <v>3407</v>
      </c>
      <c r="S433" s="167" t="s">
        <v>1007</v>
      </c>
      <c r="T433" s="167">
        <v>92</v>
      </c>
      <c r="U433" s="167" t="s">
        <v>1986</v>
      </c>
      <c r="V433" s="167" t="s">
        <v>3409</v>
      </c>
      <c r="AB433" s="167" t="s">
        <v>1690</v>
      </c>
      <c r="AC433" s="167">
        <v>353</v>
      </c>
      <c r="AD433" s="203">
        <v>43180</v>
      </c>
      <c r="AE433" s="203">
        <v>0</v>
      </c>
      <c r="AF433" s="167" t="s">
        <v>3469</v>
      </c>
    </row>
    <row r="434" spans="16:32" x14ac:dyDescent="0.25">
      <c r="P434" s="167" t="s">
        <v>739</v>
      </c>
      <c r="Q434" s="167">
        <v>353</v>
      </c>
      <c r="R434" s="167" t="s">
        <v>3407</v>
      </c>
      <c r="S434" s="167" t="s">
        <v>1007</v>
      </c>
      <c r="T434" s="167">
        <v>83</v>
      </c>
      <c r="U434" s="167" t="s">
        <v>1986</v>
      </c>
      <c r="V434" s="167" t="s">
        <v>3409</v>
      </c>
      <c r="AB434" s="167" t="s">
        <v>1690</v>
      </c>
      <c r="AC434" s="167">
        <v>353</v>
      </c>
      <c r="AD434" s="203">
        <v>43180</v>
      </c>
      <c r="AE434" s="203">
        <v>0</v>
      </c>
      <c r="AF434" s="167" t="s">
        <v>3469</v>
      </c>
    </row>
    <row r="435" spans="16:32" x14ac:dyDescent="0.25">
      <c r="P435" s="167" t="s">
        <v>739</v>
      </c>
      <c r="Q435" s="167">
        <v>353</v>
      </c>
      <c r="R435" s="167" t="s">
        <v>3407</v>
      </c>
      <c r="S435" s="167" t="s">
        <v>1007</v>
      </c>
      <c r="T435" s="167">
        <v>109</v>
      </c>
      <c r="U435" s="167" t="s">
        <v>1986</v>
      </c>
      <c r="V435" s="167" t="s">
        <v>3409</v>
      </c>
      <c r="AB435" s="167" t="s">
        <v>1692</v>
      </c>
      <c r="AC435" s="167">
        <v>357</v>
      </c>
      <c r="AD435" s="203">
        <v>43139</v>
      </c>
      <c r="AE435" s="203">
        <v>43164</v>
      </c>
      <c r="AF435" s="167" t="s">
        <v>3470</v>
      </c>
    </row>
    <row r="436" spans="16:32" x14ac:dyDescent="0.25">
      <c r="P436" s="167" t="s">
        <v>739</v>
      </c>
      <c r="Q436" s="167">
        <v>353</v>
      </c>
      <c r="R436" s="167" t="s">
        <v>3407</v>
      </c>
      <c r="S436" s="167" t="s">
        <v>1008</v>
      </c>
      <c r="T436" s="167">
        <v>20</v>
      </c>
      <c r="U436" s="167" t="s">
        <v>1987</v>
      </c>
      <c r="V436" s="167" t="s">
        <v>3409</v>
      </c>
      <c r="AB436" s="167" t="s">
        <v>1692</v>
      </c>
      <c r="AC436" s="167">
        <v>353</v>
      </c>
      <c r="AD436" s="203">
        <v>43180</v>
      </c>
      <c r="AE436" s="203">
        <v>0</v>
      </c>
      <c r="AF436" s="167" t="s">
        <v>3469</v>
      </c>
    </row>
    <row r="437" spans="16:32" x14ac:dyDescent="0.25">
      <c r="P437" s="167" t="s">
        <v>739</v>
      </c>
      <c r="Q437" s="167">
        <v>353</v>
      </c>
      <c r="R437" s="167" t="s">
        <v>3407</v>
      </c>
      <c r="S437" s="167" t="s">
        <v>1008</v>
      </c>
      <c r="T437" s="167">
        <v>30</v>
      </c>
      <c r="U437" s="167" t="s">
        <v>1987</v>
      </c>
      <c r="V437" s="167" t="s">
        <v>3409</v>
      </c>
      <c r="AB437" s="167" t="s">
        <v>1692</v>
      </c>
      <c r="AC437" s="167">
        <v>353</v>
      </c>
      <c r="AD437" s="203">
        <v>43180</v>
      </c>
      <c r="AE437" s="203">
        <v>0</v>
      </c>
      <c r="AF437" s="167" t="s">
        <v>3469</v>
      </c>
    </row>
    <row r="438" spans="16:32" x14ac:dyDescent="0.25">
      <c r="P438" s="167" t="s">
        <v>739</v>
      </c>
      <c r="Q438" s="167">
        <v>353</v>
      </c>
      <c r="R438" s="167" t="s">
        <v>3407</v>
      </c>
      <c r="S438" s="167" t="s">
        <v>1008</v>
      </c>
      <c r="T438" s="167">
        <v>30</v>
      </c>
      <c r="U438" s="167" t="s">
        <v>1987</v>
      </c>
      <c r="V438" s="167" t="s">
        <v>3409</v>
      </c>
      <c r="AB438" s="167" t="s">
        <v>1694</v>
      </c>
      <c r="AC438" s="167">
        <v>364</v>
      </c>
      <c r="AD438" s="203">
        <v>43168</v>
      </c>
      <c r="AE438" s="203">
        <v>43179</v>
      </c>
      <c r="AF438" s="167" t="s">
        <v>3470</v>
      </c>
    </row>
    <row r="439" spans="16:32" x14ac:dyDescent="0.25">
      <c r="P439" s="167" t="s">
        <v>739</v>
      </c>
      <c r="Q439" s="167">
        <v>353</v>
      </c>
      <c r="R439" s="167" t="s">
        <v>3407</v>
      </c>
      <c r="S439" s="167" t="s">
        <v>1008</v>
      </c>
      <c r="T439" s="167">
        <v>80</v>
      </c>
      <c r="U439" s="167" t="s">
        <v>1987</v>
      </c>
      <c r="V439" s="167" t="s">
        <v>3409</v>
      </c>
      <c r="AB439" s="167" t="s">
        <v>1694</v>
      </c>
      <c r="AC439" s="167">
        <v>353</v>
      </c>
      <c r="AD439" s="203">
        <v>43180</v>
      </c>
      <c r="AE439" s="203">
        <v>0</v>
      </c>
      <c r="AF439" s="167" t="s">
        <v>3469</v>
      </c>
    </row>
    <row r="440" spans="16:32" x14ac:dyDescent="0.25">
      <c r="P440" s="167" t="s">
        <v>739</v>
      </c>
      <c r="Q440" s="167">
        <v>353</v>
      </c>
      <c r="R440" s="167" t="s">
        <v>3407</v>
      </c>
      <c r="S440" s="167" t="s">
        <v>1988</v>
      </c>
      <c r="T440" s="167">
        <v>4</v>
      </c>
      <c r="U440" s="167" t="s">
        <v>1989</v>
      </c>
      <c r="V440" s="167" t="s">
        <v>3409</v>
      </c>
      <c r="AB440" s="167" t="s">
        <v>1696</v>
      </c>
      <c r="AC440" s="167">
        <v>347</v>
      </c>
      <c r="AD440" s="203">
        <v>43118</v>
      </c>
      <c r="AE440" s="203">
        <v>43133</v>
      </c>
      <c r="AF440" s="167" t="s">
        <v>3470</v>
      </c>
    </row>
    <row r="441" spans="16:32" x14ac:dyDescent="0.25">
      <c r="P441" s="167" t="s">
        <v>739</v>
      </c>
      <c r="Q441" s="167">
        <v>353</v>
      </c>
      <c r="R441" s="167" t="s">
        <v>3407</v>
      </c>
      <c r="S441" s="167" t="s">
        <v>1990</v>
      </c>
      <c r="T441" s="167">
        <v>1</v>
      </c>
      <c r="U441" s="167" t="s">
        <v>1991</v>
      </c>
      <c r="V441" s="167" t="s">
        <v>3409</v>
      </c>
      <c r="AB441" s="167" t="s">
        <v>1696</v>
      </c>
      <c r="AC441" s="167">
        <v>357</v>
      </c>
      <c r="AD441" s="203">
        <v>43139</v>
      </c>
      <c r="AE441" s="203">
        <v>43164</v>
      </c>
      <c r="AF441" s="167" t="s">
        <v>3470</v>
      </c>
    </row>
    <row r="442" spans="16:32" x14ac:dyDescent="0.25">
      <c r="P442" s="167" t="s">
        <v>739</v>
      </c>
      <c r="Q442" s="167">
        <v>353</v>
      </c>
      <c r="R442" s="167" t="s">
        <v>3407</v>
      </c>
      <c r="S442" s="167" t="s">
        <v>1009</v>
      </c>
      <c r="T442" s="167">
        <v>277</v>
      </c>
      <c r="U442" s="167" t="s">
        <v>1992</v>
      </c>
      <c r="V442" s="167" t="s">
        <v>3409</v>
      </c>
      <c r="AB442" s="167" t="s">
        <v>1696</v>
      </c>
      <c r="AC442" s="167">
        <v>353</v>
      </c>
      <c r="AD442" s="203">
        <v>43180</v>
      </c>
      <c r="AE442" s="203">
        <v>0</v>
      </c>
      <c r="AF442" s="167" t="s">
        <v>3469</v>
      </c>
    </row>
    <row r="443" spans="16:32" x14ac:dyDescent="0.25">
      <c r="P443" s="167" t="s">
        <v>739</v>
      </c>
      <c r="Q443" s="167">
        <v>353</v>
      </c>
      <c r="R443" s="167" t="s">
        <v>3407</v>
      </c>
      <c r="S443" s="167" t="s">
        <v>1009</v>
      </c>
      <c r="T443" s="167">
        <v>110</v>
      </c>
      <c r="U443" s="167" t="s">
        <v>1992</v>
      </c>
      <c r="V443" s="167" t="s">
        <v>3409</v>
      </c>
      <c r="AB443" s="167" t="s">
        <v>1698</v>
      </c>
      <c r="AC443" s="167">
        <v>364</v>
      </c>
      <c r="AD443" s="203">
        <v>43168</v>
      </c>
      <c r="AE443" s="203">
        <v>43179</v>
      </c>
      <c r="AF443" s="167" t="s">
        <v>3470</v>
      </c>
    </row>
    <row r="444" spans="16:32" x14ac:dyDescent="0.25">
      <c r="P444" s="167" t="s">
        <v>739</v>
      </c>
      <c r="Q444" s="167">
        <v>353</v>
      </c>
      <c r="R444" s="167" t="s">
        <v>3407</v>
      </c>
      <c r="S444" s="167" t="s">
        <v>1995</v>
      </c>
      <c r="T444" s="167">
        <v>1</v>
      </c>
      <c r="U444" s="167" t="s">
        <v>1996</v>
      </c>
      <c r="V444" s="167" t="s">
        <v>3409</v>
      </c>
      <c r="AB444" s="167" t="s">
        <v>1698</v>
      </c>
      <c r="AC444" s="167">
        <v>353</v>
      </c>
      <c r="AD444" s="203">
        <v>43180</v>
      </c>
      <c r="AE444" s="203">
        <v>0</v>
      </c>
      <c r="AF444" s="167" t="s">
        <v>3469</v>
      </c>
    </row>
    <row r="445" spans="16:32" x14ac:dyDescent="0.25">
      <c r="P445" s="167" t="s">
        <v>739</v>
      </c>
      <c r="Q445" s="167">
        <v>353</v>
      </c>
      <c r="R445" s="167" t="s">
        <v>3407</v>
      </c>
      <c r="S445" s="167" t="s">
        <v>1998</v>
      </c>
      <c r="T445" s="167">
        <v>20</v>
      </c>
      <c r="U445" s="167" t="s">
        <v>1999</v>
      </c>
      <c r="V445" s="167" t="s">
        <v>3409</v>
      </c>
      <c r="AB445" s="167" t="s">
        <v>1700</v>
      </c>
      <c r="AC445" s="167">
        <v>327</v>
      </c>
      <c r="AD445" s="203">
        <v>43074</v>
      </c>
      <c r="AE445" s="203">
        <v>43131</v>
      </c>
      <c r="AF445" s="167" t="s">
        <v>3470</v>
      </c>
    </row>
    <row r="446" spans="16:32" x14ac:dyDescent="0.25">
      <c r="P446" s="167" t="s">
        <v>739</v>
      </c>
      <c r="Q446" s="167">
        <v>353</v>
      </c>
      <c r="R446" s="167" t="s">
        <v>3407</v>
      </c>
      <c r="S446" s="167" t="s">
        <v>1998</v>
      </c>
      <c r="T446" s="167">
        <v>4</v>
      </c>
      <c r="U446" s="167" t="s">
        <v>1999</v>
      </c>
      <c r="V446" s="167" t="s">
        <v>3409</v>
      </c>
      <c r="AB446" s="167" t="s">
        <v>1700</v>
      </c>
      <c r="AC446" s="167">
        <v>347</v>
      </c>
      <c r="AD446" s="203">
        <v>43118</v>
      </c>
      <c r="AE446" s="203">
        <v>43133</v>
      </c>
      <c r="AF446" s="167" t="s">
        <v>3470</v>
      </c>
    </row>
    <row r="447" spans="16:32" x14ac:dyDescent="0.25">
      <c r="P447" s="167" t="s">
        <v>739</v>
      </c>
      <c r="Q447" s="167">
        <v>353</v>
      </c>
      <c r="R447" s="167" t="s">
        <v>3407</v>
      </c>
      <c r="S447" s="167" t="s">
        <v>1998</v>
      </c>
      <c r="T447" s="167">
        <v>3</v>
      </c>
      <c r="U447" s="167" t="s">
        <v>1999</v>
      </c>
      <c r="V447" s="167" t="s">
        <v>3409</v>
      </c>
      <c r="AB447" s="167" t="s">
        <v>1700</v>
      </c>
      <c r="AC447" s="167">
        <v>340</v>
      </c>
      <c r="AD447" s="203">
        <v>43133</v>
      </c>
      <c r="AE447" s="203">
        <v>43168</v>
      </c>
      <c r="AF447" s="167" t="s">
        <v>3470</v>
      </c>
    </row>
    <row r="448" spans="16:32" x14ac:dyDescent="0.25">
      <c r="P448" s="167" t="s">
        <v>739</v>
      </c>
      <c r="Q448" s="167">
        <v>353</v>
      </c>
      <c r="R448" s="167" t="s">
        <v>3407</v>
      </c>
      <c r="S448" s="167" t="s">
        <v>1998</v>
      </c>
      <c r="T448" s="167">
        <v>3</v>
      </c>
      <c r="U448" s="167" t="s">
        <v>1999</v>
      </c>
      <c r="V448" s="167" t="s">
        <v>3409</v>
      </c>
      <c r="AB448" s="167" t="s">
        <v>1700</v>
      </c>
      <c r="AC448" s="167">
        <v>357</v>
      </c>
      <c r="AD448" s="203">
        <v>43139</v>
      </c>
      <c r="AE448" s="203">
        <v>43164</v>
      </c>
      <c r="AF448" s="167" t="s">
        <v>3470</v>
      </c>
    </row>
    <row r="449" spans="16:32" x14ac:dyDescent="0.25">
      <c r="P449" s="167" t="s">
        <v>739</v>
      </c>
      <c r="Q449" s="167">
        <v>353</v>
      </c>
      <c r="R449" s="167" t="s">
        <v>3407</v>
      </c>
      <c r="S449" s="167" t="s">
        <v>1998</v>
      </c>
      <c r="T449" s="167">
        <v>3</v>
      </c>
      <c r="U449" s="167" t="s">
        <v>1999</v>
      </c>
      <c r="V449" s="167" t="s">
        <v>3409</v>
      </c>
      <c r="AB449" s="167" t="s">
        <v>1700</v>
      </c>
      <c r="AC449" s="167">
        <v>353</v>
      </c>
      <c r="AD449" s="203">
        <v>43180</v>
      </c>
      <c r="AE449" s="203">
        <v>0</v>
      </c>
      <c r="AF449" s="167" t="s">
        <v>3469</v>
      </c>
    </row>
    <row r="450" spans="16:32" x14ac:dyDescent="0.25">
      <c r="P450" s="167" t="s">
        <v>739</v>
      </c>
      <c r="Q450" s="167">
        <v>353</v>
      </c>
      <c r="R450" s="167" t="s">
        <v>3407</v>
      </c>
      <c r="S450" s="167" t="s">
        <v>1998</v>
      </c>
      <c r="T450" s="167">
        <v>3</v>
      </c>
      <c r="U450" s="167" t="s">
        <v>1999</v>
      </c>
      <c r="V450" s="167" t="s">
        <v>3409</v>
      </c>
      <c r="AB450" s="167" t="s">
        <v>1700</v>
      </c>
      <c r="AC450" s="167">
        <v>353</v>
      </c>
      <c r="AD450" s="203">
        <v>43180</v>
      </c>
      <c r="AE450" s="203">
        <v>0</v>
      </c>
      <c r="AF450" s="167" t="s">
        <v>3469</v>
      </c>
    </row>
    <row r="451" spans="16:32" x14ac:dyDescent="0.25">
      <c r="P451" s="167" t="s">
        <v>739</v>
      </c>
      <c r="Q451" s="167">
        <v>353</v>
      </c>
      <c r="R451" s="167" t="s">
        <v>3407</v>
      </c>
      <c r="S451" s="167" t="s">
        <v>1998</v>
      </c>
      <c r="T451" s="167">
        <v>1</v>
      </c>
      <c r="U451" s="167" t="s">
        <v>1999</v>
      </c>
      <c r="V451" s="167" t="s">
        <v>3409</v>
      </c>
      <c r="AB451" s="167" t="s">
        <v>1700</v>
      </c>
      <c r="AC451" s="167">
        <v>353</v>
      </c>
      <c r="AD451" s="203">
        <v>43180</v>
      </c>
      <c r="AE451" s="203">
        <v>0</v>
      </c>
      <c r="AF451" s="167" t="s">
        <v>3469</v>
      </c>
    </row>
    <row r="452" spans="16:32" x14ac:dyDescent="0.25">
      <c r="P452" s="167" t="s">
        <v>739</v>
      </c>
      <c r="Q452" s="167">
        <v>353</v>
      </c>
      <c r="R452" s="167" t="s">
        <v>3407</v>
      </c>
      <c r="S452" s="167" t="s">
        <v>1998</v>
      </c>
      <c r="T452" s="167">
        <v>14</v>
      </c>
      <c r="U452" s="167" t="s">
        <v>1999</v>
      </c>
      <c r="V452" s="167" t="s">
        <v>3409</v>
      </c>
      <c r="AB452" s="167" t="s">
        <v>3413</v>
      </c>
      <c r="AC452" s="167">
        <v>357</v>
      </c>
      <c r="AD452" s="203">
        <v>43139</v>
      </c>
      <c r="AE452" s="203">
        <v>43164</v>
      </c>
      <c r="AF452" s="167" t="s">
        <v>3470</v>
      </c>
    </row>
    <row r="453" spans="16:32" x14ac:dyDescent="0.25">
      <c r="P453" s="167" t="s">
        <v>739</v>
      </c>
      <c r="Q453" s="167">
        <v>353</v>
      </c>
      <c r="R453" s="167" t="s">
        <v>3407</v>
      </c>
      <c r="S453" s="167" t="s">
        <v>1998</v>
      </c>
      <c r="T453" s="167">
        <v>3</v>
      </c>
      <c r="U453" s="167" t="s">
        <v>1999</v>
      </c>
      <c r="V453" s="167" t="s">
        <v>3409</v>
      </c>
      <c r="AB453" s="167" t="s">
        <v>3413</v>
      </c>
      <c r="AC453" s="167">
        <v>353</v>
      </c>
      <c r="AD453" s="203">
        <v>43180</v>
      </c>
      <c r="AE453" s="203">
        <v>0</v>
      </c>
      <c r="AF453" s="167" t="s">
        <v>3469</v>
      </c>
    </row>
    <row r="454" spans="16:32" x14ac:dyDescent="0.25">
      <c r="P454" s="167" t="s">
        <v>739</v>
      </c>
      <c r="Q454" s="167">
        <v>353</v>
      </c>
      <c r="R454" s="167" t="s">
        <v>3407</v>
      </c>
      <c r="S454" s="167" t="s">
        <v>1998</v>
      </c>
      <c r="T454" s="167">
        <v>4</v>
      </c>
      <c r="U454" s="167" t="s">
        <v>1999</v>
      </c>
      <c r="V454" s="167" t="s">
        <v>3409</v>
      </c>
      <c r="AB454" s="167" t="s">
        <v>1702</v>
      </c>
      <c r="AC454" s="167">
        <v>357</v>
      </c>
      <c r="AD454" s="203">
        <v>43139</v>
      </c>
      <c r="AE454" s="203">
        <v>43164</v>
      </c>
      <c r="AF454" s="167" t="s">
        <v>3470</v>
      </c>
    </row>
    <row r="455" spans="16:32" x14ac:dyDescent="0.25">
      <c r="P455" s="167" t="s">
        <v>739</v>
      </c>
      <c r="Q455" s="167">
        <v>353</v>
      </c>
      <c r="R455" s="167" t="s">
        <v>3407</v>
      </c>
      <c r="S455" s="167" t="s">
        <v>2000</v>
      </c>
      <c r="T455" s="167">
        <v>5</v>
      </c>
      <c r="U455" s="167" t="s">
        <v>2001</v>
      </c>
      <c r="V455" s="167" t="s">
        <v>3409</v>
      </c>
      <c r="AB455" s="167" t="s">
        <v>1702</v>
      </c>
      <c r="AC455" s="167">
        <v>353</v>
      </c>
      <c r="AD455" s="203">
        <v>43180</v>
      </c>
      <c r="AE455" s="203">
        <v>0</v>
      </c>
      <c r="AF455" s="167" t="s">
        <v>3469</v>
      </c>
    </row>
    <row r="456" spans="16:32" x14ac:dyDescent="0.25">
      <c r="P456" s="167" t="s">
        <v>739</v>
      </c>
      <c r="Q456" s="167">
        <v>353</v>
      </c>
      <c r="R456" s="167" t="s">
        <v>3407</v>
      </c>
      <c r="S456" s="167" t="s">
        <v>2000</v>
      </c>
      <c r="T456" s="167">
        <v>8</v>
      </c>
      <c r="U456" s="167" t="s">
        <v>2001</v>
      </c>
      <c r="V456" s="167" t="s">
        <v>3409</v>
      </c>
      <c r="AB456" s="167" t="s">
        <v>1704</v>
      </c>
      <c r="AC456" s="167">
        <v>327</v>
      </c>
      <c r="AD456" s="203">
        <v>43074</v>
      </c>
      <c r="AE456" s="203">
        <v>43131</v>
      </c>
      <c r="AF456" s="167" t="s">
        <v>3470</v>
      </c>
    </row>
    <row r="457" spans="16:32" x14ac:dyDescent="0.25">
      <c r="P457" s="167" t="s">
        <v>739</v>
      </c>
      <c r="Q457" s="167">
        <v>353</v>
      </c>
      <c r="R457" s="167" t="s">
        <v>3407</v>
      </c>
      <c r="S457" s="167" t="s">
        <v>2002</v>
      </c>
      <c r="T457" s="167">
        <v>20</v>
      </c>
      <c r="U457" s="167" t="s">
        <v>2003</v>
      </c>
      <c r="V457" s="167" t="s">
        <v>3409</v>
      </c>
      <c r="AB457" s="167" t="s">
        <v>1704</v>
      </c>
      <c r="AC457" s="167">
        <v>357</v>
      </c>
      <c r="AD457" s="203">
        <v>43139</v>
      </c>
      <c r="AE457" s="203">
        <v>43164</v>
      </c>
      <c r="AF457" s="167" t="s">
        <v>3470</v>
      </c>
    </row>
    <row r="458" spans="16:32" x14ac:dyDescent="0.25">
      <c r="P458" s="167" t="s">
        <v>739</v>
      </c>
      <c r="Q458" s="167">
        <v>353</v>
      </c>
      <c r="R458" s="167" t="s">
        <v>3407</v>
      </c>
      <c r="S458" s="167" t="s">
        <v>2004</v>
      </c>
      <c r="T458" s="167">
        <v>6</v>
      </c>
      <c r="U458" s="167" t="s">
        <v>2005</v>
      </c>
      <c r="V458" s="167" t="s">
        <v>3409</v>
      </c>
      <c r="AB458" s="167" t="s">
        <v>1704</v>
      </c>
      <c r="AC458" s="167">
        <v>353</v>
      </c>
      <c r="AD458" s="203">
        <v>43180</v>
      </c>
      <c r="AE458" s="203">
        <v>0</v>
      </c>
      <c r="AF458" s="167" t="s">
        <v>3469</v>
      </c>
    </row>
    <row r="459" spans="16:32" x14ac:dyDescent="0.25">
      <c r="P459" s="167" t="s">
        <v>739</v>
      </c>
      <c r="Q459" s="167">
        <v>353</v>
      </c>
      <c r="R459" s="167" t="s">
        <v>3407</v>
      </c>
      <c r="S459" s="167" t="s">
        <v>2009</v>
      </c>
      <c r="T459" s="167">
        <v>9</v>
      </c>
      <c r="U459" s="167" t="s">
        <v>2010</v>
      </c>
      <c r="V459" s="167" t="s">
        <v>3409</v>
      </c>
      <c r="AB459" s="167" t="s">
        <v>1704</v>
      </c>
      <c r="AC459" s="167">
        <v>353</v>
      </c>
      <c r="AD459" s="203">
        <v>43180</v>
      </c>
      <c r="AE459" s="203">
        <v>0</v>
      </c>
      <c r="AF459" s="167" t="s">
        <v>3469</v>
      </c>
    </row>
    <row r="460" spans="16:32" x14ac:dyDescent="0.25">
      <c r="P460" s="167" t="s">
        <v>739</v>
      </c>
      <c r="Q460" s="167">
        <v>353</v>
      </c>
      <c r="R460" s="167" t="s">
        <v>3407</v>
      </c>
      <c r="S460" s="167" t="s">
        <v>1011</v>
      </c>
      <c r="T460" s="167">
        <v>28</v>
      </c>
      <c r="U460" s="167" t="s">
        <v>2012</v>
      </c>
      <c r="V460" s="167" t="s">
        <v>3409</v>
      </c>
      <c r="AB460" s="167" t="s">
        <v>1706</v>
      </c>
      <c r="AC460" s="167">
        <v>347</v>
      </c>
      <c r="AD460" s="203">
        <v>43118</v>
      </c>
      <c r="AE460" s="203">
        <v>43133</v>
      </c>
      <c r="AF460" s="167" t="s">
        <v>3470</v>
      </c>
    </row>
    <row r="461" spans="16:32" x14ac:dyDescent="0.25">
      <c r="P461" s="167" t="s">
        <v>739</v>
      </c>
      <c r="Q461" s="167">
        <v>353</v>
      </c>
      <c r="R461" s="167" t="s">
        <v>3407</v>
      </c>
      <c r="S461" s="167" t="s">
        <v>1011</v>
      </c>
      <c r="T461" s="167">
        <v>75</v>
      </c>
      <c r="U461" s="167" t="s">
        <v>2012</v>
      </c>
      <c r="V461" s="167" t="s">
        <v>3409</v>
      </c>
      <c r="AB461" s="167" t="s">
        <v>1706</v>
      </c>
      <c r="AC461" s="167">
        <v>340</v>
      </c>
      <c r="AD461" s="203">
        <v>43133</v>
      </c>
      <c r="AE461" s="203">
        <v>43168</v>
      </c>
      <c r="AF461" s="167" t="s">
        <v>3470</v>
      </c>
    </row>
    <row r="462" spans="16:32" x14ac:dyDescent="0.25">
      <c r="P462" s="167" t="s">
        <v>739</v>
      </c>
      <c r="Q462" s="167">
        <v>353</v>
      </c>
      <c r="R462" s="167" t="s">
        <v>3407</v>
      </c>
      <c r="S462" s="167" t="s">
        <v>1011</v>
      </c>
      <c r="T462" s="167">
        <v>20</v>
      </c>
      <c r="U462" s="167" t="s">
        <v>2012</v>
      </c>
      <c r="V462" s="167" t="s">
        <v>3409</v>
      </c>
      <c r="AB462" s="167" t="s">
        <v>1706</v>
      </c>
      <c r="AC462" s="167">
        <v>364</v>
      </c>
      <c r="AD462" s="203">
        <v>43168</v>
      </c>
      <c r="AE462" s="203">
        <v>43179</v>
      </c>
      <c r="AF462" s="167" t="s">
        <v>3470</v>
      </c>
    </row>
    <row r="463" spans="16:32" x14ac:dyDescent="0.25">
      <c r="P463" s="167" t="s">
        <v>739</v>
      </c>
      <c r="Q463" s="167">
        <v>353</v>
      </c>
      <c r="R463" s="167" t="s">
        <v>3407</v>
      </c>
      <c r="S463" s="167" t="s">
        <v>1011</v>
      </c>
      <c r="T463" s="167">
        <v>12</v>
      </c>
      <c r="U463" s="167" t="s">
        <v>2012</v>
      </c>
      <c r="V463" s="167" t="s">
        <v>3409</v>
      </c>
      <c r="AB463" s="167" t="s">
        <v>1706</v>
      </c>
      <c r="AC463" s="167">
        <v>353</v>
      </c>
      <c r="AD463" s="203">
        <v>43180</v>
      </c>
      <c r="AE463" s="203">
        <v>0</v>
      </c>
      <c r="AF463" s="167" t="s">
        <v>3469</v>
      </c>
    </row>
    <row r="464" spans="16:32" x14ac:dyDescent="0.25">
      <c r="P464" s="167" t="s">
        <v>739</v>
      </c>
      <c r="Q464" s="167">
        <v>353</v>
      </c>
      <c r="R464" s="167" t="s">
        <v>3407</v>
      </c>
      <c r="S464" s="167" t="s">
        <v>1011</v>
      </c>
      <c r="T464" s="167">
        <v>12</v>
      </c>
      <c r="U464" s="167" t="s">
        <v>2012</v>
      </c>
      <c r="V464" s="167" t="s">
        <v>3409</v>
      </c>
      <c r="AB464" s="167" t="s">
        <v>1706</v>
      </c>
      <c r="AC464" s="167">
        <v>353</v>
      </c>
      <c r="AD464" s="203">
        <v>43180</v>
      </c>
      <c r="AE464" s="203">
        <v>0</v>
      </c>
      <c r="AF464" s="167" t="s">
        <v>3469</v>
      </c>
    </row>
    <row r="465" spans="16:32" x14ac:dyDescent="0.25">
      <c r="P465" s="167" t="s">
        <v>739</v>
      </c>
      <c r="Q465" s="167">
        <v>353</v>
      </c>
      <c r="R465" s="167" t="s">
        <v>3407</v>
      </c>
      <c r="S465" s="167" t="s">
        <v>1012</v>
      </c>
      <c r="T465" s="167">
        <v>40</v>
      </c>
      <c r="U465" s="167" t="s">
        <v>2014</v>
      </c>
      <c r="V465" s="167" t="s">
        <v>3409</v>
      </c>
      <c r="AB465" s="167" t="s">
        <v>1706</v>
      </c>
      <c r="AC465" s="167">
        <v>353</v>
      </c>
      <c r="AD465" s="203">
        <v>43180</v>
      </c>
      <c r="AE465" s="203">
        <v>0</v>
      </c>
      <c r="AF465" s="167" t="s">
        <v>3469</v>
      </c>
    </row>
    <row r="466" spans="16:32" x14ac:dyDescent="0.25">
      <c r="P466" s="167" t="s">
        <v>739</v>
      </c>
      <c r="Q466" s="167">
        <v>353</v>
      </c>
      <c r="R466" s="167" t="s">
        <v>3407</v>
      </c>
      <c r="S466" s="167" t="s">
        <v>1012</v>
      </c>
      <c r="T466" s="167">
        <v>80</v>
      </c>
      <c r="U466" s="167" t="s">
        <v>2014</v>
      </c>
      <c r="V466" s="167" t="s">
        <v>3409</v>
      </c>
      <c r="AB466" s="167" t="s">
        <v>1706</v>
      </c>
      <c r="AC466" s="167">
        <v>353</v>
      </c>
      <c r="AD466" s="203">
        <v>43180</v>
      </c>
      <c r="AE466" s="203">
        <v>0</v>
      </c>
      <c r="AF466" s="167" t="s">
        <v>3469</v>
      </c>
    </row>
    <row r="467" spans="16:32" x14ac:dyDescent="0.25">
      <c r="P467" s="167" t="s">
        <v>739</v>
      </c>
      <c r="Q467" s="167">
        <v>353</v>
      </c>
      <c r="R467" s="167" t="s">
        <v>3407</v>
      </c>
      <c r="S467" s="167" t="s">
        <v>2015</v>
      </c>
      <c r="T467" s="167">
        <v>20</v>
      </c>
      <c r="U467" s="167" t="s">
        <v>2016</v>
      </c>
      <c r="V467" s="167" t="s">
        <v>3409</v>
      </c>
      <c r="AB467" s="167" t="s">
        <v>1707</v>
      </c>
      <c r="AC467" s="167">
        <v>323</v>
      </c>
      <c r="AD467" s="203">
        <v>43074</v>
      </c>
      <c r="AE467" s="203">
        <v>43111</v>
      </c>
      <c r="AF467" s="167" t="s">
        <v>3470</v>
      </c>
    </row>
    <row r="468" spans="16:32" x14ac:dyDescent="0.25">
      <c r="P468" s="167" t="s">
        <v>739</v>
      </c>
      <c r="Q468" s="167">
        <v>353</v>
      </c>
      <c r="R468" s="167" t="s">
        <v>3407</v>
      </c>
      <c r="S468" s="167" t="s">
        <v>2015</v>
      </c>
      <c r="T468" s="167">
        <v>33</v>
      </c>
      <c r="U468" s="167" t="s">
        <v>2016</v>
      </c>
      <c r="V468" s="167" t="s">
        <v>3409</v>
      </c>
      <c r="AB468" s="167" t="s">
        <v>1707</v>
      </c>
      <c r="AC468" s="167">
        <v>347</v>
      </c>
      <c r="AD468" s="203">
        <v>43118</v>
      </c>
      <c r="AE468" s="203">
        <v>43133</v>
      </c>
      <c r="AF468" s="167" t="s">
        <v>3470</v>
      </c>
    </row>
    <row r="469" spans="16:32" x14ac:dyDescent="0.25">
      <c r="P469" s="167" t="s">
        <v>739</v>
      </c>
      <c r="Q469" s="167">
        <v>353</v>
      </c>
      <c r="R469" s="167" t="s">
        <v>3407</v>
      </c>
      <c r="S469" s="167" t="s">
        <v>2017</v>
      </c>
      <c r="T469" s="167">
        <v>15</v>
      </c>
      <c r="U469" s="167" t="s">
        <v>2018</v>
      </c>
      <c r="V469" s="167" t="s">
        <v>3409</v>
      </c>
      <c r="AB469" s="167" t="s">
        <v>1707</v>
      </c>
      <c r="AC469" s="167">
        <v>340</v>
      </c>
      <c r="AD469" s="203">
        <v>43133</v>
      </c>
      <c r="AE469" s="203">
        <v>43168</v>
      </c>
      <c r="AF469" s="167" t="s">
        <v>3470</v>
      </c>
    </row>
    <row r="470" spans="16:32" x14ac:dyDescent="0.25">
      <c r="P470" s="167" t="s">
        <v>739</v>
      </c>
      <c r="Q470" s="167">
        <v>353</v>
      </c>
      <c r="R470" s="167" t="s">
        <v>3407</v>
      </c>
      <c r="S470" s="167" t="s">
        <v>2017</v>
      </c>
      <c r="T470" s="167">
        <v>1</v>
      </c>
      <c r="U470" s="167" t="s">
        <v>2018</v>
      </c>
      <c r="V470" s="167" t="s">
        <v>3409</v>
      </c>
      <c r="AB470" s="167" t="s">
        <v>1707</v>
      </c>
      <c r="AC470" s="167">
        <v>340</v>
      </c>
      <c r="AD470" s="203">
        <v>43133</v>
      </c>
      <c r="AE470" s="203">
        <v>43168</v>
      </c>
      <c r="AF470" s="167" t="s">
        <v>3470</v>
      </c>
    </row>
    <row r="471" spans="16:32" x14ac:dyDescent="0.25">
      <c r="P471" s="167" t="s">
        <v>739</v>
      </c>
      <c r="Q471" s="167">
        <v>353</v>
      </c>
      <c r="R471" s="167" t="s">
        <v>3407</v>
      </c>
      <c r="S471" s="167" t="s">
        <v>2019</v>
      </c>
      <c r="T471" s="167">
        <v>26</v>
      </c>
      <c r="U471" s="167" t="s">
        <v>2020</v>
      </c>
      <c r="V471" s="167" t="s">
        <v>3409</v>
      </c>
      <c r="AB471" s="167" t="s">
        <v>1707</v>
      </c>
      <c r="AC471" s="167">
        <v>357</v>
      </c>
      <c r="AD471" s="203">
        <v>43139</v>
      </c>
      <c r="AE471" s="203">
        <v>43164</v>
      </c>
      <c r="AF471" s="167" t="s">
        <v>3470</v>
      </c>
    </row>
    <row r="472" spans="16:32" x14ac:dyDescent="0.25">
      <c r="P472" s="167" t="s">
        <v>739</v>
      </c>
      <c r="Q472" s="167">
        <v>353</v>
      </c>
      <c r="R472" s="167" t="s">
        <v>3407</v>
      </c>
      <c r="S472" s="167" t="s">
        <v>2019</v>
      </c>
      <c r="T472" s="167">
        <v>7</v>
      </c>
      <c r="U472" s="167" t="s">
        <v>2020</v>
      </c>
      <c r="V472" s="167" t="s">
        <v>3409</v>
      </c>
      <c r="AB472" s="167" t="s">
        <v>1707</v>
      </c>
      <c r="AC472" s="167">
        <v>353</v>
      </c>
      <c r="AD472" s="203">
        <v>43180</v>
      </c>
      <c r="AE472" s="203">
        <v>0</v>
      </c>
      <c r="AF472" s="167" t="s">
        <v>3469</v>
      </c>
    </row>
    <row r="473" spans="16:32" x14ac:dyDescent="0.25">
      <c r="P473" s="167" t="s">
        <v>739</v>
      </c>
      <c r="Q473" s="167">
        <v>353</v>
      </c>
      <c r="R473" s="167" t="s">
        <v>3407</v>
      </c>
      <c r="S473" s="167" t="s">
        <v>2021</v>
      </c>
      <c r="T473" s="167">
        <v>1</v>
      </c>
      <c r="U473" s="167" t="s">
        <v>2022</v>
      </c>
      <c r="V473" s="167" t="s">
        <v>3409</v>
      </c>
      <c r="AB473" s="167" t="s">
        <v>1707</v>
      </c>
      <c r="AC473" s="167">
        <v>353</v>
      </c>
      <c r="AD473" s="203">
        <v>43180</v>
      </c>
      <c r="AE473" s="203">
        <v>0</v>
      </c>
      <c r="AF473" s="167" t="s">
        <v>3469</v>
      </c>
    </row>
    <row r="474" spans="16:32" x14ac:dyDescent="0.25">
      <c r="P474" s="167" t="s">
        <v>739</v>
      </c>
      <c r="Q474" s="167">
        <v>353</v>
      </c>
      <c r="R474" s="167" t="s">
        <v>3407</v>
      </c>
      <c r="S474" s="167" t="s">
        <v>2021</v>
      </c>
      <c r="T474" s="167">
        <v>1</v>
      </c>
      <c r="U474" s="167" t="s">
        <v>2022</v>
      </c>
      <c r="V474" s="167" t="s">
        <v>3409</v>
      </c>
      <c r="AB474" s="167" t="s">
        <v>1707</v>
      </c>
      <c r="AC474" s="167">
        <v>353</v>
      </c>
      <c r="AD474" s="203">
        <v>43180</v>
      </c>
      <c r="AE474" s="203">
        <v>0</v>
      </c>
      <c r="AF474" s="167" t="s">
        <v>3469</v>
      </c>
    </row>
    <row r="475" spans="16:32" x14ac:dyDescent="0.25">
      <c r="P475" s="167" t="s">
        <v>739</v>
      </c>
      <c r="Q475" s="167">
        <v>353</v>
      </c>
      <c r="R475" s="167" t="s">
        <v>3407</v>
      </c>
      <c r="S475" s="167" t="s">
        <v>2023</v>
      </c>
      <c r="T475" s="167">
        <v>3</v>
      </c>
      <c r="U475" s="167" t="s">
        <v>2024</v>
      </c>
      <c r="V475" s="167" t="s">
        <v>3409</v>
      </c>
      <c r="AB475" s="167" t="s">
        <v>1709</v>
      </c>
      <c r="AC475" s="167">
        <v>357</v>
      </c>
      <c r="AD475" s="203">
        <v>43139</v>
      </c>
      <c r="AE475" s="203">
        <v>43164</v>
      </c>
      <c r="AF475" s="167" t="s">
        <v>3470</v>
      </c>
    </row>
    <row r="476" spans="16:32" x14ac:dyDescent="0.25">
      <c r="P476" s="167" t="s">
        <v>739</v>
      </c>
      <c r="Q476" s="167">
        <v>353</v>
      </c>
      <c r="R476" s="167" t="s">
        <v>3407</v>
      </c>
      <c r="S476" s="167" t="s">
        <v>2025</v>
      </c>
      <c r="T476" s="167">
        <v>5</v>
      </c>
      <c r="U476" s="167" t="s">
        <v>2026</v>
      </c>
      <c r="V476" s="167" t="s">
        <v>3409</v>
      </c>
      <c r="AB476" s="167" t="s">
        <v>1709</v>
      </c>
      <c r="AC476" s="167">
        <v>364</v>
      </c>
      <c r="AD476" s="203">
        <v>43168</v>
      </c>
      <c r="AE476" s="203">
        <v>43179</v>
      </c>
      <c r="AF476" s="167" t="s">
        <v>3470</v>
      </c>
    </row>
    <row r="477" spans="16:32" x14ac:dyDescent="0.25">
      <c r="P477" s="167" t="s">
        <v>739</v>
      </c>
      <c r="Q477" s="167">
        <v>353</v>
      </c>
      <c r="R477" s="167" t="s">
        <v>3407</v>
      </c>
      <c r="S477" s="167" t="s">
        <v>2027</v>
      </c>
      <c r="T477" s="167">
        <v>4</v>
      </c>
      <c r="U477" s="167" t="s">
        <v>2028</v>
      </c>
      <c r="V477" s="167" t="s">
        <v>3409</v>
      </c>
      <c r="AB477" s="167" t="s">
        <v>1709</v>
      </c>
      <c r="AC477" s="167">
        <v>353</v>
      </c>
      <c r="AD477" s="203">
        <v>43180</v>
      </c>
      <c r="AE477" s="203">
        <v>0</v>
      </c>
      <c r="AF477" s="167" t="s">
        <v>3469</v>
      </c>
    </row>
    <row r="478" spans="16:32" x14ac:dyDescent="0.25">
      <c r="P478" s="167" t="s">
        <v>739</v>
      </c>
      <c r="Q478" s="167">
        <v>353</v>
      </c>
      <c r="R478" s="167" t="s">
        <v>3407</v>
      </c>
      <c r="S478" s="167" t="s">
        <v>2027</v>
      </c>
      <c r="T478" s="167">
        <v>5</v>
      </c>
      <c r="U478" s="167" t="s">
        <v>2028</v>
      </c>
      <c r="V478" s="167" t="s">
        <v>3409</v>
      </c>
      <c r="AB478" s="167" t="s">
        <v>1709</v>
      </c>
      <c r="AC478" s="167">
        <v>353</v>
      </c>
      <c r="AD478" s="203">
        <v>43180</v>
      </c>
      <c r="AE478" s="203">
        <v>0</v>
      </c>
      <c r="AF478" s="167" t="s">
        <v>3469</v>
      </c>
    </row>
    <row r="479" spans="16:32" x14ac:dyDescent="0.25">
      <c r="P479" s="167" t="s">
        <v>739</v>
      </c>
      <c r="Q479" s="167">
        <v>353</v>
      </c>
      <c r="R479" s="167" t="s">
        <v>3407</v>
      </c>
      <c r="S479" s="167" t="s">
        <v>2027</v>
      </c>
      <c r="T479" s="167">
        <v>4</v>
      </c>
      <c r="U479" s="167" t="s">
        <v>2028</v>
      </c>
      <c r="V479" s="167" t="s">
        <v>3409</v>
      </c>
      <c r="AB479" s="167" t="s">
        <v>1709</v>
      </c>
      <c r="AC479" s="167">
        <v>353</v>
      </c>
      <c r="AD479" s="203">
        <v>43180</v>
      </c>
      <c r="AE479" s="203">
        <v>0</v>
      </c>
      <c r="AF479" s="167" t="s">
        <v>3469</v>
      </c>
    </row>
    <row r="480" spans="16:32" x14ac:dyDescent="0.25">
      <c r="P480" s="167" t="s">
        <v>739</v>
      </c>
      <c r="Q480" s="167">
        <v>353</v>
      </c>
      <c r="R480" s="167" t="s">
        <v>3407</v>
      </c>
      <c r="S480" s="167" t="s">
        <v>1013</v>
      </c>
      <c r="T480" s="167">
        <v>100</v>
      </c>
      <c r="U480" s="167" t="s">
        <v>2029</v>
      </c>
      <c r="V480" s="167" t="s">
        <v>3409</v>
      </c>
      <c r="AB480" s="167" t="s">
        <v>1709</v>
      </c>
      <c r="AC480" s="167">
        <v>353</v>
      </c>
      <c r="AD480" s="203">
        <v>43180</v>
      </c>
      <c r="AE480" s="203">
        <v>0</v>
      </c>
      <c r="AF480" s="167" t="s">
        <v>3469</v>
      </c>
    </row>
    <row r="481" spans="16:32" x14ac:dyDescent="0.25">
      <c r="P481" s="167" t="s">
        <v>739</v>
      </c>
      <c r="Q481" s="167">
        <v>353</v>
      </c>
      <c r="R481" s="167" t="s">
        <v>3407</v>
      </c>
      <c r="S481" s="167" t="s">
        <v>1013</v>
      </c>
      <c r="T481" s="167">
        <v>425</v>
      </c>
      <c r="U481" s="167" t="s">
        <v>2029</v>
      </c>
      <c r="V481" s="167" t="s">
        <v>3409</v>
      </c>
      <c r="AB481" s="167" t="s">
        <v>1709</v>
      </c>
      <c r="AC481" s="167">
        <v>353</v>
      </c>
      <c r="AD481" s="203">
        <v>43180</v>
      </c>
      <c r="AE481" s="203">
        <v>0</v>
      </c>
      <c r="AF481" s="167" t="s">
        <v>3469</v>
      </c>
    </row>
    <row r="482" spans="16:32" x14ac:dyDescent="0.25">
      <c r="P482" s="167" t="s">
        <v>739</v>
      </c>
      <c r="Q482" s="167">
        <v>353</v>
      </c>
      <c r="R482" s="167" t="s">
        <v>3407</v>
      </c>
      <c r="S482" s="167" t="s">
        <v>1013</v>
      </c>
      <c r="T482" s="167">
        <v>5</v>
      </c>
      <c r="U482" s="167" t="s">
        <v>2029</v>
      </c>
      <c r="V482" s="167" t="s">
        <v>3409</v>
      </c>
      <c r="AB482" s="167" t="s">
        <v>1711</v>
      </c>
      <c r="AC482" s="167">
        <v>323</v>
      </c>
      <c r="AD482" s="203">
        <v>43074</v>
      </c>
      <c r="AE482" s="203">
        <v>43111</v>
      </c>
      <c r="AF482" s="167" t="s">
        <v>3470</v>
      </c>
    </row>
    <row r="483" spans="16:32" x14ac:dyDescent="0.25">
      <c r="P483" s="167" t="s">
        <v>739</v>
      </c>
      <c r="Q483" s="167">
        <v>353</v>
      </c>
      <c r="R483" s="167" t="s">
        <v>3407</v>
      </c>
      <c r="S483" s="167" t="s">
        <v>1013</v>
      </c>
      <c r="T483" s="167">
        <v>5</v>
      </c>
      <c r="U483" s="167" t="s">
        <v>2029</v>
      </c>
      <c r="V483" s="167" t="s">
        <v>3409</v>
      </c>
      <c r="AB483" s="167" t="s">
        <v>1711</v>
      </c>
      <c r="AC483" s="167">
        <v>347</v>
      </c>
      <c r="AD483" s="203">
        <v>43118</v>
      </c>
      <c r="AE483" s="203">
        <v>43133</v>
      </c>
      <c r="AF483" s="167" t="s">
        <v>3470</v>
      </c>
    </row>
    <row r="484" spans="16:32" x14ac:dyDescent="0.25">
      <c r="P484" s="167" t="s">
        <v>739</v>
      </c>
      <c r="Q484" s="167">
        <v>353</v>
      </c>
      <c r="R484" s="167" t="s">
        <v>3407</v>
      </c>
      <c r="S484" s="167" t="s">
        <v>1013</v>
      </c>
      <c r="T484" s="167">
        <v>47</v>
      </c>
      <c r="U484" s="167" t="s">
        <v>2029</v>
      </c>
      <c r="V484" s="167" t="s">
        <v>3409</v>
      </c>
      <c r="AB484" s="167" t="s">
        <v>1711</v>
      </c>
      <c r="AC484" s="167">
        <v>340</v>
      </c>
      <c r="AD484" s="203">
        <v>43133</v>
      </c>
      <c r="AE484" s="203">
        <v>43168</v>
      </c>
      <c r="AF484" s="167" t="s">
        <v>3470</v>
      </c>
    </row>
    <row r="485" spans="16:32" x14ac:dyDescent="0.25">
      <c r="P485" s="167" t="s">
        <v>739</v>
      </c>
      <c r="Q485" s="167">
        <v>353</v>
      </c>
      <c r="R485" s="167" t="s">
        <v>3407</v>
      </c>
      <c r="S485" s="167" t="s">
        <v>2030</v>
      </c>
      <c r="T485" s="167">
        <v>1</v>
      </c>
      <c r="U485" s="167" t="s">
        <v>2031</v>
      </c>
      <c r="V485" s="167" t="s">
        <v>3409</v>
      </c>
      <c r="AB485" s="167" t="s">
        <v>1711</v>
      </c>
      <c r="AC485" s="167">
        <v>340</v>
      </c>
      <c r="AD485" s="203">
        <v>43133</v>
      </c>
      <c r="AE485" s="203">
        <v>43168</v>
      </c>
      <c r="AF485" s="167" t="s">
        <v>3470</v>
      </c>
    </row>
    <row r="486" spans="16:32" x14ac:dyDescent="0.25">
      <c r="P486" s="167" t="s">
        <v>739</v>
      </c>
      <c r="Q486" s="167">
        <v>353</v>
      </c>
      <c r="R486" s="167" t="s">
        <v>3407</v>
      </c>
      <c r="S486" s="167" t="s">
        <v>2032</v>
      </c>
      <c r="T486" s="167">
        <v>7</v>
      </c>
      <c r="U486" s="167" t="s">
        <v>2033</v>
      </c>
      <c r="V486" s="167" t="s">
        <v>3409</v>
      </c>
      <c r="AB486" s="167" t="s">
        <v>1711</v>
      </c>
      <c r="AC486" s="167">
        <v>357</v>
      </c>
      <c r="AD486" s="203">
        <v>43139</v>
      </c>
      <c r="AE486" s="203">
        <v>43164</v>
      </c>
      <c r="AF486" s="167" t="s">
        <v>3470</v>
      </c>
    </row>
    <row r="487" spans="16:32" x14ac:dyDescent="0.25">
      <c r="P487" s="167" t="s">
        <v>739</v>
      </c>
      <c r="Q487" s="167">
        <v>353</v>
      </c>
      <c r="R487" s="167" t="s">
        <v>3407</v>
      </c>
      <c r="S487" s="167" t="s">
        <v>2032</v>
      </c>
      <c r="T487" s="167">
        <v>15</v>
      </c>
      <c r="U487" s="167" t="s">
        <v>2033</v>
      </c>
      <c r="V487" s="167" t="s">
        <v>3409</v>
      </c>
      <c r="AB487" s="167" t="s">
        <v>1711</v>
      </c>
      <c r="AC487" s="167">
        <v>353</v>
      </c>
      <c r="AD487" s="203">
        <v>43180</v>
      </c>
      <c r="AE487" s="203">
        <v>0</v>
      </c>
      <c r="AF487" s="167" t="s">
        <v>3469</v>
      </c>
    </row>
    <row r="488" spans="16:32" x14ac:dyDescent="0.25">
      <c r="P488" s="167" t="s">
        <v>739</v>
      </c>
      <c r="Q488" s="167">
        <v>353</v>
      </c>
      <c r="R488" s="167" t="s">
        <v>3407</v>
      </c>
      <c r="S488" s="167" t="s">
        <v>2040</v>
      </c>
      <c r="T488" s="167">
        <v>3</v>
      </c>
      <c r="U488" s="167" t="s">
        <v>2041</v>
      </c>
      <c r="V488" s="167" t="s">
        <v>3409</v>
      </c>
      <c r="AB488" s="167" t="s">
        <v>1711</v>
      </c>
      <c r="AC488" s="167">
        <v>353</v>
      </c>
      <c r="AD488" s="203">
        <v>43180</v>
      </c>
      <c r="AE488" s="203">
        <v>0</v>
      </c>
      <c r="AF488" s="167" t="s">
        <v>3469</v>
      </c>
    </row>
    <row r="489" spans="16:32" x14ac:dyDescent="0.25">
      <c r="P489" s="167" t="s">
        <v>739</v>
      </c>
      <c r="Q489" s="167">
        <v>353</v>
      </c>
      <c r="R489" s="167" t="s">
        <v>3407</v>
      </c>
      <c r="S489" s="167" t="s">
        <v>2040</v>
      </c>
      <c r="T489" s="167">
        <v>22</v>
      </c>
      <c r="U489" s="167" t="s">
        <v>2041</v>
      </c>
      <c r="V489" s="167" t="s">
        <v>3409</v>
      </c>
      <c r="AB489" s="167" t="s">
        <v>1711</v>
      </c>
      <c r="AC489" s="167">
        <v>353</v>
      </c>
      <c r="AD489" s="203">
        <v>43180</v>
      </c>
      <c r="AE489" s="203">
        <v>0</v>
      </c>
      <c r="AF489" s="167" t="s">
        <v>3469</v>
      </c>
    </row>
    <row r="490" spans="16:32" x14ac:dyDescent="0.25">
      <c r="P490" s="167" t="s">
        <v>739</v>
      </c>
      <c r="Q490" s="167">
        <v>353</v>
      </c>
      <c r="R490" s="167" t="s">
        <v>3407</v>
      </c>
      <c r="S490" s="167" t="s">
        <v>2040</v>
      </c>
      <c r="T490" s="167">
        <v>3</v>
      </c>
      <c r="U490" s="167" t="s">
        <v>2041</v>
      </c>
      <c r="V490" s="167" t="s">
        <v>3409</v>
      </c>
      <c r="AB490" s="167" t="s">
        <v>1713</v>
      </c>
      <c r="AC490" s="167">
        <v>347</v>
      </c>
      <c r="AD490" s="203">
        <v>43118</v>
      </c>
      <c r="AE490" s="203">
        <v>43133</v>
      </c>
      <c r="AF490" s="167" t="s">
        <v>3470</v>
      </c>
    </row>
    <row r="491" spans="16:32" x14ac:dyDescent="0.25">
      <c r="P491" s="167" t="s">
        <v>739</v>
      </c>
      <c r="Q491" s="167">
        <v>353</v>
      </c>
      <c r="R491" s="167" t="s">
        <v>3407</v>
      </c>
      <c r="S491" s="167" t="s">
        <v>2040</v>
      </c>
      <c r="T491" s="167">
        <v>3</v>
      </c>
      <c r="U491" s="167" t="s">
        <v>2041</v>
      </c>
      <c r="V491" s="167" t="s">
        <v>3409</v>
      </c>
      <c r="AB491" s="167" t="s">
        <v>1713</v>
      </c>
      <c r="AC491" s="167">
        <v>340</v>
      </c>
      <c r="AD491" s="203">
        <v>43133</v>
      </c>
      <c r="AE491" s="203">
        <v>43168</v>
      </c>
      <c r="AF491" s="167" t="s">
        <v>3470</v>
      </c>
    </row>
    <row r="492" spans="16:32" x14ac:dyDescent="0.25">
      <c r="P492" s="167" t="s">
        <v>739</v>
      </c>
      <c r="Q492" s="167">
        <v>353</v>
      </c>
      <c r="R492" s="167" t="s">
        <v>3407</v>
      </c>
      <c r="S492" s="167" t="s">
        <v>2042</v>
      </c>
      <c r="T492" s="167">
        <v>20</v>
      </c>
      <c r="U492" s="167" t="s">
        <v>2043</v>
      </c>
      <c r="V492" s="167" t="s">
        <v>3409</v>
      </c>
      <c r="AB492" s="167" t="s">
        <v>1713</v>
      </c>
      <c r="AC492" s="167">
        <v>357</v>
      </c>
      <c r="AD492" s="203">
        <v>43139</v>
      </c>
      <c r="AE492" s="203">
        <v>43164</v>
      </c>
      <c r="AF492" s="167" t="s">
        <v>3470</v>
      </c>
    </row>
    <row r="493" spans="16:32" x14ac:dyDescent="0.25">
      <c r="P493" s="167" t="s">
        <v>739</v>
      </c>
      <c r="Q493" s="167">
        <v>353</v>
      </c>
      <c r="R493" s="167" t="s">
        <v>3407</v>
      </c>
      <c r="S493" s="167" t="s">
        <v>2042</v>
      </c>
      <c r="T493" s="167">
        <v>10</v>
      </c>
      <c r="U493" s="167" t="s">
        <v>2043</v>
      </c>
      <c r="V493" s="167" t="s">
        <v>3409</v>
      </c>
      <c r="AB493" s="167" t="s">
        <v>1713</v>
      </c>
      <c r="AC493" s="167">
        <v>353</v>
      </c>
      <c r="AD493" s="203">
        <v>43180</v>
      </c>
      <c r="AE493" s="203">
        <v>0</v>
      </c>
      <c r="AF493" s="167" t="s">
        <v>3469</v>
      </c>
    </row>
    <row r="494" spans="16:32" x14ac:dyDescent="0.25">
      <c r="P494" s="167" t="s">
        <v>739</v>
      </c>
      <c r="Q494" s="167">
        <v>353</v>
      </c>
      <c r="R494" s="167" t="s">
        <v>3407</v>
      </c>
      <c r="S494" s="167" t="s">
        <v>2044</v>
      </c>
      <c r="T494" s="167">
        <v>16</v>
      </c>
      <c r="U494" s="167" t="s">
        <v>2045</v>
      </c>
      <c r="V494" s="167" t="s">
        <v>3409</v>
      </c>
      <c r="AB494" s="167" t="s">
        <v>1715</v>
      </c>
      <c r="AC494" s="167">
        <v>327</v>
      </c>
      <c r="AD494" s="203">
        <v>43074</v>
      </c>
      <c r="AE494" s="203">
        <v>43131</v>
      </c>
      <c r="AF494" s="167" t="s">
        <v>3470</v>
      </c>
    </row>
    <row r="495" spans="16:32" x14ac:dyDescent="0.25">
      <c r="P495" s="167" t="s">
        <v>739</v>
      </c>
      <c r="Q495" s="167">
        <v>353</v>
      </c>
      <c r="R495" s="167" t="s">
        <v>3407</v>
      </c>
      <c r="S495" s="167" t="s">
        <v>2044</v>
      </c>
      <c r="T495" s="167">
        <v>50</v>
      </c>
      <c r="U495" s="167" t="s">
        <v>2045</v>
      </c>
      <c r="V495" s="167" t="s">
        <v>3409</v>
      </c>
      <c r="AB495" s="167" t="s">
        <v>1715</v>
      </c>
      <c r="AC495" s="167">
        <v>347</v>
      </c>
      <c r="AD495" s="203">
        <v>43118</v>
      </c>
      <c r="AE495" s="203">
        <v>43133</v>
      </c>
      <c r="AF495" s="167" t="s">
        <v>3470</v>
      </c>
    </row>
    <row r="496" spans="16:32" x14ac:dyDescent="0.25">
      <c r="P496" s="167" t="s">
        <v>739</v>
      </c>
      <c r="Q496" s="167">
        <v>353</v>
      </c>
      <c r="R496" s="167" t="s">
        <v>3407</v>
      </c>
      <c r="S496" s="167" t="s">
        <v>2044</v>
      </c>
      <c r="T496" s="167">
        <v>55</v>
      </c>
      <c r="U496" s="167" t="s">
        <v>2045</v>
      </c>
      <c r="V496" s="167" t="s">
        <v>3409</v>
      </c>
      <c r="AB496" s="167" t="s">
        <v>1715</v>
      </c>
      <c r="AC496" s="167">
        <v>340</v>
      </c>
      <c r="AD496" s="203">
        <v>43133</v>
      </c>
      <c r="AE496" s="203">
        <v>43168</v>
      </c>
      <c r="AF496" s="167" t="s">
        <v>3470</v>
      </c>
    </row>
    <row r="497" spans="16:32" x14ac:dyDescent="0.25">
      <c r="P497" s="167" t="s">
        <v>739</v>
      </c>
      <c r="Q497" s="167">
        <v>353</v>
      </c>
      <c r="R497" s="167" t="s">
        <v>3407</v>
      </c>
      <c r="S497" s="167" t="s">
        <v>2047</v>
      </c>
      <c r="T497" s="167">
        <v>50</v>
      </c>
      <c r="U497" s="167" t="s">
        <v>2048</v>
      </c>
      <c r="V497" s="167" t="s">
        <v>3409</v>
      </c>
      <c r="AB497" s="167" t="s">
        <v>1715</v>
      </c>
      <c r="AC497" s="167">
        <v>340</v>
      </c>
      <c r="AD497" s="203">
        <v>43133</v>
      </c>
      <c r="AE497" s="203">
        <v>43168</v>
      </c>
      <c r="AF497" s="167" t="s">
        <v>3470</v>
      </c>
    </row>
    <row r="498" spans="16:32" x14ac:dyDescent="0.25">
      <c r="P498" s="167" t="s">
        <v>739</v>
      </c>
      <c r="Q498" s="167">
        <v>353</v>
      </c>
      <c r="R498" s="167" t="s">
        <v>3407</v>
      </c>
      <c r="S498" s="167" t="s">
        <v>2047</v>
      </c>
      <c r="T498" s="167">
        <v>20</v>
      </c>
      <c r="U498" s="167" t="s">
        <v>2048</v>
      </c>
      <c r="V498" s="167" t="s">
        <v>3409</v>
      </c>
      <c r="AB498" s="167" t="s">
        <v>1715</v>
      </c>
      <c r="AC498" s="167">
        <v>353</v>
      </c>
      <c r="AD498" s="203">
        <v>43180</v>
      </c>
      <c r="AE498" s="203">
        <v>0</v>
      </c>
      <c r="AF498" s="167" t="s">
        <v>3469</v>
      </c>
    </row>
    <row r="499" spans="16:32" x14ac:dyDescent="0.25">
      <c r="P499" s="167" t="s">
        <v>739</v>
      </c>
      <c r="Q499" s="167">
        <v>353</v>
      </c>
      <c r="R499" s="167" t="s">
        <v>3407</v>
      </c>
      <c r="S499" s="167" t="s">
        <v>2047</v>
      </c>
      <c r="T499" s="167">
        <v>48</v>
      </c>
      <c r="U499" s="167" t="s">
        <v>2048</v>
      </c>
      <c r="V499" s="167" t="s">
        <v>3409</v>
      </c>
      <c r="AB499" s="167" t="s">
        <v>1717</v>
      </c>
      <c r="AC499" s="167">
        <v>323</v>
      </c>
      <c r="AD499" s="203">
        <v>43074</v>
      </c>
      <c r="AE499" s="203">
        <v>43111</v>
      </c>
      <c r="AF499" s="167" t="s">
        <v>3470</v>
      </c>
    </row>
    <row r="500" spans="16:32" x14ac:dyDescent="0.25">
      <c r="P500" s="167" t="s">
        <v>739</v>
      </c>
      <c r="Q500" s="167">
        <v>353</v>
      </c>
      <c r="R500" s="167" t="s">
        <v>3407</v>
      </c>
      <c r="S500" s="167" t="s">
        <v>1016</v>
      </c>
      <c r="T500" s="167">
        <v>100</v>
      </c>
      <c r="U500" s="167" t="s">
        <v>2051</v>
      </c>
      <c r="V500" s="167" t="s">
        <v>3409</v>
      </c>
      <c r="AB500" s="167" t="s">
        <v>1717</v>
      </c>
      <c r="AC500" s="167">
        <v>347</v>
      </c>
      <c r="AD500" s="203">
        <v>43118</v>
      </c>
      <c r="AE500" s="203">
        <v>43133</v>
      </c>
      <c r="AF500" s="167" t="s">
        <v>3470</v>
      </c>
    </row>
    <row r="501" spans="16:32" x14ac:dyDescent="0.25">
      <c r="P501" s="167" t="s">
        <v>739</v>
      </c>
      <c r="Q501" s="167">
        <v>353</v>
      </c>
      <c r="R501" s="167" t="s">
        <v>3407</v>
      </c>
      <c r="S501" s="167" t="s">
        <v>1016</v>
      </c>
      <c r="T501" s="167">
        <v>180</v>
      </c>
      <c r="U501" s="167" t="s">
        <v>2051</v>
      </c>
      <c r="V501" s="167" t="s">
        <v>3409</v>
      </c>
      <c r="AB501" s="167" t="s">
        <v>1717</v>
      </c>
      <c r="AC501" s="167">
        <v>340</v>
      </c>
      <c r="AD501" s="203">
        <v>43133</v>
      </c>
      <c r="AE501" s="203">
        <v>43168</v>
      </c>
      <c r="AF501" s="167" t="s">
        <v>3470</v>
      </c>
    </row>
    <row r="502" spans="16:32" x14ac:dyDescent="0.25">
      <c r="P502" s="167" t="s">
        <v>739</v>
      </c>
      <c r="Q502" s="167">
        <v>353</v>
      </c>
      <c r="R502" s="167" t="s">
        <v>3407</v>
      </c>
      <c r="S502" s="167" t="s">
        <v>1016</v>
      </c>
      <c r="T502" s="167">
        <v>103</v>
      </c>
      <c r="U502" s="167" t="s">
        <v>2051</v>
      </c>
      <c r="V502" s="167" t="s">
        <v>3409</v>
      </c>
      <c r="AB502" s="167" t="s">
        <v>1717</v>
      </c>
      <c r="AC502" s="167">
        <v>340</v>
      </c>
      <c r="AD502" s="203">
        <v>43133</v>
      </c>
      <c r="AE502" s="203">
        <v>43168</v>
      </c>
      <c r="AF502" s="167" t="s">
        <v>3470</v>
      </c>
    </row>
    <row r="503" spans="16:32" x14ac:dyDescent="0.25">
      <c r="P503" s="167" t="s">
        <v>739</v>
      </c>
      <c r="Q503" s="167">
        <v>353</v>
      </c>
      <c r="R503" s="167" t="s">
        <v>3407</v>
      </c>
      <c r="S503" s="167" t="s">
        <v>1016</v>
      </c>
      <c r="T503" s="167">
        <v>24</v>
      </c>
      <c r="U503" s="167" t="s">
        <v>2051</v>
      </c>
      <c r="V503" s="167" t="s">
        <v>3409</v>
      </c>
      <c r="AB503" s="167" t="s">
        <v>1717</v>
      </c>
      <c r="AC503" s="167">
        <v>353</v>
      </c>
      <c r="AD503" s="203">
        <v>43180</v>
      </c>
      <c r="AE503" s="203">
        <v>0</v>
      </c>
      <c r="AF503" s="167" t="s">
        <v>3469</v>
      </c>
    </row>
    <row r="504" spans="16:32" x14ac:dyDescent="0.25">
      <c r="P504" s="167" t="s">
        <v>739</v>
      </c>
      <c r="Q504" s="167">
        <v>353</v>
      </c>
      <c r="R504" s="167" t="s">
        <v>3407</v>
      </c>
      <c r="S504" s="167" t="s">
        <v>1016</v>
      </c>
      <c r="T504" s="167">
        <v>30</v>
      </c>
      <c r="U504" s="167" t="s">
        <v>2051</v>
      </c>
      <c r="V504" s="167" t="s">
        <v>3409</v>
      </c>
      <c r="AB504" s="167" t="s">
        <v>1719</v>
      </c>
      <c r="AC504" s="167">
        <v>323</v>
      </c>
      <c r="AD504" s="203">
        <v>43074</v>
      </c>
      <c r="AE504" s="203">
        <v>43111</v>
      </c>
      <c r="AF504" s="167" t="s">
        <v>3470</v>
      </c>
    </row>
    <row r="505" spans="16:32" x14ac:dyDescent="0.25">
      <c r="P505" s="167" t="s">
        <v>739</v>
      </c>
      <c r="Q505" s="167">
        <v>353</v>
      </c>
      <c r="R505" s="167" t="s">
        <v>3407</v>
      </c>
      <c r="S505" s="167" t="s">
        <v>1016</v>
      </c>
      <c r="T505" s="167">
        <v>180</v>
      </c>
      <c r="U505" s="167" t="s">
        <v>2051</v>
      </c>
      <c r="V505" s="167" t="s">
        <v>3409</v>
      </c>
      <c r="AB505" s="167" t="s">
        <v>1719</v>
      </c>
      <c r="AC505" s="167">
        <v>347</v>
      </c>
      <c r="AD505" s="203">
        <v>43118</v>
      </c>
      <c r="AE505" s="203">
        <v>43133</v>
      </c>
      <c r="AF505" s="167" t="s">
        <v>3470</v>
      </c>
    </row>
    <row r="506" spans="16:32" x14ac:dyDescent="0.25">
      <c r="P506" s="167" t="s">
        <v>739</v>
      </c>
      <c r="Q506" s="167">
        <v>353</v>
      </c>
      <c r="R506" s="167" t="s">
        <v>3407</v>
      </c>
      <c r="S506" s="167" t="s">
        <v>1016</v>
      </c>
      <c r="T506" s="167">
        <v>14</v>
      </c>
      <c r="U506" s="167" t="s">
        <v>2051</v>
      </c>
      <c r="V506" s="167" t="s">
        <v>3409</v>
      </c>
      <c r="AB506" s="167" t="s">
        <v>1719</v>
      </c>
      <c r="AC506" s="167">
        <v>340</v>
      </c>
      <c r="AD506" s="203">
        <v>43133</v>
      </c>
      <c r="AE506" s="203">
        <v>43168</v>
      </c>
      <c r="AF506" s="167" t="s">
        <v>3470</v>
      </c>
    </row>
    <row r="507" spans="16:32" x14ac:dyDescent="0.25">
      <c r="P507" s="167" t="s">
        <v>739</v>
      </c>
      <c r="Q507" s="167">
        <v>353</v>
      </c>
      <c r="R507" s="167" t="s">
        <v>3407</v>
      </c>
      <c r="S507" s="167" t="s">
        <v>1016</v>
      </c>
      <c r="T507" s="167">
        <v>38</v>
      </c>
      <c r="U507" s="167" t="s">
        <v>2051</v>
      </c>
      <c r="V507" s="167" t="s">
        <v>3409</v>
      </c>
      <c r="AB507" s="167" t="s">
        <v>1719</v>
      </c>
      <c r="AC507" s="167">
        <v>340</v>
      </c>
      <c r="AD507" s="203">
        <v>43133</v>
      </c>
      <c r="AE507" s="203">
        <v>43168</v>
      </c>
      <c r="AF507" s="167" t="s">
        <v>3470</v>
      </c>
    </row>
    <row r="508" spans="16:32" x14ac:dyDescent="0.25">
      <c r="P508" s="167" t="s">
        <v>739</v>
      </c>
      <c r="Q508" s="167">
        <v>353</v>
      </c>
      <c r="R508" s="167" t="s">
        <v>3407</v>
      </c>
      <c r="S508" s="167" t="s">
        <v>1016</v>
      </c>
      <c r="T508" s="167">
        <v>30</v>
      </c>
      <c r="U508" s="167" t="s">
        <v>2051</v>
      </c>
      <c r="V508" s="167" t="s">
        <v>3409</v>
      </c>
      <c r="AB508" s="167" t="s">
        <v>1719</v>
      </c>
      <c r="AC508" s="167">
        <v>374</v>
      </c>
      <c r="AD508" s="203">
        <v>43195</v>
      </c>
      <c r="AE508" s="203">
        <v>0</v>
      </c>
      <c r="AF508" s="167" t="s">
        <v>3469</v>
      </c>
    </row>
    <row r="509" spans="16:32" x14ac:dyDescent="0.25">
      <c r="P509" s="167" t="s">
        <v>739</v>
      </c>
      <c r="Q509" s="167">
        <v>353</v>
      </c>
      <c r="R509" s="167" t="s">
        <v>3407</v>
      </c>
      <c r="S509" s="167" t="s">
        <v>1016</v>
      </c>
      <c r="T509" s="167">
        <v>1</v>
      </c>
      <c r="U509" s="167" t="s">
        <v>2051</v>
      </c>
      <c r="V509" s="167" t="s">
        <v>3409</v>
      </c>
      <c r="AB509" s="167" t="s">
        <v>1720</v>
      </c>
      <c r="AC509" s="167">
        <v>323</v>
      </c>
      <c r="AD509" s="203">
        <v>43074</v>
      </c>
      <c r="AE509" s="203">
        <v>43111</v>
      </c>
      <c r="AF509" s="167" t="s">
        <v>3470</v>
      </c>
    </row>
    <row r="510" spans="16:32" x14ac:dyDescent="0.25">
      <c r="P510" s="167" t="s">
        <v>739</v>
      </c>
      <c r="Q510" s="167">
        <v>353</v>
      </c>
      <c r="R510" s="167" t="s">
        <v>3407</v>
      </c>
      <c r="S510" s="167" t="s">
        <v>1016</v>
      </c>
      <c r="T510" s="167">
        <v>164</v>
      </c>
      <c r="U510" s="167" t="s">
        <v>2051</v>
      </c>
      <c r="V510" s="167" t="s">
        <v>3409</v>
      </c>
      <c r="AB510" s="167" t="s">
        <v>1720</v>
      </c>
      <c r="AC510" s="167">
        <v>347</v>
      </c>
      <c r="AD510" s="203">
        <v>43118</v>
      </c>
      <c r="AE510" s="203">
        <v>43133</v>
      </c>
      <c r="AF510" s="167" t="s">
        <v>3470</v>
      </c>
    </row>
    <row r="511" spans="16:32" x14ac:dyDescent="0.25">
      <c r="P511" s="167" t="s">
        <v>739</v>
      </c>
      <c r="Q511" s="167">
        <v>353</v>
      </c>
      <c r="R511" s="167" t="s">
        <v>3407</v>
      </c>
      <c r="S511" s="167" t="s">
        <v>1016</v>
      </c>
      <c r="T511" s="167">
        <v>61</v>
      </c>
      <c r="U511" s="167" t="s">
        <v>2051</v>
      </c>
      <c r="V511" s="167" t="s">
        <v>3409</v>
      </c>
      <c r="AB511" s="167" t="s">
        <v>1720</v>
      </c>
      <c r="AC511" s="167">
        <v>340</v>
      </c>
      <c r="AD511" s="203">
        <v>43133</v>
      </c>
      <c r="AE511" s="203">
        <v>43168</v>
      </c>
      <c r="AF511" s="167" t="s">
        <v>3470</v>
      </c>
    </row>
    <row r="512" spans="16:32" x14ac:dyDescent="0.25">
      <c r="P512" s="167" t="s">
        <v>739</v>
      </c>
      <c r="Q512" s="167">
        <v>353</v>
      </c>
      <c r="R512" s="167" t="s">
        <v>3407</v>
      </c>
      <c r="S512" s="167" t="s">
        <v>1017</v>
      </c>
      <c r="T512" s="167">
        <v>10</v>
      </c>
      <c r="U512" s="167" t="s">
        <v>2054</v>
      </c>
      <c r="V512" s="167" t="s">
        <v>3409</v>
      </c>
      <c r="AB512" s="167" t="s">
        <v>1721</v>
      </c>
      <c r="AC512" s="167">
        <v>323</v>
      </c>
      <c r="AD512" s="203">
        <v>43074</v>
      </c>
      <c r="AE512" s="203">
        <v>43111</v>
      </c>
      <c r="AF512" s="167" t="s">
        <v>3470</v>
      </c>
    </row>
    <row r="513" spans="16:32" x14ac:dyDescent="0.25">
      <c r="P513" s="167" t="s">
        <v>739</v>
      </c>
      <c r="Q513" s="167">
        <v>353</v>
      </c>
      <c r="R513" s="167" t="s">
        <v>3407</v>
      </c>
      <c r="S513" s="167" t="s">
        <v>1017</v>
      </c>
      <c r="T513" s="167">
        <v>203</v>
      </c>
      <c r="U513" s="167" t="s">
        <v>2054</v>
      </c>
      <c r="V513" s="167" t="s">
        <v>3409</v>
      </c>
      <c r="AB513" s="167" t="s">
        <v>1721</v>
      </c>
      <c r="AC513" s="167">
        <v>327</v>
      </c>
      <c r="AD513" s="203">
        <v>43074</v>
      </c>
      <c r="AE513" s="203">
        <v>43131</v>
      </c>
      <c r="AF513" s="167" t="s">
        <v>3470</v>
      </c>
    </row>
    <row r="514" spans="16:32" x14ac:dyDescent="0.25">
      <c r="P514" s="167" t="s">
        <v>739</v>
      </c>
      <c r="Q514" s="167">
        <v>353</v>
      </c>
      <c r="R514" s="167" t="s">
        <v>3407</v>
      </c>
      <c r="S514" s="167" t="s">
        <v>1017</v>
      </c>
      <c r="T514" s="167">
        <v>22</v>
      </c>
      <c r="U514" s="167" t="s">
        <v>2054</v>
      </c>
      <c r="V514" s="167" t="s">
        <v>3409</v>
      </c>
      <c r="AB514" s="167" t="s">
        <v>1721</v>
      </c>
      <c r="AC514" s="167">
        <v>347</v>
      </c>
      <c r="AD514" s="203">
        <v>43118</v>
      </c>
      <c r="AE514" s="203">
        <v>43133</v>
      </c>
      <c r="AF514" s="167" t="s">
        <v>3470</v>
      </c>
    </row>
    <row r="515" spans="16:32" x14ac:dyDescent="0.25">
      <c r="P515" s="167" t="s">
        <v>739</v>
      </c>
      <c r="Q515" s="167">
        <v>353</v>
      </c>
      <c r="R515" s="167" t="s">
        <v>3407</v>
      </c>
      <c r="S515" s="167" t="s">
        <v>1018</v>
      </c>
      <c r="T515" s="167">
        <v>400</v>
      </c>
      <c r="U515" s="167" t="s">
        <v>2055</v>
      </c>
      <c r="V515" s="167" t="s">
        <v>3409</v>
      </c>
      <c r="AB515" s="167" t="s">
        <v>1721</v>
      </c>
      <c r="AC515" s="167">
        <v>340</v>
      </c>
      <c r="AD515" s="203">
        <v>43133</v>
      </c>
      <c r="AE515" s="203">
        <v>43168</v>
      </c>
      <c r="AF515" s="167" t="s">
        <v>3470</v>
      </c>
    </row>
    <row r="516" spans="16:32" x14ac:dyDescent="0.25">
      <c r="P516" s="167" t="s">
        <v>739</v>
      </c>
      <c r="Q516" s="167">
        <v>353</v>
      </c>
      <c r="R516" s="167" t="s">
        <v>3407</v>
      </c>
      <c r="S516" s="167" t="s">
        <v>1018</v>
      </c>
      <c r="T516" s="167">
        <v>48</v>
      </c>
      <c r="U516" s="167" t="s">
        <v>2055</v>
      </c>
      <c r="V516" s="167" t="s">
        <v>3409</v>
      </c>
      <c r="AB516" s="167" t="s">
        <v>1721</v>
      </c>
      <c r="AC516" s="167">
        <v>340</v>
      </c>
      <c r="AD516" s="203">
        <v>43133</v>
      </c>
      <c r="AE516" s="203">
        <v>43168</v>
      </c>
      <c r="AF516" s="167" t="s">
        <v>3470</v>
      </c>
    </row>
    <row r="517" spans="16:32" x14ac:dyDescent="0.25">
      <c r="P517" s="167" t="s">
        <v>739</v>
      </c>
      <c r="Q517" s="167">
        <v>353</v>
      </c>
      <c r="R517" s="167" t="s">
        <v>3407</v>
      </c>
      <c r="S517" s="167" t="s">
        <v>1018</v>
      </c>
      <c r="T517" s="167">
        <v>37</v>
      </c>
      <c r="U517" s="167" t="s">
        <v>2055</v>
      </c>
      <c r="V517" s="167" t="s">
        <v>3409</v>
      </c>
      <c r="AB517" s="167" t="s">
        <v>1721</v>
      </c>
      <c r="AC517" s="167">
        <v>357</v>
      </c>
      <c r="AD517" s="203">
        <v>43139</v>
      </c>
      <c r="AE517" s="203">
        <v>43164</v>
      </c>
      <c r="AF517" s="167" t="s">
        <v>3470</v>
      </c>
    </row>
    <row r="518" spans="16:32" x14ac:dyDescent="0.25">
      <c r="P518" s="167" t="s">
        <v>739</v>
      </c>
      <c r="Q518" s="167">
        <v>353</v>
      </c>
      <c r="R518" s="167" t="s">
        <v>3407</v>
      </c>
      <c r="S518" s="167" t="s">
        <v>1018</v>
      </c>
      <c r="T518" s="167">
        <v>608</v>
      </c>
      <c r="U518" s="167" t="s">
        <v>2055</v>
      </c>
      <c r="V518" s="167" t="s">
        <v>3409</v>
      </c>
      <c r="AB518" s="167" t="s">
        <v>1721</v>
      </c>
      <c r="AC518" s="167">
        <v>364</v>
      </c>
      <c r="AD518" s="203">
        <v>43168</v>
      </c>
      <c r="AE518" s="203">
        <v>43179</v>
      </c>
      <c r="AF518" s="167" t="s">
        <v>3470</v>
      </c>
    </row>
    <row r="519" spans="16:32" x14ac:dyDescent="0.25">
      <c r="P519" s="167" t="s">
        <v>739</v>
      </c>
      <c r="Q519" s="167">
        <v>353</v>
      </c>
      <c r="R519" s="167" t="s">
        <v>3407</v>
      </c>
      <c r="S519" s="167" t="s">
        <v>1018</v>
      </c>
      <c r="T519" s="167">
        <v>297</v>
      </c>
      <c r="U519" s="167" t="s">
        <v>2055</v>
      </c>
      <c r="V519" s="167" t="s">
        <v>3409</v>
      </c>
      <c r="AB519" s="167" t="s">
        <v>1721</v>
      </c>
      <c r="AC519" s="167">
        <v>353</v>
      </c>
      <c r="AD519" s="203">
        <v>43180</v>
      </c>
      <c r="AE519" s="203">
        <v>0</v>
      </c>
      <c r="AF519" s="167" t="s">
        <v>3469</v>
      </c>
    </row>
    <row r="520" spans="16:32" x14ac:dyDescent="0.25">
      <c r="P520" s="167" t="s">
        <v>739</v>
      </c>
      <c r="Q520" s="167">
        <v>353</v>
      </c>
      <c r="R520" s="167" t="s">
        <v>3407</v>
      </c>
      <c r="S520" s="167" t="s">
        <v>1018</v>
      </c>
      <c r="T520" s="167">
        <v>55</v>
      </c>
      <c r="U520" s="167" t="s">
        <v>2055</v>
      </c>
      <c r="V520" s="167" t="s">
        <v>3409</v>
      </c>
      <c r="AB520" s="167" t="s">
        <v>1721</v>
      </c>
      <c r="AC520" s="167">
        <v>353</v>
      </c>
      <c r="AD520" s="203">
        <v>43180</v>
      </c>
      <c r="AE520" s="203">
        <v>0</v>
      </c>
      <c r="AF520" s="167" t="s">
        <v>3469</v>
      </c>
    </row>
    <row r="521" spans="16:32" x14ac:dyDescent="0.25">
      <c r="P521" s="167" t="s">
        <v>739</v>
      </c>
      <c r="Q521" s="167">
        <v>353</v>
      </c>
      <c r="R521" s="167" t="s">
        <v>3407</v>
      </c>
      <c r="S521" s="167" t="s">
        <v>1018</v>
      </c>
      <c r="T521" s="167">
        <v>49</v>
      </c>
      <c r="U521" s="167" t="s">
        <v>2055</v>
      </c>
      <c r="V521" s="167" t="s">
        <v>3409</v>
      </c>
      <c r="AB521" s="167" t="s">
        <v>1723</v>
      </c>
      <c r="AC521" s="167">
        <v>323</v>
      </c>
      <c r="AD521" s="203">
        <v>43074</v>
      </c>
      <c r="AE521" s="203">
        <v>43111</v>
      </c>
      <c r="AF521" s="167" t="s">
        <v>3470</v>
      </c>
    </row>
    <row r="522" spans="16:32" x14ac:dyDescent="0.25">
      <c r="P522" s="167" t="s">
        <v>739</v>
      </c>
      <c r="Q522" s="167">
        <v>353</v>
      </c>
      <c r="R522" s="167" t="s">
        <v>3407</v>
      </c>
      <c r="S522" s="167" t="s">
        <v>1018</v>
      </c>
      <c r="T522" s="167">
        <v>40</v>
      </c>
      <c r="U522" s="167" t="s">
        <v>2055</v>
      </c>
      <c r="V522" s="167" t="s">
        <v>3409</v>
      </c>
      <c r="AB522" s="167" t="s">
        <v>1723</v>
      </c>
      <c r="AC522" s="167">
        <v>347</v>
      </c>
      <c r="AD522" s="203">
        <v>43118</v>
      </c>
      <c r="AE522" s="203">
        <v>43133</v>
      </c>
      <c r="AF522" s="167" t="s">
        <v>3470</v>
      </c>
    </row>
    <row r="523" spans="16:32" x14ac:dyDescent="0.25">
      <c r="P523" s="167" t="s">
        <v>739</v>
      </c>
      <c r="Q523" s="167">
        <v>353</v>
      </c>
      <c r="R523" s="167" t="s">
        <v>3407</v>
      </c>
      <c r="S523" s="167" t="s">
        <v>1019</v>
      </c>
      <c r="T523" s="167">
        <v>22</v>
      </c>
      <c r="U523" s="167" t="s">
        <v>2056</v>
      </c>
      <c r="V523" s="167" t="s">
        <v>3409</v>
      </c>
      <c r="AB523" s="167" t="s">
        <v>1723</v>
      </c>
      <c r="AC523" s="167">
        <v>335</v>
      </c>
      <c r="AD523" s="203">
        <v>43133</v>
      </c>
      <c r="AE523" s="203">
        <v>43147</v>
      </c>
      <c r="AF523" s="167" t="s">
        <v>3470</v>
      </c>
    </row>
    <row r="524" spans="16:32" x14ac:dyDescent="0.25">
      <c r="P524" s="167" t="s">
        <v>739</v>
      </c>
      <c r="Q524" s="167">
        <v>353</v>
      </c>
      <c r="R524" s="167" t="s">
        <v>3407</v>
      </c>
      <c r="S524" s="167" t="s">
        <v>1019</v>
      </c>
      <c r="T524" s="167">
        <v>10</v>
      </c>
      <c r="U524" s="167" t="s">
        <v>2056</v>
      </c>
      <c r="V524" s="167" t="s">
        <v>3409</v>
      </c>
      <c r="AB524" s="167" t="s">
        <v>1723</v>
      </c>
      <c r="AC524" s="167">
        <v>340</v>
      </c>
      <c r="AD524" s="203">
        <v>43133</v>
      </c>
      <c r="AE524" s="203">
        <v>43168</v>
      </c>
      <c r="AF524" s="167" t="s">
        <v>3470</v>
      </c>
    </row>
    <row r="525" spans="16:32" x14ac:dyDescent="0.25">
      <c r="P525" s="167" t="s">
        <v>739</v>
      </c>
      <c r="Q525" s="167">
        <v>353</v>
      </c>
      <c r="R525" s="167" t="s">
        <v>3407</v>
      </c>
      <c r="S525" s="167" t="s">
        <v>1019</v>
      </c>
      <c r="T525" s="167">
        <v>32</v>
      </c>
      <c r="U525" s="167" t="s">
        <v>2056</v>
      </c>
      <c r="V525" s="167" t="s">
        <v>3409</v>
      </c>
      <c r="AB525" s="167" t="s">
        <v>1723</v>
      </c>
      <c r="AC525" s="167">
        <v>340</v>
      </c>
      <c r="AD525" s="203">
        <v>43133</v>
      </c>
      <c r="AE525" s="203">
        <v>43168</v>
      </c>
      <c r="AF525" s="167" t="s">
        <v>3470</v>
      </c>
    </row>
    <row r="526" spans="16:32" x14ac:dyDescent="0.25">
      <c r="P526" s="167" t="s">
        <v>739</v>
      </c>
      <c r="Q526" s="167">
        <v>353</v>
      </c>
      <c r="R526" s="167" t="s">
        <v>3407</v>
      </c>
      <c r="S526" s="167" t="s">
        <v>1019</v>
      </c>
      <c r="T526" s="167">
        <v>20</v>
      </c>
      <c r="U526" s="167" t="s">
        <v>2056</v>
      </c>
      <c r="V526" s="167" t="s">
        <v>3409</v>
      </c>
      <c r="AB526" s="167" t="s">
        <v>1723</v>
      </c>
      <c r="AC526" s="167">
        <v>357</v>
      </c>
      <c r="AD526" s="203">
        <v>43139</v>
      </c>
      <c r="AE526" s="203">
        <v>43164</v>
      </c>
      <c r="AF526" s="167" t="s">
        <v>3470</v>
      </c>
    </row>
    <row r="527" spans="16:32" x14ac:dyDescent="0.25">
      <c r="P527" s="167" t="s">
        <v>739</v>
      </c>
      <c r="Q527" s="167">
        <v>353</v>
      </c>
      <c r="R527" s="167" t="s">
        <v>3407</v>
      </c>
      <c r="S527" s="167" t="s">
        <v>1019</v>
      </c>
      <c r="T527" s="167">
        <v>150</v>
      </c>
      <c r="U527" s="167" t="s">
        <v>2056</v>
      </c>
      <c r="V527" s="167" t="s">
        <v>3409</v>
      </c>
      <c r="AB527" s="167" t="s">
        <v>1723</v>
      </c>
      <c r="AC527" s="167">
        <v>364</v>
      </c>
      <c r="AD527" s="203">
        <v>43168</v>
      </c>
      <c r="AE527" s="203">
        <v>43179</v>
      </c>
      <c r="AF527" s="167" t="s">
        <v>3470</v>
      </c>
    </row>
    <row r="528" spans="16:32" x14ac:dyDescent="0.25">
      <c r="P528" s="167" t="s">
        <v>739</v>
      </c>
      <c r="Q528" s="167">
        <v>353</v>
      </c>
      <c r="R528" s="167" t="s">
        <v>3407</v>
      </c>
      <c r="S528" s="167" t="s">
        <v>1019</v>
      </c>
      <c r="T528" s="167">
        <v>170</v>
      </c>
      <c r="U528" s="167" t="s">
        <v>2056</v>
      </c>
      <c r="V528" s="167" t="s">
        <v>3409</v>
      </c>
      <c r="AB528" s="167" t="s">
        <v>1723</v>
      </c>
      <c r="AC528" s="167">
        <v>353</v>
      </c>
      <c r="AD528" s="203">
        <v>43180</v>
      </c>
      <c r="AE528" s="203">
        <v>0</v>
      </c>
      <c r="AF528" s="167" t="s">
        <v>3469</v>
      </c>
    </row>
    <row r="529" spans="16:32" x14ac:dyDescent="0.25">
      <c r="P529" s="167" t="s">
        <v>739</v>
      </c>
      <c r="Q529" s="167">
        <v>353</v>
      </c>
      <c r="R529" s="167" t="s">
        <v>3407</v>
      </c>
      <c r="S529" s="167" t="s">
        <v>1019</v>
      </c>
      <c r="T529" s="167">
        <v>20</v>
      </c>
      <c r="U529" s="167" t="s">
        <v>2056</v>
      </c>
      <c r="V529" s="167" t="s">
        <v>3409</v>
      </c>
      <c r="AB529" s="167" t="s">
        <v>1723</v>
      </c>
      <c r="AC529" s="167">
        <v>353</v>
      </c>
      <c r="AD529" s="203">
        <v>43180</v>
      </c>
      <c r="AE529" s="203">
        <v>0</v>
      </c>
      <c r="AF529" s="167" t="s">
        <v>3469</v>
      </c>
    </row>
    <row r="530" spans="16:32" x14ac:dyDescent="0.25">
      <c r="P530" s="167" t="s">
        <v>739</v>
      </c>
      <c r="Q530" s="167">
        <v>353</v>
      </c>
      <c r="R530" s="167" t="s">
        <v>3407</v>
      </c>
      <c r="S530" s="167" t="s">
        <v>1019</v>
      </c>
      <c r="T530" s="167">
        <v>10</v>
      </c>
      <c r="U530" s="167" t="s">
        <v>2056</v>
      </c>
      <c r="V530" s="167" t="s">
        <v>3409</v>
      </c>
      <c r="AB530" s="167" t="s">
        <v>1723</v>
      </c>
      <c r="AC530" s="167">
        <v>353</v>
      </c>
      <c r="AD530" s="203">
        <v>43180</v>
      </c>
      <c r="AE530" s="203">
        <v>0</v>
      </c>
      <c r="AF530" s="167" t="s">
        <v>3469</v>
      </c>
    </row>
    <row r="531" spans="16:32" x14ac:dyDescent="0.25">
      <c r="P531" s="167" t="s">
        <v>739</v>
      </c>
      <c r="Q531" s="167">
        <v>353</v>
      </c>
      <c r="R531" s="167" t="s">
        <v>3407</v>
      </c>
      <c r="S531" s="167" t="s">
        <v>1019</v>
      </c>
      <c r="T531" s="167">
        <v>230</v>
      </c>
      <c r="U531" s="167" t="s">
        <v>2056</v>
      </c>
      <c r="V531" s="167" t="s">
        <v>3409</v>
      </c>
      <c r="AB531" s="167" t="s">
        <v>1725</v>
      </c>
      <c r="AC531" s="167">
        <v>323</v>
      </c>
      <c r="AD531" s="203">
        <v>43074</v>
      </c>
      <c r="AE531" s="203">
        <v>43111</v>
      </c>
      <c r="AF531" s="167" t="s">
        <v>3470</v>
      </c>
    </row>
    <row r="532" spans="16:32" x14ac:dyDescent="0.25">
      <c r="P532" s="167" t="s">
        <v>739</v>
      </c>
      <c r="Q532" s="167">
        <v>353</v>
      </c>
      <c r="R532" s="167" t="s">
        <v>3407</v>
      </c>
      <c r="S532" s="167" t="s">
        <v>2057</v>
      </c>
      <c r="T532" s="167">
        <v>1</v>
      </c>
      <c r="U532" s="167" t="s">
        <v>2058</v>
      </c>
      <c r="V532" s="167" t="s">
        <v>3409</v>
      </c>
      <c r="AB532" s="167" t="s">
        <v>1725</v>
      </c>
      <c r="AC532" s="167">
        <v>347</v>
      </c>
      <c r="AD532" s="203">
        <v>43118</v>
      </c>
      <c r="AE532" s="203">
        <v>43133</v>
      </c>
      <c r="AF532" s="167" t="s">
        <v>3470</v>
      </c>
    </row>
    <row r="533" spans="16:32" x14ac:dyDescent="0.25">
      <c r="P533" s="167" t="s">
        <v>739</v>
      </c>
      <c r="Q533" s="167">
        <v>353</v>
      </c>
      <c r="R533" s="167" t="s">
        <v>3407</v>
      </c>
      <c r="S533" s="167" t="s">
        <v>2059</v>
      </c>
      <c r="T533" s="167">
        <v>40</v>
      </c>
      <c r="U533" s="167" t="s">
        <v>2060</v>
      </c>
      <c r="V533" s="167" t="s">
        <v>3409</v>
      </c>
      <c r="AB533" s="167" t="s">
        <v>1725</v>
      </c>
      <c r="AC533" s="167">
        <v>340</v>
      </c>
      <c r="AD533" s="203">
        <v>43133</v>
      </c>
      <c r="AE533" s="203">
        <v>43168</v>
      </c>
      <c r="AF533" s="167" t="s">
        <v>3470</v>
      </c>
    </row>
    <row r="534" spans="16:32" x14ac:dyDescent="0.25">
      <c r="P534" s="167" t="s">
        <v>739</v>
      </c>
      <c r="Q534" s="167">
        <v>353</v>
      </c>
      <c r="R534" s="167" t="s">
        <v>3407</v>
      </c>
      <c r="S534" s="167" t="s">
        <v>2061</v>
      </c>
      <c r="T534" s="167">
        <v>3</v>
      </c>
      <c r="U534" s="167" t="s">
        <v>2062</v>
      </c>
      <c r="V534" s="167" t="s">
        <v>3409</v>
      </c>
      <c r="AB534" s="167" t="s">
        <v>1725</v>
      </c>
      <c r="AC534" s="167">
        <v>340</v>
      </c>
      <c r="AD534" s="203">
        <v>43133</v>
      </c>
      <c r="AE534" s="203">
        <v>43168</v>
      </c>
      <c r="AF534" s="167" t="s">
        <v>3470</v>
      </c>
    </row>
    <row r="535" spans="16:32" x14ac:dyDescent="0.25">
      <c r="P535" s="167" t="s">
        <v>739</v>
      </c>
      <c r="Q535" s="167">
        <v>353</v>
      </c>
      <c r="R535" s="167" t="s">
        <v>3407</v>
      </c>
      <c r="S535" s="167" t="s">
        <v>2061</v>
      </c>
      <c r="T535" s="167">
        <v>1</v>
      </c>
      <c r="U535" s="167" t="s">
        <v>2062</v>
      </c>
      <c r="V535" s="167" t="s">
        <v>3409</v>
      </c>
      <c r="AB535" s="167" t="s">
        <v>1725</v>
      </c>
      <c r="AC535" s="167">
        <v>357</v>
      </c>
      <c r="AD535" s="203">
        <v>43139</v>
      </c>
      <c r="AE535" s="203">
        <v>43164</v>
      </c>
      <c r="AF535" s="167" t="s">
        <v>3470</v>
      </c>
    </row>
    <row r="536" spans="16:32" x14ac:dyDescent="0.25">
      <c r="P536" s="167" t="s">
        <v>739</v>
      </c>
      <c r="Q536" s="167">
        <v>353</v>
      </c>
      <c r="R536" s="167" t="s">
        <v>3407</v>
      </c>
      <c r="S536" s="167" t="s">
        <v>1020</v>
      </c>
      <c r="T536" s="167">
        <v>180</v>
      </c>
      <c r="U536" s="167" t="s">
        <v>2063</v>
      </c>
      <c r="V536" s="167" t="s">
        <v>3409</v>
      </c>
      <c r="AB536" s="167" t="s">
        <v>1725</v>
      </c>
      <c r="AC536" s="167">
        <v>364</v>
      </c>
      <c r="AD536" s="203">
        <v>43168</v>
      </c>
      <c r="AE536" s="203">
        <v>43179</v>
      </c>
      <c r="AF536" s="167" t="s">
        <v>3470</v>
      </c>
    </row>
    <row r="537" spans="16:32" x14ac:dyDescent="0.25">
      <c r="P537" s="167" t="s">
        <v>739</v>
      </c>
      <c r="Q537" s="167">
        <v>353</v>
      </c>
      <c r="R537" s="167" t="s">
        <v>3407</v>
      </c>
      <c r="S537" s="167" t="s">
        <v>2064</v>
      </c>
      <c r="T537" s="167">
        <v>5</v>
      </c>
      <c r="U537" s="167" t="s">
        <v>2065</v>
      </c>
      <c r="V537" s="167" t="s">
        <v>3409</v>
      </c>
      <c r="AB537" s="167" t="s">
        <v>1725</v>
      </c>
      <c r="AC537" s="167">
        <v>353</v>
      </c>
      <c r="AD537" s="203">
        <v>43180</v>
      </c>
      <c r="AE537" s="203">
        <v>0</v>
      </c>
      <c r="AF537" s="167" t="s">
        <v>3469</v>
      </c>
    </row>
    <row r="538" spans="16:32" x14ac:dyDescent="0.25">
      <c r="P538" s="167" t="s">
        <v>739</v>
      </c>
      <c r="Q538" s="167">
        <v>353</v>
      </c>
      <c r="R538" s="167" t="s">
        <v>3407</v>
      </c>
      <c r="S538" s="167" t="s">
        <v>2064</v>
      </c>
      <c r="T538" s="167">
        <v>26</v>
      </c>
      <c r="U538" s="167" t="s">
        <v>2065</v>
      </c>
      <c r="V538" s="167" t="s">
        <v>3409</v>
      </c>
      <c r="AB538" s="167" t="s">
        <v>1725</v>
      </c>
      <c r="AC538" s="167">
        <v>353</v>
      </c>
      <c r="AD538" s="203">
        <v>43180</v>
      </c>
      <c r="AE538" s="203">
        <v>0</v>
      </c>
      <c r="AF538" s="167" t="s">
        <v>3469</v>
      </c>
    </row>
    <row r="539" spans="16:32" x14ac:dyDescent="0.25">
      <c r="P539" s="167" t="s">
        <v>739</v>
      </c>
      <c r="Q539" s="167">
        <v>353</v>
      </c>
      <c r="R539" s="167" t="s">
        <v>3407</v>
      </c>
      <c r="S539" s="167" t="s">
        <v>1022</v>
      </c>
      <c r="T539" s="167">
        <v>49</v>
      </c>
      <c r="U539" s="167" t="s">
        <v>2066</v>
      </c>
      <c r="V539" s="167" t="s">
        <v>3409</v>
      </c>
      <c r="AB539" s="167" t="s">
        <v>1727</v>
      </c>
      <c r="AC539" s="167">
        <v>347</v>
      </c>
      <c r="AD539" s="203">
        <v>43118</v>
      </c>
      <c r="AE539" s="203">
        <v>43133</v>
      </c>
      <c r="AF539" s="167" t="s">
        <v>3470</v>
      </c>
    </row>
    <row r="540" spans="16:32" x14ac:dyDescent="0.25">
      <c r="P540" s="167" t="s">
        <v>739</v>
      </c>
      <c r="Q540" s="167">
        <v>353</v>
      </c>
      <c r="R540" s="167" t="s">
        <v>3407</v>
      </c>
      <c r="S540" s="167" t="s">
        <v>1022</v>
      </c>
      <c r="T540" s="167">
        <v>130</v>
      </c>
      <c r="U540" s="167" t="s">
        <v>2066</v>
      </c>
      <c r="V540" s="167" t="s">
        <v>3409</v>
      </c>
      <c r="AB540" s="167" t="s">
        <v>1727</v>
      </c>
      <c r="AC540" s="167">
        <v>340</v>
      </c>
      <c r="AD540" s="203">
        <v>43133</v>
      </c>
      <c r="AE540" s="203">
        <v>43168</v>
      </c>
      <c r="AF540" s="167" t="s">
        <v>3470</v>
      </c>
    </row>
    <row r="541" spans="16:32" x14ac:dyDescent="0.25">
      <c r="P541" s="167" t="s">
        <v>739</v>
      </c>
      <c r="Q541" s="167">
        <v>353</v>
      </c>
      <c r="R541" s="167" t="s">
        <v>3407</v>
      </c>
      <c r="S541" s="167" t="s">
        <v>1022</v>
      </c>
      <c r="T541" s="167">
        <v>47</v>
      </c>
      <c r="U541" s="167" t="s">
        <v>2066</v>
      </c>
      <c r="V541" s="167" t="s">
        <v>3409</v>
      </c>
      <c r="AB541" s="167" t="s">
        <v>1727</v>
      </c>
      <c r="AC541" s="167">
        <v>364</v>
      </c>
      <c r="AD541" s="203">
        <v>43168</v>
      </c>
      <c r="AE541" s="203">
        <v>43179</v>
      </c>
      <c r="AF541" s="167" t="s">
        <v>3470</v>
      </c>
    </row>
    <row r="542" spans="16:32" x14ac:dyDescent="0.25">
      <c r="P542" s="167" t="s">
        <v>739</v>
      </c>
      <c r="Q542" s="167">
        <v>353</v>
      </c>
      <c r="R542" s="167" t="s">
        <v>3407</v>
      </c>
      <c r="S542" s="167" t="s">
        <v>1023</v>
      </c>
      <c r="T542" s="167">
        <v>16</v>
      </c>
      <c r="U542" s="167" t="s">
        <v>2067</v>
      </c>
      <c r="V542" s="167" t="s">
        <v>3409</v>
      </c>
      <c r="AB542" s="167" t="s">
        <v>1727</v>
      </c>
      <c r="AC542" s="167">
        <v>353</v>
      </c>
      <c r="AD542" s="203">
        <v>43180</v>
      </c>
      <c r="AE542" s="203">
        <v>0</v>
      </c>
      <c r="AF542" s="167" t="s">
        <v>3469</v>
      </c>
    </row>
    <row r="543" spans="16:32" x14ac:dyDescent="0.25">
      <c r="P543" s="167" t="s">
        <v>739</v>
      </c>
      <c r="Q543" s="167">
        <v>353</v>
      </c>
      <c r="R543" s="167" t="s">
        <v>3407</v>
      </c>
      <c r="S543" s="167" t="s">
        <v>1023</v>
      </c>
      <c r="T543" s="167">
        <v>57</v>
      </c>
      <c r="U543" s="167" t="s">
        <v>2067</v>
      </c>
      <c r="V543" s="167" t="s">
        <v>3409</v>
      </c>
      <c r="AB543" s="167" t="s">
        <v>1729</v>
      </c>
      <c r="AC543" s="167">
        <v>357</v>
      </c>
      <c r="AD543" s="203">
        <v>43139</v>
      </c>
      <c r="AE543" s="203">
        <v>43164</v>
      </c>
      <c r="AF543" s="167" t="s">
        <v>3470</v>
      </c>
    </row>
    <row r="544" spans="16:32" x14ac:dyDescent="0.25">
      <c r="P544" s="167" t="s">
        <v>739</v>
      </c>
      <c r="Q544" s="167">
        <v>353</v>
      </c>
      <c r="R544" s="167" t="s">
        <v>3407</v>
      </c>
      <c r="S544" s="167" t="s">
        <v>1023</v>
      </c>
      <c r="T544" s="167">
        <v>16</v>
      </c>
      <c r="U544" s="167" t="s">
        <v>2067</v>
      </c>
      <c r="V544" s="167" t="s">
        <v>3409</v>
      </c>
      <c r="AB544" s="167" t="s">
        <v>1729</v>
      </c>
      <c r="AC544" s="167">
        <v>353</v>
      </c>
      <c r="AD544" s="203">
        <v>43180</v>
      </c>
      <c r="AE544" s="203">
        <v>0</v>
      </c>
      <c r="AF544" s="167" t="s">
        <v>3469</v>
      </c>
    </row>
    <row r="545" spans="16:32" x14ac:dyDescent="0.25">
      <c r="P545" s="167" t="s">
        <v>739</v>
      </c>
      <c r="Q545" s="167">
        <v>353</v>
      </c>
      <c r="R545" s="167" t="s">
        <v>3407</v>
      </c>
      <c r="S545" s="167" t="s">
        <v>1023</v>
      </c>
      <c r="T545" s="167">
        <v>25</v>
      </c>
      <c r="U545" s="167" t="s">
        <v>2067</v>
      </c>
      <c r="V545" s="167" t="s">
        <v>3409</v>
      </c>
      <c r="AB545" s="167" t="s">
        <v>1731</v>
      </c>
      <c r="AC545" s="167">
        <v>357</v>
      </c>
      <c r="AD545" s="203">
        <v>43139</v>
      </c>
      <c r="AE545" s="203">
        <v>43164</v>
      </c>
      <c r="AF545" s="167" t="s">
        <v>3470</v>
      </c>
    </row>
    <row r="546" spans="16:32" x14ac:dyDescent="0.25">
      <c r="P546" s="167" t="s">
        <v>739</v>
      </c>
      <c r="Q546" s="167">
        <v>353</v>
      </c>
      <c r="R546" s="167" t="s">
        <v>3407</v>
      </c>
      <c r="S546" s="167" t="s">
        <v>1023</v>
      </c>
      <c r="T546" s="167">
        <v>29</v>
      </c>
      <c r="U546" s="167" t="s">
        <v>2067</v>
      </c>
      <c r="V546" s="167" t="s">
        <v>3409</v>
      </c>
      <c r="AB546" s="167" t="s">
        <v>1731</v>
      </c>
      <c r="AC546" s="167">
        <v>353</v>
      </c>
      <c r="AD546" s="203">
        <v>43180</v>
      </c>
      <c r="AE546" s="203">
        <v>0</v>
      </c>
      <c r="AF546" s="167" t="s">
        <v>3469</v>
      </c>
    </row>
    <row r="547" spans="16:32" x14ac:dyDescent="0.25">
      <c r="P547" s="167" t="s">
        <v>739</v>
      </c>
      <c r="Q547" s="167">
        <v>353</v>
      </c>
      <c r="R547" s="167" t="s">
        <v>3407</v>
      </c>
      <c r="S547" s="167" t="s">
        <v>2068</v>
      </c>
      <c r="T547" s="167">
        <v>1</v>
      </c>
      <c r="U547" s="167" t="s">
        <v>2069</v>
      </c>
      <c r="V547" s="167" t="s">
        <v>3409</v>
      </c>
      <c r="AB547" s="167" t="s">
        <v>1733</v>
      </c>
      <c r="AC547" s="167">
        <v>323</v>
      </c>
      <c r="AD547" s="203">
        <v>43074</v>
      </c>
      <c r="AE547" s="203">
        <v>43111</v>
      </c>
      <c r="AF547" s="167" t="s">
        <v>3470</v>
      </c>
    </row>
    <row r="548" spans="16:32" x14ac:dyDescent="0.25">
      <c r="P548" s="167" t="s">
        <v>739</v>
      </c>
      <c r="Q548" s="167">
        <v>353</v>
      </c>
      <c r="R548" s="167" t="s">
        <v>3407</v>
      </c>
      <c r="S548" s="167" t="s">
        <v>3355</v>
      </c>
      <c r="T548" s="167">
        <v>2</v>
      </c>
      <c r="U548" s="167" t="s">
        <v>3422</v>
      </c>
      <c r="V548" s="167" t="s">
        <v>3409</v>
      </c>
      <c r="AB548" s="167" t="s">
        <v>1733</v>
      </c>
      <c r="AC548" s="167">
        <v>323</v>
      </c>
      <c r="AD548" s="203">
        <v>43074</v>
      </c>
      <c r="AE548" s="203">
        <v>43111</v>
      </c>
      <c r="AF548" s="167" t="s">
        <v>3470</v>
      </c>
    </row>
    <row r="549" spans="16:32" x14ac:dyDescent="0.25">
      <c r="P549" s="167" t="s">
        <v>739</v>
      </c>
      <c r="Q549" s="167">
        <v>353</v>
      </c>
      <c r="R549" s="167" t="s">
        <v>3407</v>
      </c>
      <c r="S549" s="167" t="s">
        <v>2070</v>
      </c>
      <c r="T549" s="167">
        <v>55</v>
      </c>
      <c r="U549" s="167" t="s">
        <v>2071</v>
      </c>
      <c r="V549" s="167" t="s">
        <v>3409</v>
      </c>
      <c r="AB549" s="167" t="s">
        <v>1733</v>
      </c>
      <c r="AC549" s="167">
        <v>340</v>
      </c>
      <c r="AD549" s="203">
        <v>43133</v>
      </c>
      <c r="AE549" s="203">
        <v>43168</v>
      </c>
      <c r="AF549" s="167" t="s">
        <v>3470</v>
      </c>
    </row>
    <row r="550" spans="16:32" x14ac:dyDescent="0.25">
      <c r="P550" s="167" t="s">
        <v>739</v>
      </c>
      <c r="Q550" s="167">
        <v>353</v>
      </c>
      <c r="R550" s="167" t="s">
        <v>3407</v>
      </c>
      <c r="S550" s="167" t="s">
        <v>2070</v>
      </c>
      <c r="T550" s="167">
        <v>24</v>
      </c>
      <c r="U550" s="167" t="s">
        <v>2071</v>
      </c>
      <c r="V550" s="167" t="s">
        <v>3409</v>
      </c>
      <c r="AB550" s="167" t="s">
        <v>1733</v>
      </c>
      <c r="AC550" s="167">
        <v>357</v>
      </c>
      <c r="AD550" s="203">
        <v>43139</v>
      </c>
      <c r="AE550" s="203">
        <v>43164</v>
      </c>
      <c r="AF550" s="167" t="s">
        <v>3470</v>
      </c>
    </row>
    <row r="551" spans="16:32" x14ac:dyDescent="0.25">
      <c r="P551" s="167" t="s">
        <v>739</v>
      </c>
      <c r="Q551" s="167">
        <v>353</v>
      </c>
      <c r="R551" s="167" t="s">
        <v>3407</v>
      </c>
      <c r="S551" s="167" t="s">
        <v>2072</v>
      </c>
      <c r="T551" s="167">
        <v>11</v>
      </c>
      <c r="U551" s="167" t="s">
        <v>2073</v>
      </c>
      <c r="V551" s="167" t="s">
        <v>3409</v>
      </c>
      <c r="AB551" s="167" t="s">
        <v>1733</v>
      </c>
      <c r="AC551" s="167">
        <v>353</v>
      </c>
      <c r="AD551" s="203">
        <v>43180</v>
      </c>
      <c r="AE551" s="203">
        <v>0</v>
      </c>
      <c r="AF551" s="167" t="s">
        <v>3469</v>
      </c>
    </row>
    <row r="552" spans="16:32" x14ac:dyDescent="0.25">
      <c r="P552" s="167" t="s">
        <v>739</v>
      </c>
      <c r="Q552" s="167">
        <v>353</v>
      </c>
      <c r="R552" s="167" t="s">
        <v>3407</v>
      </c>
      <c r="S552" s="167" t="s">
        <v>1024</v>
      </c>
      <c r="T552" s="167">
        <v>3</v>
      </c>
      <c r="U552" s="167" t="s">
        <v>2074</v>
      </c>
      <c r="V552" s="167" t="s">
        <v>3409</v>
      </c>
      <c r="AB552" s="167" t="s">
        <v>1734</v>
      </c>
      <c r="AC552" s="167">
        <v>347</v>
      </c>
      <c r="AD552" s="203">
        <v>43118</v>
      </c>
      <c r="AE552" s="203">
        <v>43133</v>
      </c>
      <c r="AF552" s="167" t="s">
        <v>3470</v>
      </c>
    </row>
    <row r="553" spans="16:32" x14ac:dyDescent="0.25">
      <c r="P553" s="167" t="s">
        <v>739</v>
      </c>
      <c r="Q553" s="167">
        <v>353</v>
      </c>
      <c r="R553" s="167" t="s">
        <v>3407</v>
      </c>
      <c r="S553" s="167" t="s">
        <v>1024</v>
      </c>
      <c r="T553" s="167">
        <v>23</v>
      </c>
      <c r="U553" s="167" t="s">
        <v>2074</v>
      </c>
      <c r="V553" s="167" t="s">
        <v>3409</v>
      </c>
      <c r="AB553" s="167" t="s">
        <v>1736</v>
      </c>
      <c r="AC553" s="167">
        <v>327</v>
      </c>
      <c r="AD553" s="203">
        <v>43074</v>
      </c>
      <c r="AE553" s="203">
        <v>43131</v>
      </c>
      <c r="AF553" s="167" t="s">
        <v>3470</v>
      </c>
    </row>
    <row r="554" spans="16:32" x14ac:dyDescent="0.25">
      <c r="P554" s="167" t="s">
        <v>739</v>
      </c>
      <c r="Q554" s="167">
        <v>353</v>
      </c>
      <c r="R554" s="167" t="s">
        <v>3407</v>
      </c>
      <c r="S554" s="167" t="s">
        <v>1024</v>
      </c>
      <c r="T554" s="167">
        <v>197</v>
      </c>
      <c r="U554" s="167" t="s">
        <v>2074</v>
      </c>
      <c r="V554" s="167" t="s">
        <v>3409</v>
      </c>
      <c r="AB554" s="167" t="s">
        <v>1736</v>
      </c>
      <c r="AC554" s="167">
        <v>364</v>
      </c>
      <c r="AD554" s="203">
        <v>43168</v>
      </c>
      <c r="AE554" s="203">
        <v>43179</v>
      </c>
      <c r="AF554" s="167" t="s">
        <v>3470</v>
      </c>
    </row>
    <row r="555" spans="16:32" x14ac:dyDescent="0.25">
      <c r="P555" s="167" t="s">
        <v>739</v>
      </c>
      <c r="Q555" s="167">
        <v>353</v>
      </c>
      <c r="R555" s="167" t="s">
        <v>3407</v>
      </c>
      <c r="S555" s="167" t="s">
        <v>1025</v>
      </c>
      <c r="T555" s="167">
        <v>30</v>
      </c>
      <c r="U555" s="167" t="s">
        <v>2075</v>
      </c>
      <c r="V555" s="167" t="s">
        <v>3409</v>
      </c>
      <c r="AB555" s="167" t="s">
        <v>1736</v>
      </c>
      <c r="AC555" s="167">
        <v>353</v>
      </c>
      <c r="AD555" s="203">
        <v>43180</v>
      </c>
      <c r="AE555" s="203">
        <v>0</v>
      </c>
      <c r="AF555" s="167" t="s">
        <v>3469</v>
      </c>
    </row>
    <row r="556" spans="16:32" x14ac:dyDescent="0.25">
      <c r="P556" s="167" t="s">
        <v>739</v>
      </c>
      <c r="Q556" s="167">
        <v>353</v>
      </c>
      <c r="R556" s="167" t="s">
        <v>3407</v>
      </c>
      <c r="S556" s="167" t="s">
        <v>1025</v>
      </c>
      <c r="T556" s="167">
        <v>102</v>
      </c>
      <c r="U556" s="167" t="s">
        <v>2075</v>
      </c>
      <c r="V556" s="167" t="s">
        <v>3409</v>
      </c>
      <c r="AB556" s="167" t="s">
        <v>1738</v>
      </c>
      <c r="AC556" s="167">
        <v>323</v>
      </c>
      <c r="AD556" s="203">
        <v>43074</v>
      </c>
      <c r="AE556" s="203">
        <v>43111</v>
      </c>
      <c r="AF556" s="167" t="s">
        <v>3470</v>
      </c>
    </row>
    <row r="557" spans="16:32" x14ac:dyDescent="0.25">
      <c r="P557" s="167" t="s">
        <v>739</v>
      </c>
      <c r="Q557" s="167">
        <v>353</v>
      </c>
      <c r="R557" s="167" t="s">
        <v>3407</v>
      </c>
      <c r="S557" s="167" t="s">
        <v>1025</v>
      </c>
      <c r="T557" s="167">
        <v>100</v>
      </c>
      <c r="U557" s="167" t="s">
        <v>2075</v>
      </c>
      <c r="V557" s="167" t="s">
        <v>3409</v>
      </c>
      <c r="AB557" s="167" t="s">
        <v>1738</v>
      </c>
      <c r="AC557" s="167">
        <v>353</v>
      </c>
      <c r="AD557" s="203">
        <v>43180</v>
      </c>
      <c r="AE557" s="203">
        <v>0</v>
      </c>
      <c r="AF557" s="167" t="s">
        <v>3469</v>
      </c>
    </row>
    <row r="558" spans="16:32" x14ac:dyDescent="0.25">
      <c r="P558" s="167" t="s">
        <v>739</v>
      </c>
      <c r="Q558" s="167">
        <v>353</v>
      </c>
      <c r="R558" s="167" t="s">
        <v>3407</v>
      </c>
      <c r="S558" s="167" t="s">
        <v>1025</v>
      </c>
      <c r="T558" s="167">
        <v>212</v>
      </c>
      <c r="U558" s="167" t="s">
        <v>2075</v>
      </c>
      <c r="V558" s="167" t="s">
        <v>3409</v>
      </c>
      <c r="AB558" s="167" t="s">
        <v>1738</v>
      </c>
      <c r="AC558" s="167">
        <v>353</v>
      </c>
      <c r="AD558" s="203">
        <v>43180</v>
      </c>
      <c r="AE558" s="203">
        <v>0</v>
      </c>
      <c r="AF558" s="167" t="s">
        <v>3469</v>
      </c>
    </row>
    <row r="559" spans="16:32" x14ac:dyDescent="0.25">
      <c r="P559" s="167" t="s">
        <v>739</v>
      </c>
      <c r="Q559" s="167">
        <v>353</v>
      </c>
      <c r="R559" s="167" t="s">
        <v>3407</v>
      </c>
      <c r="S559" s="167" t="s">
        <v>2076</v>
      </c>
      <c r="T559" s="167">
        <v>6</v>
      </c>
      <c r="U559" s="167" t="s">
        <v>2077</v>
      </c>
      <c r="V559" s="167" t="s">
        <v>3409</v>
      </c>
      <c r="AB559" s="167" t="s">
        <v>1738</v>
      </c>
      <c r="AC559" s="167">
        <v>353</v>
      </c>
      <c r="AD559" s="203">
        <v>43180</v>
      </c>
      <c r="AE559" s="203">
        <v>0</v>
      </c>
      <c r="AF559" s="167" t="s">
        <v>3469</v>
      </c>
    </row>
    <row r="560" spans="16:32" x14ac:dyDescent="0.25">
      <c r="P560" s="167" t="s">
        <v>739</v>
      </c>
      <c r="Q560" s="167">
        <v>353</v>
      </c>
      <c r="R560" s="167" t="s">
        <v>3407</v>
      </c>
      <c r="S560" s="167" t="s">
        <v>2076</v>
      </c>
      <c r="T560" s="167">
        <v>3</v>
      </c>
      <c r="U560" s="167" t="s">
        <v>2077</v>
      </c>
      <c r="V560" s="167" t="s">
        <v>3409</v>
      </c>
      <c r="AB560" s="167" t="s">
        <v>1739</v>
      </c>
      <c r="AC560" s="167">
        <v>347</v>
      </c>
      <c r="AD560" s="203">
        <v>43118</v>
      </c>
      <c r="AE560" s="203">
        <v>43133</v>
      </c>
      <c r="AF560" s="167" t="s">
        <v>3470</v>
      </c>
    </row>
    <row r="561" spans="16:32" x14ac:dyDescent="0.25">
      <c r="P561" s="167" t="s">
        <v>739</v>
      </c>
      <c r="Q561" s="167">
        <v>353</v>
      </c>
      <c r="R561" s="167" t="s">
        <v>3407</v>
      </c>
      <c r="S561" s="167" t="s">
        <v>2078</v>
      </c>
      <c r="T561" s="167">
        <v>1</v>
      </c>
      <c r="U561" s="167" t="s">
        <v>2079</v>
      </c>
      <c r="V561" s="167" t="s">
        <v>3409</v>
      </c>
      <c r="AB561" s="167" t="s">
        <v>1739</v>
      </c>
      <c r="AC561" s="167">
        <v>340</v>
      </c>
      <c r="AD561" s="203">
        <v>43133</v>
      </c>
      <c r="AE561" s="203">
        <v>43168</v>
      </c>
      <c r="AF561" s="167" t="s">
        <v>3470</v>
      </c>
    </row>
    <row r="562" spans="16:32" x14ac:dyDescent="0.25">
      <c r="P562" s="167" t="s">
        <v>739</v>
      </c>
      <c r="Q562" s="167">
        <v>353</v>
      </c>
      <c r="R562" s="167" t="s">
        <v>3407</v>
      </c>
      <c r="S562" s="167" t="s">
        <v>2078</v>
      </c>
      <c r="T562" s="167">
        <v>2</v>
      </c>
      <c r="U562" s="167" t="s">
        <v>2079</v>
      </c>
      <c r="V562" s="167" t="s">
        <v>3409</v>
      </c>
      <c r="AB562" s="167" t="s">
        <v>1740</v>
      </c>
      <c r="AC562" s="167">
        <v>323</v>
      </c>
      <c r="AD562" s="203">
        <v>43074</v>
      </c>
      <c r="AE562" s="203">
        <v>43111</v>
      </c>
      <c r="AF562" s="167" t="s">
        <v>3470</v>
      </c>
    </row>
    <row r="563" spans="16:32" x14ac:dyDescent="0.25">
      <c r="P563" s="167" t="s">
        <v>739</v>
      </c>
      <c r="Q563" s="167">
        <v>353</v>
      </c>
      <c r="R563" s="167" t="s">
        <v>3407</v>
      </c>
      <c r="S563" s="167" t="s">
        <v>2078</v>
      </c>
      <c r="T563" s="167">
        <v>2</v>
      </c>
      <c r="U563" s="167" t="s">
        <v>2079</v>
      </c>
      <c r="V563" s="167" t="s">
        <v>3409</v>
      </c>
      <c r="AB563" s="167" t="s">
        <v>1740</v>
      </c>
      <c r="AC563" s="167">
        <v>340</v>
      </c>
      <c r="AD563" s="203">
        <v>43133</v>
      </c>
      <c r="AE563" s="203">
        <v>43168</v>
      </c>
      <c r="AF563" s="167" t="s">
        <v>3470</v>
      </c>
    </row>
    <row r="564" spans="16:32" x14ac:dyDescent="0.25">
      <c r="P564" s="167" t="s">
        <v>739</v>
      </c>
      <c r="Q564" s="167">
        <v>353</v>
      </c>
      <c r="R564" s="167" t="s">
        <v>3407</v>
      </c>
      <c r="S564" s="167" t="s">
        <v>2078</v>
      </c>
      <c r="T564" s="167">
        <v>2</v>
      </c>
      <c r="U564" s="167" t="s">
        <v>2079</v>
      </c>
      <c r="V564" s="167" t="s">
        <v>3409</v>
      </c>
      <c r="AB564" s="167" t="s">
        <v>1740</v>
      </c>
      <c r="AC564" s="167">
        <v>340</v>
      </c>
      <c r="AD564" s="203">
        <v>43133</v>
      </c>
      <c r="AE564" s="203">
        <v>43168</v>
      </c>
      <c r="AF564" s="167" t="s">
        <v>3470</v>
      </c>
    </row>
    <row r="565" spans="16:32" x14ac:dyDescent="0.25">
      <c r="P565" s="167" t="s">
        <v>739</v>
      </c>
      <c r="Q565" s="167">
        <v>353</v>
      </c>
      <c r="R565" s="167" t="s">
        <v>3407</v>
      </c>
      <c r="S565" s="167" t="s">
        <v>1026</v>
      </c>
      <c r="T565" s="167">
        <v>43</v>
      </c>
      <c r="U565" s="167" t="s">
        <v>2080</v>
      </c>
      <c r="V565" s="167" t="s">
        <v>3409</v>
      </c>
      <c r="AB565" s="167" t="s">
        <v>1741</v>
      </c>
      <c r="AC565" s="167">
        <v>347</v>
      </c>
      <c r="AD565" s="203">
        <v>43118</v>
      </c>
      <c r="AE565" s="203">
        <v>43133</v>
      </c>
      <c r="AF565" s="167" t="s">
        <v>3470</v>
      </c>
    </row>
    <row r="566" spans="16:32" x14ac:dyDescent="0.25">
      <c r="P566" s="167" t="s">
        <v>739</v>
      </c>
      <c r="Q566" s="167">
        <v>353</v>
      </c>
      <c r="R566" s="167" t="s">
        <v>3407</v>
      </c>
      <c r="S566" s="167" t="s">
        <v>1026</v>
      </c>
      <c r="T566" s="167">
        <v>4</v>
      </c>
      <c r="U566" s="167" t="s">
        <v>2080</v>
      </c>
      <c r="V566" s="167" t="s">
        <v>3409</v>
      </c>
      <c r="AB566" s="167" t="s">
        <v>1741</v>
      </c>
      <c r="AC566" s="167">
        <v>340</v>
      </c>
      <c r="AD566" s="203">
        <v>43133</v>
      </c>
      <c r="AE566" s="203">
        <v>43168</v>
      </c>
      <c r="AF566" s="167" t="s">
        <v>3470</v>
      </c>
    </row>
    <row r="567" spans="16:32" x14ac:dyDescent="0.25">
      <c r="P567" s="167" t="s">
        <v>739</v>
      </c>
      <c r="Q567" s="167">
        <v>353</v>
      </c>
      <c r="R567" s="167" t="s">
        <v>3407</v>
      </c>
      <c r="S567" s="167" t="s">
        <v>1026</v>
      </c>
      <c r="T567" s="167">
        <v>80</v>
      </c>
      <c r="U567" s="167" t="s">
        <v>2080</v>
      </c>
      <c r="V567" s="167" t="s">
        <v>3409</v>
      </c>
      <c r="AB567" s="167" t="s">
        <v>1743</v>
      </c>
      <c r="AC567" s="167">
        <v>323</v>
      </c>
      <c r="AD567" s="203">
        <v>43074</v>
      </c>
      <c r="AE567" s="203">
        <v>43111</v>
      </c>
      <c r="AF567" s="167" t="s">
        <v>3470</v>
      </c>
    </row>
    <row r="568" spans="16:32" x14ac:dyDescent="0.25">
      <c r="P568" s="167" t="s">
        <v>739</v>
      </c>
      <c r="Q568" s="167">
        <v>353</v>
      </c>
      <c r="R568" s="167" t="s">
        <v>3407</v>
      </c>
      <c r="S568" s="167" t="s">
        <v>1026</v>
      </c>
      <c r="T568" s="167">
        <v>20</v>
      </c>
      <c r="U568" s="167" t="s">
        <v>2080</v>
      </c>
      <c r="V568" s="167" t="s">
        <v>3409</v>
      </c>
      <c r="AB568" s="167" t="s">
        <v>1743</v>
      </c>
      <c r="AC568" s="167">
        <v>347</v>
      </c>
      <c r="AD568" s="203">
        <v>43118</v>
      </c>
      <c r="AE568" s="203">
        <v>43133</v>
      </c>
      <c r="AF568" s="167" t="s">
        <v>3470</v>
      </c>
    </row>
    <row r="569" spans="16:32" x14ac:dyDescent="0.25">
      <c r="P569" s="167" t="s">
        <v>739</v>
      </c>
      <c r="Q569" s="167">
        <v>353</v>
      </c>
      <c r="R569" s="167" t="s">
        <v>3407</v>
      </c>
      <c r="S569" s="167" t="s">
        <v>1026</v>
      </c>
      <c r="T569" s="167">
        <v>8</v>
      </c>
      <c r="U569" s="167" t="s">
        <v>2080</v>
      </c>
      <c r="V569" s="167" t="s">
        <v>3409</v>
      </c>
      <c r="AB569" s="167" t="s">
        <v>1743</v>
      </c>
      <c r="AC569" s="167">
        <v>340</v>
      </c>
      <c r="AD569" s="203">
        <v>43133</v>
      </c>
      <c r="AE569" s="203">
        <v>43168</v>
      </c>
      <c r="AF569" s="167" t="s">
        <v>3470</v>
      </c>
    </row>
    <row r="570" spans="16:32" x14ac:dyDescent="0.25">
      <c r="P570" s="167" t="s">
        <v>739</v>
      </c>
      <c r="Q570" s="167">
        <v>353</v>
      </c>
      <c r="R570" s="167" t="s">
        <v>3407</v>
      </c>
      <c r="S570" s="167" t="s">
        <v>1026</v>
      </c>
      <c r="T570" s="167">
        <v>10</v>
      </c>
      <c r="U570" s="167" t="s">
        <v>2080</v>
      </c>
      <c r="V570" s="167" t="s">
        <v>3409</v>
      </c>
      <c r="AB570" s="167" t="s">
        <v>1743</v>
      </c>
      <c r="AC570" s="167">
        <v>374</v>
      </c>
      <c r="AD570" s="203">
        <v>43195</v>
      </c>
      <c r="AE570" s="203">
        <v>0</v>
      </c>
      <c r="AF570" s="167" t="s">
        <v>3469</v>
      </c>
    </row>
    <row r="571" spans="16:32" x14ac:dyDescent="0.25">
      <c r="P571" s="167" t="s">
        <v>739</v>
      </c>
      <c r="Q571" s="167">
        <v>353</v>
      </c>
      <c r="R571" s="167" t="s">
        <v>3407</v>
      </c>
      <c r="S571" s="167" t="s">
        <v>1026</v>
      </c>
      <c r="T571" s="167">
        <v>51</v>
      </c>
      <c r="U571" s="167" t="s">
        <v>2080</v>
      </c>
      <c r="V571" s="167" t="s">
        <v>3409</v>
      </c>
      <c r="AB571" s="167" t="s">
        <v>1745</v>
      </c>
      <c r="AC571" s="167">
        <v>357</v>
      </c>
      <c r="AD571" s="203">
        <v>43139</v>
      </c>
      <c r="AE571" s="203">
        <v>43164</v>
      </c>
      <c r="AF571" s="167" t="s">
        <v>3470</v>
      </c>
    </row>
    <row r="572" spans="16:32" x14ac:dyDescent="0.25">
      <c r="P572" s="167" t="s">
        <v>739</v>
      </c>
      <c r="Q572" s="167">
        <v>353</v>
      </c>
      <c r="R572" s="167" t="s">
        <v>3407</v>
      </c>
      <c r="S572" s="167" t="s">
        <v>1026</v>
      </c>
      <c r="T572" s="167">
        <v>4</v>
      </c>
      <c r="U572" s="167" t="s">
        <v>2080</v>
      </c>
      <c r="V572" s="167" t="s">
        <v>3409</v>
      </c>
      <c r="AB572" s="167" t="s">
        <v>1745</v>
      </c>
      <c r="AC572" s="167">
        <v>353</v>
      </c>
      <c r="AD572" s="203">
        <v>43180</v>
      </c>
      <c r="AE572" s="203">
        <v>0</v>
      </c>
      <c r="AF572" s="167" t="s">
        <v>3469</v>
      </c>
    </row>
    <row r="573" spans="16:32" x14ac:dyDescent="0.25">
      <c r="P573" s="167" t="s">
        <v>739</v>
      </c>
      <c r="Q573" s="167">
        <v>353</v>
      </c>
      <c r="R573" s="167" t="s">
        <v>3407</v>
      </c>
      <c r="S573" s="167" t="s">
        <v>1026</v>
      </c>
      <c r="T573" s="167">
        <v>4</v>
      </c>
      <c r="U573" s="167" t="s">
        <v>2080</v>
      </c>
      <c r="V573" s="167" t="s">
        <v>3409</v>
      </c>
      <c r="AB573" s="167" t="s">
        <v>1747</v>
      </c>
      <c r="AC573" s="167">
        <v>327</v>
      </c>
      <c r="AD573" s="203">
        <v>43074</v>
      </c>
      <c r="AE573" s="203">
        <v>43131</v>
      </c>
      <c r="AF573" s="167" t="s">
        <v>3470</v>
      </c>
    </row>
    <row r="574" spans="16:32" x14ac:dyDescent="0.25">
      <c r="P574" s="167" t="s">
        <v>739</v>
      </c>
      <c r="Q574" s="167">
        <v>353</v>
      </c>
      <c r="R574" s="167" t="s">
        <v>3407</v>
      </c>
      <c r="S574" s="167" t="s">
        <v>1026</v>
      </c>
      <c r="T574" s="167">
        <v>5</v>
      </c>
      <c r="U574" s="167" t="s">
        <v>2080</v>
      </c>
      <c r="V574" s="167" t="s">
        <v>3409</v>
      </c>
      <c r="AB574" s="167" t="s">
        <v>1747</v>
      </c>
      <c r="AC574" s="167">
        <v>347</v>
      </c>
      <c r="AD574" s="203">
        <v>43118</v>
      </c>
      <c r="AE574" s="203">
        <v>43133</v>
      </c>
      <c r="AF574" s="167" t="s">
        <v>3470</v>
      </c>
    </row>
    <row r="575" spans="16:32" x14ac:dyDescent="0.25">
      <c r="P575" s="167" t="s">
        <v>739</v>
      </c>
      <c r="Q575" s="167">
        <v>353</v>
      </c>
      <c r="R575" s="167" t="s">
        <v>3407</v>
      </c>
      <c r="S575" s="167" t="s">
        <v>1026</v>
      </c>
      <c r="T575" s="167">
        <v>10</v>
      </c>
      <c r="U575" s="167" t="s">
        <v>2080</v>
      </c>
      <c r="V575" s="167" t="s">
        <v>3409</v>
      </c>
      <c r="AB575" s="167" t="s">
        <v>1747</v>
      </c>
      <c r="AC575" s="167">
        <v>340</v>
      </c>
      <c r="AD575" s="203">
        <v>43133</v>
      </c>
      <c r="AE575" s="203">
        <v>43168</v>
      </c>
      <c r="AF575" s="167" t="s">
        <v>3470</v>
      </c>
    </row>
    <row r="576" spans="16:32" x14ac:dyDescent="0.25">
      <c r="P576" s="167" t="s">
        <v>739</v>
      </c>
      <c r="Q576" s="167">
        <v>353</v>
      </c>
      <c r="R576" s="167" t="s">
        <v>3407</v>
      </c>
      <c r="S576" s="167" t="s">
        <v>1027</v>
      </c>
      <c r="T576" s="167">
        <v>4</v>
      </c>
      <c r="U576" s="167" t="s">
        <v>2081</v>
      </c>
      <c r="V576" s="167" t="s">
        <v>3409</v>
      </c>
      <c r="AB576" s="167" t="s">
        <v>1747</v>
      </c>
      <c r="AC576" s="167">
        <v>357</v>
      </c>
      <c r="AD576" s="203">
        <v>43139</v>
      </c>
      <c r="AE576" s="203">
        <v>43164</v>
      </c>
      <c r="AF576" s="167" t="s">
        <v>3470</v>
      </c>
    </row>
    <row r="577" spans="16:32" x14ac:dyDescent="0.25">
      <c r="P577" s="167" t="s">
        <v>739</v>
      </c>
      <c r="Q577" s="167">
        <v>353</v>
      </c>
      <c r="R577" s="167" t="s">
        <v>3407</v>
      </c>
      <c r="S577" s="167" t="s">
        <v>1027</v>
      </c>
      <c r="T577" s="167">
        <v>10</v>
      </c>
      <c r="U577" s="167" t="s">
        <v>2081</v>
      </c>
      <c r="V577" s="167" t="s">
        <v>3409</v>
      </c>
      <c r="AB577" s="167" t="s">
        <v>1747</v>
      </c>
      <c r="AC577" s="167">
        <v>353</v>
      </c>
      <c r="AD577" s="203">
        <v>43180</v>
      </c>
      <c r="AE577" s="203">
        <v>0</v>
      </c>
      <c r="AF577" s="167" t="s">
        <v>3469</v>
      </c>
    </row>
    <row r="578" spans="16:32" x14ac:dyDescent="0.25">
      <c r="P578" s="167" t="s">
        <v>739</v>
      </c>
      <c r="Q578" s="167">
        <v>353</v>
      </c>
      <c r="R578" s="167" t="s">
        <v>3407</v>
      </c>
      <c r="S578" s="167" t="s">
        <v>2082</v>
      </c>
      <c r="T578" s="167">
        <v>1</v>
      </c>
      <c r="U578" s="167" t="s">
        <v>2083</v>
      </c>
      <c r="V578" s="167" t="s">
        <v>3409</v>
      </c>
      <c r="AB578" s="167" t="s">
        <v>1747</v>
      </c>
      <c r="AC578" s="167">
        <v>353</v>
      </c>
      <c r="AD578" s="203">
        <v>43180</v>
      </c>
      <c r="AE578" s="203">
        <v>0</v>
      </c>
      <c r="AF578" s="167" t="s">
        <v>3469</v>
      </c>
    </row>
    <row r="579" spans="16:32" x14ac:dyDescent="0.25">
      <c r="P579" s="167" t="s">
        <v>739</v>
      </c>
      <c r="Q579" s="167">
        <v>353</v>
      </c>
      <c r="R579" s="167" t="s">
        <v>3407</v>
      </c>
      <c r="S579" s="167" t="s">
        <v>2084</v>
      </c>
      <c r="T579" s="167">
        <v>5</v>
      </c>
      <c r="U579" s="167" t="s">
        <v>2085</v>
      </c>
      <c r="V579" s="167" t="s">
        <v>3409</v>
      </c>
      <c r="AB579" s="167" t="s">
        <v>1748</v>
      </c>
      <c r="AC579" s="167">
        <v>347</v>
      </c>
      <c r="AD579" s="203">
        <v>43118</v>
      </c>
      <c r="AE579" s="203">
        <v>43133</v>
      </c>
      <c r="AF579" s="167" t="s">
        <v>3470</v>
      </c>
    </row>
    <row r="580" spans="16:32" x14ac:dyDescent="0.25">
      <c r="P580" s="167" t="s">
        <v>739</v>
      </c>
      <c r="Q580" s="167">
        <v>353</v>
      </c>
      <c r="R580" s="167" t="s">
        <v>3407</v>
      </c>
      <c r="S580" s="167" t="s">
        <v>2084</v>
      </c>
      <c r="T580" s="167">
        <v>4</v>
      </c>
      <c r="U580" s="167" t="s">
        <v>2085</v>
      </c>
      <c r="V580" s="167" t="s">
        <v>3409</v>
      </c>
      <c r="AB580" s="167" t="s">
        <v>1748</v>
      </c>
      <c r="AC580" s="167">
        <v>340</v>
      </c>
      <c r="AD580" s="203">
        <v>43133</v>
      </c>
      <c r="AE580" s="203">
        <v>43168</v>
      </c>
      <c r="AF580" s="167" t="s">
        <v>3470</v>
      </c>
    </row>
    <row r="581" spans="16:32" x14ac:dyDescent="0.25">
      <c r="P581" s="167" t="s">
        <v>739</v>
      </c>
      <c r="Q581" s="167">
        <v>353</v>
      </c>
      <c r="R581" s="167" t="s">
        <v>3407</v>
      </c>
      <c r="S581" s="167" t="s">
        <v>2084</v>
      </c>
      <c r="T581" s="167">
        <v>6</v>
      </c>
      <c r="U581" s="167" t="s">
        <v>2085</v>
      </c>
      <c r="V581" s="167" t="s">
        <v>3409</v>
      </c>
      <c r="AB581" s="167" t="s">
        <v>1750</v>
      </c>
      <c r="AC581" s="167">
        <v>364</v>
      </c>
      <c r="AD581" s="203">
        <v>43168</v>
      </c>
      <c r="AE581" s="203">
        <v>43179</v>
      </c>
      <c r="AF581" s="167" t="s">
        <v>3470</v>
      </c>
    </row>
    <row r="582" spans="16:32" x14ac:dyDescent="0.25">
      <c r="P582" s="167" t="s">
        <v>739</v>
      </c>
      <c r="Q582" s="167">
        <v>353</v>
      </c>
      <c r="R582" s="167" t="s">
        <v>3407</v>
      </c>
      <c r="S582" s="167" t="s">
        <v>2084</v>
      </c>
      <c r="T582" s="167">
        <v>2</v>
      </c>
      <c r="U582" s="167" t="s">
        <v>2085</v>
      </c>
      <c r="V582" s="167" t="s">
        <v>3409</v>
      </c>
      <c r="AB582" s="167" t="s">
        <v>1750</v>
      </c>
      <c r="AC582" s="167">
        <v>353</v>
      </c>
      <c r="AD582" s="203">
        <v>43180</v>
      </c>
      <c r="AE582" s="203">
        <v>0</v>
      </c>
      <c r="AF582" s="167" t="s">
        <v>3469</v>
      </c>
    </row>
    <row r="583" spans="16:32" x14ac:dyDescent="0.25">
      <c r="P583" s="167" t="s">
        <v>739</v>
      </c>
      <c r="Q583" s="167">
        <v>353</v>
      </c>
      <c r="R583" s="167" t="s">
        <v>3407</v>
      </c>
      <c r="S583" s="167" t="s">
        <v>2084</v>
      </c>
      <c r="T583" s="167">
        <v>15</v>
      </c>
      <c r="U583" s="167" t="s">
        <v>2085</v>
      </c>
      <c r="V583" s="167" t="s">
        <v>3409</v>
      </c>
      <c r="AB583" s="167" t="s">
        <v>3414</v>
      </c>
      <c r="AC583" s="167">
        <v>323</v>
      </c>
      <c r="AD583" s="203">
        <v>43074</v>
      </c>
      <c r="AE583" s="203">
        <v>43111</v>
      </c>
      <c r="AF583" s="167" t="s">
        <v>3470</v>
      </c>
    </row>
    <row r="584" spans="16:32" x14ac:dyDescent="0.25">
      <c r="P584" s="167" t="s">
        <v>739</v>
      </c>
      <c r="Q584" s="167">
        <v>353</v>
      </c>
      <c r="R584" s="167" t="s">
        <v>3407</v>
      </c>
      <c r="S584" s="167" t="s">
        <v>2087</v>
      </c>
      <c r="T584" s="167">
        <v>3</v>
      </c>
      <c r="U584" s="167" t="s">
        <v>2088</v>
      </c>
      <c r="V584" s="167" t="s">
        <v>3409</v>
      </c>
      <c r="AB584" s="167" t="s">
        <v>3414</v>
      </c>
      <c r="AC584" s="167">
        <v>327</v>
      </c>
      <c r="AD584" s="203">
        <v>43074</v>
      </c>
      <c r="AE584" s="203">
        <v>43131</v>
      </c>
      <c r="AF584" s="167" t="s">
        <v>3470</v>
      </c>
    </row>
    <row r="585" spans="16:32" x14ac:dyDescent="0.25">
      <c r="P585" s="167" t="s">
        <v>739</v>
      </c>
      <c r="Q585" s="167">
        <v>353</v>
      </c>
      <c r="R585" s="167" t="s">
        <v>3407</v>
      </c>
      <c r="S585" s="167" t="s">
        <v>1029</v>
      </c>
      <c r="T585" s="167">
        <v>12</v>
      </c>
      <c r="U585" s="167" t="s">
        <v>2089</v>
      </c>
      <c r="V585" s="167" t="s">
        <v>3409</v>
      </c>
      <c r="AB585" s="167" t="s">
        <v>3414</v>
      </c>
      <c r="AC585" s="167">
        <v>347</v>
      </c>
      <c r="AD585" s="203">
        <v>43118</v>
      </c>
      <c r="AE585" s="203">
        <v>43133</v>
      </c>
      <c r="AF585" s="167" t="s">
        <v>3470</v>
      </c>
    </row>
    <row r="586" spans="16:32" x14ac:dyDescent="0.25">
      <c r="P586" s="167" t="s">
        <v>739</v>
      </c>
      <c r="Q586" s="167">
        <v>353</v>
      </c>
      <c r="R586" s="167" t="s">
        <v>3407</v>
      </c>
      <c r="S586" s="167" t="s">
        <v>2090</v>
      </c>
      <c r="T586" s="167">
        <v>25</v>
      </c>
      <c r="U586" s="167" t="s">
        <v>2091</v>
      </c>
      <c r="V586" s="167" t="s">
        <v>3409</v>
      </c>
      <c r="AB586" s="167" t="s">
        <v>3414</v>
      </c>
      <c r="AC586" s="167">
        <v>335</v>
      </c>
      <c r="AD586" s="203">
        <v>43133</v>
      </c>
      <c r="AE586" s="203">
        <v>43147</v>
      </c>
      <c r="AF586" s="167" t="s">
        <v>3470</v>
      </c>
    </row>
    <row r="587" spans="16:32" x14ac:dyDescent="0.25">
      <c r="P587" s="167" t="s">
        <v>739</v>
      </c>
      <c r="Q587" s="167">
        <v>353</v>
      </c>
      <c r="R587" s="167" t="s">
        <v>3407</v>
      </c>
      <c r="S587" s="167" t="s">
        <v>2090</v>
      </c>
      <c r="T587" s="167">
        <v>15</v>
      </c>
      <c r="U587" s="167" t="s">
        <v>2091</v>
      </c>
      <c r="V587" s="167" t="s">
        <v>3409</v>
      </c>
      <c r="AB587" s="167" t="s">
        <v>3414</v>
      </c>
      <c r="AC587" s="167">
        <v>340</v>
      </c>
      <c r="AD587" s="203">
        <v>43133</v>
      </c>
      <c r="AE587" s="203">
        <v>43168</v>
      </c>
      <c r="AF587" s="167" t="s">
        <v>3470</v>
      </c>
    </row>
    <row r="588" spans="16:32" x14ac:dyDescent="0.25">
      <c r="P588" s="167" t="s">
        <v>739</v>
      </c>
      <c r="Q588" s="167">
        <v>353</v>
      </c>
      <c r="R588" s="167" t="s">
        <v>3407</v>
      </c>
      <c r="S588" s="167" t="s">
        <v>2090</v>
      </c>
      <c r="T588" s="167">
        <v>15</v>
      </c>
      <c r="U588" s="167" t="s">
        <v>2091</v>
      </c>
      <c r="V588" s="167" t="s">
        <v>3409</v>
      </c>
      <c r="AB588" s="167" t="s">
        <v>3414</v>
      </c>
      <c r="AC588" s="167">
        <v>364</v>
      </c>
      <c r="AD588" s="203">
        <v>43168</v>
      </c>
      <c r="AE588" s="203">
        <v>43179</v>
      </c>
      <c r="AF588" s="167" t="s">
        <v>3470</v>
      </c>
    </row>
    <row r="589" spans="16:32" x14ac:dyDescent="0.25">
      <c r="P589" s="167" t="s">
        <v>739</v>
      </c>
      <c r="Q589" s="167">
        <v>353</v>
      </c>
      <c r="R589" s="167" t="s">
        <v>3407</v>
      </c>
      <c r="S589" s="167" t="s">
        <v>2092</v>
      </c>
      <c r="T589" s="167">
        <v>1</v>
      </c>
      <c r="U589" s="167" t="s">
        <v>2093</v>
      </c>
      <c r="V589" s="167" t="s">
        <v>3409</v>
      </c>
      <c r="AB589" s="167" t="s">
        <v>3414</v>
      </c>
      <c r="AC589" s="167">
        <v>353</v>
      </c>
      <c r="AD589" s="203">
        <v>43180</v>
      </c>
      <c r="AE589" s="203">
        <v>0</v>
      </c>
      <c r="AF589" s="167" t="s">
        <v>3469</v>
      </c>
    </row>
    <row r="590" spans="16:32" x14ac:dyDescent="0.25">
      <c r="P590" s="167" t="s">
        <v>739</v>
      </c>
      <c r="Q590" s="167">
        <v>353</v>
      </c>
      <c r="R590" s="167" t="s">
        <v>3407</v>
      </c>
      <c r="S590" s="167" t="s">
        <v>1030</v>
      </c>
      <c r="T590" s="167">
        <v>50</v>
      </c>
      <c r="U590" s="167" t="s">
        <v>2095</v>
      </c>
      <c r="V590" s="167" t="s">
        <v>3409</v>
      </c>
      <c r="AB590" s="167" t="s">
        <v>3414</v>
      </c>
      <c r="AC590" s="167">
        <v>353</v>
      </c>
      <c r="AD590" s="203">
        <v>43180</v>
      </c>
      <c r="AE590" s="203">
        <v>0</v>
      </c>
      <c r="AF590" s="167" t="s">
        <v>3469</v>
      </c>
    </row>
    <row r="591" spans="16:32" x14ac:dyDescent="0.25">
      <c r="P591" s="167" t="s">
        <v>739</v>
      </c>
      <c r="Q591" s="167">
        <v>353</v>
      </c>
      <c r="R591" s="167" t="s">
        <v>3407</v>
      </c>
      <c r="S591" s="167" t="s">
        <v>1030</v>
      </c>
      <c r="T591" s="167">
        <v>40</v>
      </c>
      <c r="U591" s="167" t="s">
        <v>2095</v>
      </c>
      <c r="V591" s="167" t="s">
        <v>3409</v>
      </c>
      <c r="AB591" s="167" t="s">
        <v>3414</v>
      </c>
      <c r="AC591" s="167">
        <v>353</v>
      </c>
      <c r="AD591" s="203">
        <v>43180</v>
      </c>
      <c r="AE591" s="203">
        <v>0</v>
      </c>
      <c r="AF591" s="167" t="s">
        <v>3469</v>
      </c>
    </row>
    <row r="592" spans="16:32" x14ac:dyDescent="0.25">
      <c r="P592" s="167" t="s">
        <v>739</v>
      </c>
      <c r="Q592" s="167">
        <v>353</v>
      </c>
      <c r="R592" s="167" t="s">
        <v>3407</v>
      </c>
      <c r="S592" s="167" t="s">
        <v>2098</v>
      </c>
      <c r="T592" s="167">
        <v>30</v>
      </c>
      <c r="U592" s="167" t="s">
        <v>2099</v>
      </c>
      <c r="V592" s="167" t="s">
        <v>3409</v>
      </c>
      <c r="AB592" s="167" t="s">
        <v>3414</v>
      </c>
      <c r="AC592" s="167">
        <v>374</v>
      </c>
      <c r="AD592" s="203">
        <v>43195</v>
      </c>
      <c r="AE592" s="203">
        <v>0</v>
      </c>
      <c r="AF592" s="167" t="s">
        <v>3469</v>
      </c>
    </row>
    <row r="593" spans="16:32" x14ac:dyDescent="0.25">
      <c r="P593" s="167" t="s">
        <v>739</v>
      </c>
      <c r="Q593" s="167">
        <v>353</v>
      </c>
      <c r="R593" s="167" t="s">
        <v>3407</v>
      </c>
      <c r="S593" s="167" t="s">
        <v>2100</v>
      </c>
      <c r="T593" s="167">
        <v>83</v>
      </c>
      <c r="U593" s="167" t="s">
        <v>2101</v>
      </c>
      <c r="V593" s="167" t="s">
        <v>3409</v>
      </c>
      <c r="AB593" s="167" t="s">
        <v>1752</v>
      </c>
      <c r="AC593" s="167">
        <v>323</v>
      </c>
      <c r="AD593" s="203">
        <v>43074</v>
      </c>
      <c r="AE593" s="203">
        <v>43111</v>
      </c>
      <c r="AF593" s="167" t="s">
        <v>3470</v>
      </c>
    </row>
    <row r="594" spans="16:32" x14ac:dyDescent="0.25">
      <c r="P594" s="167" t="s">
        <v>739</v>
      </c>
      <c r="Q594" s="167">
        <v>353</v>
      </c>
      <c r="R594" s="167" t="s">
        <v>3407</v>
      </c>
      <c r="S594" s="167" t="s">
        <v>2100</v>
      </c>
      <c r="T594" s="167">
        <v>49</v>
      </c>
      <c r="U594" s="167" t="s">
        <v>2101</v>
      </c>
      <c r="V594" s="167" t="s">
        <v>3409</v>
      </c>
      <c r="AB594" s="167" t="s">
        <v>1752</v>
      </c>
      <c r="AC594" s="167">
        <v>340</v>
      </c>
      <c r="AD594" s="203">
        <v>43133</v>
      </c>
      <c r="AE594" s="203">
        <v>43168</v>
      </c>
      <c r="AF594" s="167" t="s">
        <v>3470</v>
      </c>
    </row>
    <row r="595" spans="16:32" x14ac:dyDescent="0.25">
      <c r="P595" s="167" t="s">
        <v>739</v>
      </c>
      <c r="Q595" s="167">
        <v>353</v>
      </c>
      <c r="R595" s="167" t="s">
        <v>3407</v>
      </c>
      <c r="S595" s="167" t="s">
        <v>1031</v>
      </c>
      <c r="T595" s="167">
        <v>30</v>
      </c>
      <c r="U595" s="167" t="s">
        <v>2102</v>
      </c>
      <c r="V595" s="167" t="s">
        <v>3409</v>
      </c>
      <c r="AB595" s="167" t="s">
        <v>1752</v>
      </c>
      <c r="AC595" s="167">
        <v>357</v>
      </c>
      <c r="AD595" s="203">
        <v>43139</v>
      </c>
      <c r="AE595" s="203">
        <v>43164</v>
      </c>
      <c r="AF595" s="167" t="s">
        <v>3470</v>
      </c>
    </row>
    <row r="596" spans="16:32" x14ac:dyDescent="0.25">
      <c r="P596" s="167" t="s">
        <v>739</v>
      </c>
      <c r="Q596" s="167">
        <v>353</v>
      </c>
      <c r="R596" s="167" t="s">
        <v>3407</v>
      </c>
      <c r="S596" s="167" t="s">
        <v>1031</v>
      </c>
      <c r="T596" s="167">
        <v>12</v>
      </c>
      <c r="U596" s="167" t="s">
        <v>2102</v>
      </c>
      <c r="V596" s="167" t="s">
        <v>3409</v>
      </c>
      <c r="AB596" s="167" t="s">
        <v>1752</v>
      </c>
      <c r="AC596" s="167">
        <v>364</v>
      </c>
      <c r="AD596" s="203">
        <v>43168</v>
      </c>
      <c r="AE596" s="203">
        <v>43179</v>
      </c>
      <c r="AF596" s="167" t="s">
        <v>3470</v>
      </c>
    </row>
    <row r="597" spans="16:32" x14ac:dyDescent="0.25">
      <c r="P597" s="167" t="s">
        <v>739</v>
      </c>
      <c r="Q597" s="167">
        <v>353</v>
      </c>
      <c r="R597" s="167" t="s">
        <v>3407</v>
      </c>
      <c r="S597" s="167" t="s">
        <v>1032</v>
      </c>
      <c r="T597" s="167">
        <v>203</v>
      </c>
      <c r="U597" s="167" t="s">
        <v>2103</v>
      </c>
      <c r="V597" s="167" t="s">
        <v>3409</v>
      </c>
      <c r="AB597" s="167" t="s">
        <v>1752</v>
      </c>
      <c r="AC597" s="167">
        <v>353</v>
      </c>
      <c r="AD597" s="203">
        <v>43180</v>
      </c>
      <c r="AE597" s="203">
        <v>0</v>
      </c>
      <c r="AF597" s="167" t="s">
        <v>3469</v>
      </c>
    </row>
    <row r="598" spans="16:32" x14ac:dyDescent="0.25">
      <c r="P598" s="167" t="s">
        <v>739</v>
      </c>
      <c r="Q598" s="167">
        <v>353</v>
      </c>
      <c r="R598" s="167" t="s">
        <v>3407</v>
      </c>
      <c r="S598" s="167" t="s">
        <v>1032</v>
      </c>
      <c r="T598" s="167">
        <v>10</v>
      </c>
      <c r="U598" s="167" t="s">
        <v>2103</v>
      </c>
      <c r="V598" s="167" t="s">
        <v>3409</v>
      </c>
      <c r="AB598" s="167" t="s">
        <v>1752</v>
      </c>
      <c r="AC598" s="167">
        <v>353</v>
      </c>
      <c r="AD598" s="203">
        <v>43180</v>
      </c>
      <c r="AE598" s="203">
        <v>0</v>
      </c>
      <c r="AF598" s="167" t="s">
        <v>3469</v>
      </c>
    </row>
    <row r="599" spans="16:32" x14ac:dyDescent="0.25">
      <c r="P599" s="167" t="s">
        <v>739</v>
      </c>
      <c r="Q599" s="167">
        <v>353</v>
      </c>
      <c r="R599" s="167" t="s">
        <v>3407</v>
      </c>
      <c r="S599" s="167" t="s">
        <v>1032</v>
      </c>
      <c r="T599" s="167">
        <v>36</v>
      </c>
      <c r="U599" s="167" t="s">
        <v>2103</v>
      </c>
      <c r="V599" s="167" t="s">
        <v>3409</v>
      </c>
      <c r="AB599" s="167" t="s">
        <v>3415</v>
      </c>
      <c r="AC599" s="167">
        <v>347</v>
      </c>
      <c r="AD599" s="203">
        <v>43118</v>
      </c>
      <c r="AE599" s="203">
        <v>43133</v>
      </c>
      <c r="AF599" s="167" t="s">
        <v>3470</v>
      </c>
    </row>
    <row r="600" spans="16:32" x14ac:dyDescent="0.25">
      <c r="P600" s="167" t="s">
        <v>739</v>
      </c>
      <c r="Q600" s="167">
        <v>353</v>
      </c>
      <c r="R600" s="167" t="s">
        <v>3407</v>
      </c>
      <c r="S600" s="167" t="s">
        <v>1032</v>
      </c>
      <c r="T600" s="167">
        <v>87</v>
      </c>
      <c r="U600" s="167" t="s">
        <v>2103</v>
      </c>
      <c r="V600" s="167" t="s">
        <v>3409</v>
      </c>
      <c r="AB600" s="167" t="s">
        <v>3415</v>
      </c>
      <c r="AC600" s="167">
        <v>340</v>
      </c>
      <c r="AD600" s="203">
        <v>43133</v>
      </c>
      <c r="AE600" s="203">
        <v>43168</v>
      </c>
      <c r="AF600" s="167" t="s">
        <v>3470</v>
      </c>
    </row>
    <row r="601" spans="16:32" x14ac:dyDescent="0.25">
      <c r="P601" s="167" t="s">
        <v>739</v>
      </c>
      <c r="Q601" s="167">
        <v>353</v>
      </c>
      <c r="R601" s="167" t="s">
        <v>3407</v>
      </c>
      <c r="S601" s="167" t="s">
        <v>1032</v>
      </c>
      <c r="T601" s="167">
        <v>40</v>
      </c>
      <c r="U601" s="167" t="s">
        <v>2103</v>
      </c>
      <c r="V601" s="167" t="s">
        <v>3409</v>
      </c>
      <c r="AB601" s="167" t="s">
        <v>3415</v>
      </c>
      <c r="AC601" s="167">
        <v>340</v>
      </c>
      <c r="AD601" s="203">
        <v>43133</v>
      </c>
      <c r="AE601" s="203">
        <v>43168</v>
      </c>
      <c r="AF601" s="167" t="s">
        <v>3470</v>
      </c>
    </row>
    <row r="602" spans="16:32" x14ac:dyDescent="0.25">
      <c r="P602" s="167" t="s">
        <v>739</v>
      </c>
      <c r="Q602" s="167">
        <v>353</v>
      </c>
      <c r="R602" s="167" t="s">
        <v>3407</v>
      </c>
      <c r="S602" s="167" t="s">
        <v>1032</v>
      </c>
      <c r="T602" s="167">
        <v>10</v>
      </c>
      <c r="U602" s="167" t="s">
        <v>2103</v>
      </c>
      <c r="V602" s="167" t="s">
        <v>3409</v>
      </c>
      <c r="AB602" s="167" t="s">
        <v>3415</v>
      </c>
      <c r="AC602" s="167">
        <v>353</v>
      </c>
      <c r="AD602" s="203">
        <v>43180</v>
      </c>
      <c r="AE602" s="203">
        <v>0</v>
      </c>
      <c r="AF602" s="167" t="s">
        <v>3469</v>
      </c>
    </row>
    <row r="603" spans="16:32" x14ac:dyDescent="0.25">
      <c r="P603" s="167" t="s">
        <v>739</v>
      </c>
      <c r="Q603" s="167">
        <v>353</v>
      </c>
      <c r="R603" s="167" t="s">
        <v>3407</v>
      </c>
      <c r="S603" s="167" t="s">
        <v>1032</v>
      </c>
      <c r="T603" s="167">
        <v>6</v>
      </c>
      <c r="U603" s="167" t="s">
        <v>2103</v>
      </c>
      <c r="V603" s="167" t="s">
        <v>3409</v>
      </c>
      <c r="AB603" s="167" t="s">
        <v>1754</v>
      </c>
      <c r="AC603" s="167">
        <v>327</v>
      </c>
      <c r="AD603" s="203">
        <v>43074</v>
      </c>
      <c r="AE603" s="203">
        <v>43131</v>
      </c>
      <c r="AF603" s="167" t="s">
        <v>3470</v>
      </c>
    </row>
    <row r="604" spans="16:32" x14ac:dyDescent="0.25">
      <c r="P604" s="167" t="s">
        <v>739</v>
      </c>
      <c r="Q604" s="167">
        <v>353</v>
      </c>
      <c r="R604" s="167" t="s">
        <v>3407</v>
      </c>
      <c r="S604" s="167" t="s">
        <v>1033</v>
      </c>
      <c r="T604" s="167">
        <v>141</v>
      </c>
      <c r="U604" s="167" t="s">
        <v>2104</v>
      </c>
      <c r="V604" s="167" t="s">
        <v>3409</v>
      </c>
      <c r="AB604" s="167" t="s">
        <v>1754</v>
      </c>
      <c r="AC604" s="167">
        <v>327</v>
      </c>
      <c r="AD604" s="203">
        <v>43074</v>
      </c>
      <c r="AE604" s="203">
        <v>43131</v>
      </c>
      <c r="AF604" s="167" t="s">
        <v>3470</v>
      </c>
    </row>
    <row r="605" spans="16:32" x14ac:dyDescent="0.25">
      <c r="P605" s="167" t="s">
        <v>739</v>
      </c>
      <c r="Q605" s="167">
        <v>353</v>
      </c>
      <c r="R605" s="167" t="s">
        <v>3407</v>
      </c>
      <c r="S605" s="167" t="s">
        <v>1033</v>
      </c>
      <c r="T605" s="167">
        <v>13</v>
      </c>
      <c r="U605" s="167" t="s">
        <v>2104</v>
      </c>
      <c r="V605" s="167" t="s">
        <v>3409</v>
      </c>
      <c r="AB605" s="167" t="s">
        <v>1754</v>
      </c>
      <c r="AC605" s="167">
        <v>347</v>
      </c>
      <c r="AD605" s="203">
        <v>43118</v>
      </c>
      <c r="AE605" s="203">
        <v>43133</v>
      </c>
      <c r="AF605" s="167" t="s">
        <v>3470</v>
      </c>
    </row>
    <row r="606" spans="16:32" x14ac:dyDescent="0.25">
      <c r="P606" s="167" t="s">
        <v>739</v>
      </c>
      <c r="Q606" s="167">
        <v>353</v>
      </c>
      <c r="R606" s="167" t="s">
        <v>3407</v>
      </c>
      <c r="S606" s="167" t="s">
        <v>1033</v>
      </c>
      <c r="T606" s="167">
        <v>40</v>
      </c>
      <c r="U606" s="167" t="s">
        <v>2104</v>
      </c>
      <c r="V606" s="167" t="s">
        <v>3409</v>
      </c>
      <c r="AB606" s="167" t="s">
        <v>1754</v>
      </c>
      <c r="AC606" s="167">
        <v>340</v>
      </c>
      <c r="AD606" s="203">
        <v>43133</v>
      </c>
      <c r="AE606" s="203">
        <v>43168</v>
      </c>
      <c r="AF606" s="167" t="s">
        <v>3470</v>
      </c>
    </row>
    <row r="607" spans="16:32" x14ac:dyDescent="0.25">
      <c r="P607" s="167" t="s">
        <v>739</v>
      </c>
      <c r="Q607" s="167">
        <v>353</v>
      </c>
      <c r="R607" s="167" t="s">
        <v>3407</v>
      </c>
      <c r="S607" s="167" t="s">
        <v>1034</v>
      </c>
      <c r="T607" s="167">
        <v>10</v>
      </c>
      <c r="U607" s="167" t="s">
        <v>2105</v>
      </c>
      <c r="V607" s="167" t="s">
        <v>3409</v>
      </c>
      <c r="AB607" s="167" t="s">
        <v>1754</v>
      </c>
      <c r="AC607" s="167">
        <v>340</v>
      </c>
      <c r="AD607" s="203">
        <v>43133</v>
      </c>
      <c r="AE607" s="203">
        <v>43168</v>
      </c>
      <c r="AF607" s="167" t="s">
        <v>3470</v>
      </c>
    </row>
    <row r="608" spans="16:32" x14ac:dyDescent="0.25">
      <c r="P608" s="167" t="s">
        <v>739</v>
      </c>
      <c r="Q608" s="167">
        <v>353</v>
      </c>
      <c r="R608" s="167" t="s">
        <v>3407</v>
      </c>
      <c r="S608" s="167" t="s">
        <v>1034</v>
      </c>
      <c r="T608" s="167">
        <v>300</v>
      </c>
      <c r="U608" s="167" t="s">
        <v>2105</v>
      </c>
      <c r="V608" s="167" t="s">
        <v>3409</v>
      </c>
      <c r="AB608" s="167" t="s">
        <v>1754</v>
      </c>
      <c r="AC608" s="167">
        <v>374</v>
      </c>
      <c r="AD608" s="203">
        <v>43195</v>
      </c>
      <c r="AE608" s="203">
        <v>0</v>
      </c>
      <c r="AF608" s="167" t="s">
        <v>3469</v>
      </c>
    </row>
    <row r="609" spans="16:32" x14ac:dyDescent="0.25">
      <c r="P609" s="167" t="s">
        <v>739</v>
      </c>
      <c r="Q609" s="167">
        <v>353</v>
      </c>
      <c r="R609" s="167" t="s">
        <v>3407</v>
      </c>
      <c r="S609" s="167" t="s">
        <v>1034</v>
      </c>
      <c r="T609" s="167">
        <v>50</v>
      </c>
      <c r="U609" s="167" t="s">
        <v>2105</v>
      </c>
      <c r="V609" s="167" t="s">
        <v>3409</v>
      </c>
      <c r="AB609" s="167" t="s">
        <v>1755</v>
      </c>
      <c r="AC609" s="167">
        <v>323</v>
      </c>
      <c r="AD609" s="203">
        <v>43074</v>
      </c>
      <c r="AE609" s="203">
        <v>43111</v>
      </c>
      <c r="AF609" s="167" t="s">
        <v>3470</v>
      </c>
    </row>
    <row r="610" spans="16:32" x14ac:dyDescent="0.25">
      <c r="P610" s="167" t="s">
        <v>739</v>
      </c>
      <c r="Q610" s="167">
        <v>353</v>
      </c>
      <c r="R610" s="167" t="s">
        <v>3407</v>
      </c>
      <c r="S610" s="167" t="s">
        <v>1034</v>
      </c>
      <c r="T610" s="167">
        <v>103</v>
      </c>
      <c r="U610" s="167" t="s">
        <v>2105</v>
      </c>
      <c r="V610" s="167" t="s">
        <v>3409</v>
      </c>
      <c r="AB610" s="167" t="s">
        <v>1755</v>
      </c>
      <c r="AC610" s="167">
        <v>327</v>
      </c>
      <c r="AD610" s="203">
        <v>43074</v>
      </c>
      <c r="AE610" s="203">
        <v>43131</v>
      </c>
      <c r="AF610" s="167" t="s">
        <v>3470</v>
      </c>
    </row>
    <row r="611" spans="16:32" x14ac:dyDescent="0.25">
      <c r="P611" s="167" t="s">
        <v>739</v>
      </c>
      <c r="Q611" s="167">
        <v>353</v>
      </c>
      <c r="R611" s="167" t="s">
        <v>3407</v>
      </c>
      <c r="S611" s="167" t="s">
        <v>1034</v>
      </c>
      <c r="T611" s="167">
        <v>10</v>
      </c>
      <c r="U611" s="167" t="s">
        <v>2105</v>
      </c>
      <c r="V611" s="167" t="s">
        <v>3409</v>
      </c>
      <c r="AB611" s="167" t="s">
        <v>1755</v>
      </c>
      <c r="AC611" s="167">
        <v>327</v>
      </c>
      <c r="AD611" s="203">
        <v>43074</v>
      </c>
      <c r="AE611" s="203">
        <v>43131</v>
      </c>
      <c r="AF611" s="167" t="s">
        <v>3470</v>
      </c>
    </row>
    <row r="612" spans="16:32" x14ac:dyDescent="0.25">
      <c r="P612" s="167" t="s">
        <v>739</v>
      </c>
      <c r="Q612" s="167">
        <v>353</v>
      </c>
      <c r="R612" s="167" t="s">
        <v>3407</v>
      </c>
      <c r="S612" s="167" t="s">
        <v>1034</v>
      </c>
      <c r="T612" s="167">
        <v>5</v>
      </c>
      <c r="U612" s="167" t="s">
        <v>2105</v>
      </c>
      <c r="V612" s="167" t="s">
        <v>3409</v>
      </c>
      <c r="AB612" s="167" t="s">
        <v>1755</v>
      </c>
      <c r="AC612" s="167">
        <v>347</v>
      </c>
      <c r="AD612" s="203">
        <v>43118</v>
      </c>
      <c r="AE612" s="203">
        <v>43133</v>
      </c>
      <c r="AF612" s="167" t="s">
        <v>3470</v>
      </c>
    </row>
    <row r="613" spans="16:32" x14ac:dyDescent="0.25">
      <c r="P613" s="167" t="s">
        <v>739</v>
      </c>
      <c r="Q613" s="167">
        <v>353</v>
      </c>
      <c r="R613" s="167" t="s">
        <v>3407</v>
      </c>
      <c r="S613" s="167" t="s">
        <v>1034</v>
      </c>
      <c r="T613" s="167">
        <v>23</v>
      </c>
      <c r="U613" s="167" t="s">
        <v>2105</v>
      </c>
      <c r="V613" s="167" t="s">
        <v>3409</v>
      </c>
      <c r="AB613" s="167" t="s">
        <v>1755</v>
      </c>
      <c r="AC613" s="167">
        <v>340</v>
      </c>
      <c r="AD613" s="203">
        <v>43133</v>
      </c>
      <c r="AE613" s="203">
        <v>43168</v>
      </c>
      <c r="AF613" s="167" t="s">
        <v>3470</v>
      </c>
    </row>
    <row r="614" spans="16:32" x14ac:dyDescent="0.25">
      <c r="P614" s="167" t="s">
        <v>739</v>
      </c>
      <c r="Q614" s="167">
        <v>353</v>
      </c>
      <c r="R614" s="167" t="s">
        <v>3407</v>
      </c>
      <c r="S614" s="167" t="s">
        <v>1034</v>
      </c>
      <c r="T614" s="167">
        <v>10</v>
      </c>
      <c r="U614" s="167" t="s">
        <v>2105</v>
      </c>
      <c r="V614" s="167" t="s">
        <v>3409</v>
      </c>
      <c r="AB614" s="167" t="s">
        <v>1755</v>
      </c>
      <c r="AC614" s="167">
        <v>340</v>
      </c>
      <c r="AD614" s="203">
        <v>43133</v>
      </c>
      <c r="AE614" s="203">
        <v>43168</v>
      </c>
      <c r="AF614" s="167" t="s">
        <v>3470</v>
      </c>
    </row>
    <row r="615" spans="16:32" x14ac:dyDescent="0.25">
      <c r="P615" s="167" t="s">
        <v>739</v>
      </c>
      <c r="Q615" s="167">
        <v>353</v>
      </c>
      <c r="R615" s="167" t="s">
        <v>3407</v>
      </c>
      <c r="S615" s="167" t="s">
        <v>1034</v>
      </c>
      <c r="T615" s="167">
        <v>34</v>
      </c>
      <c r="U615" s="167" t="s">
        <v>2105</v>
      </c>
      <c r="V615" s="167" t="s">
        <v>3409</v>
      </c>
      <c r="AB615" s="167" t="s">
        <v>1755</v>
      </c>
      <c r="AC615" s="167">
        <v>357</v>
      </c>
      <c r="AD615" s="203">
        <v>43139</v>
      </c>
      <c r="AE615" s="203">
        <v>43164</v>
      </c>
      <c r="AF615" s="167" t="s">
        <v>3470</v>
      </c>
    </row>
    <row r="616" spans="16:32" x14ac:dyDescent="0.25">
      <c r="P616" s="167" t="s">
        <v>739</v>
      </c>
      <c r="Q616" s="167">
        <v>353</v>
      </c>
      <c r="R616" s="167" t="s">
        <v>3407</v>
      </c>
      <c r="S616" s="167" t="s">
        <v>1034</v>
      </c>
      <c r="T616" s="167">
        <v>116</v>
      </c>
      <c r="U616" s="167" t="s">
        <v>2105</v>
      </c>
      <c r="V616" s="167" t="s">
        <v>3409</v>
      </c>
      <c r="AB616" s="167" t="s">
        <v>1755</v>
      </c>
      <c r="AC616" s="167">
        <v>353</v>
      </c>
      <c r="AD616" s="203">
        <v>43180</v>
      </c>
      <c r="AE616" s="203">
        <v>0</v>
      </c>
      <c r="AF616" s="167" t="s">
        <v>3469</v>
      </c>
    </row>
    <row r="617" spans="16:32" x14ac:dyDescent="0.25">
      <c r="P617" s="167" t="s">
        <v>739</v>
      </c>
      <c r="Q617" s="167">
        <v>353</v>
      </c>
      <c r="R617" s="167" t="s">
        <v>3407</v>
      </c>
      <c r="S617" s="167" t="s">
        <v>1034</v>
      </c>
      <c r="T617" s="167">
        <v>90</v>
      </c>
      <c r="U617" s="167" t="s">
        <v>2105</v>
      </c>
      <c r="V617" s="167" t="s">
        <v>3409</v>
      </c>
      <c r="AB617" s="167" t="s">
        <v>1755</v>
      </c>
      <c r="AC617" s="167">
        <v>353</v>
      </c>
      <c r="AD617" s="203">
        <v>43180</v>
      </c>
      <c r="AE617" s="203">
        <v>0</v>
      </c>
      <c r="AF617" s="167" t="s">
        <v>3469</v>
      </c>
    </row>
    <row r="618" spans="16:32" x14ac:dyDescent="0.25">
      <c r="P618" s="167" t="s">
        <v>739</v>
      </c>
      <c r="Q618" s="167">
        <v>353</v>
      </c>
      <c r="R618" s="167" t="s">
        <v>3407</v>
      </c>
      <c r="S618" s="167" t="s">
        <v>1034</v>
      </c>
      <c r="T618" s="167">
        <v>5</v>
      </c>
      <c r="U618" s="167" t="s">
        <v>2105</v>
      </c>
      <c r="V618" s="167" t="s">
        <v>3409</v>
      </c>
      <c r="AB618" s="167" t="s">
        <v>1755</v>
      </c>
      <c r="AC618" s="167">
        <v>353</v>
      </c>
      <c r="AD618" s="203">
        <v>43180</v>
      </c>
      <c r="AE618" s="203">
        <v>0</v>
      </c>
      <c r="AF618" s="167" t="s">
        <v>3469</v>
      </c>
    </row>
    <row r="619" spans="16:32" x14ac:dyDescent="0.25">
      <c r="P619" s="167" t="s">
        <v>739</v>
      </c>
      <c r="Q619" s="167">
        <v>353</v>
      </c>
      <c r="R619" s="167" t="s">
        <v>3407</v>
      </c>
      <c r="S619" s="167" t="s">
        <v>1034</v>
      </c>
      <c r="T619" s="167">
        <v>229</v>
      </c>
      <c r="U619" s="167" t="s">
        <v>2105</v>
      </c>
      <c r="V619" s="167" t="s">
        <v>3409</v>
      </c>
      <c r="AB619" s="167" t="s">
        <v>1757</v>
      </c>
      <c r="AC619" s="167">
        <v>323</v>
      </c>
      <c r="AD619" s="203">
        <v>43074</v>
      </c>
      <c r="AE619" s="203">
        <v>43111</v>
      </c>
      <c r="AF619" s="167" t="s">
        <v>3470</v>
      </c>
    </row>
    <row r="620" spans="16:32" x14ac:dyDescent="0.25">
      <c r="P620" s="167" t="s">
        <v>739</v>
      </c>
      <c r="Q620" s="167">
        <v>353</v>
      </c>
      <c r="R620" s="167" t="s">
        <v>3407</v>
      </c>
      <c r="S620" s="167" t="s">
        <v>1034</v>
      </c>
      <c r="T620" s="167">
        <v>30</v>
      </c>
      <c r="U620" s="167" t="s">
        <v>2105</v>
      </c>
      <c r="V620" s="167" t="s">
        <v>3409</v>
      </c>
      <c r="AB620" s="167" t="s">
        <v>1757</v>
      </c>
      <c r="AC620" s="167">
        <v>327</v>
      </c>
      <c r="AD620" s="203">
        <v>43074</v>
      </c>
      <c r="AE620" s="203">
        <v>43131</v>
      </c>
      <c r="AF620" s="167" t="s">
        <v>3470</v>
      </c>
    </row>
    <row r="621" spans="16:32" x14ac:dyDescent="0.25">
      <c r="P621" s="167" t="s">
        <v>739</v>
      </c>
      <c r="Q621" s="167">
        <v>353</v>
      </c>
      <c r="R621" s="167" t="s">
        <v>3407</v>
      </c>
      <c r="S621" s="167" t="s">
        <v>1034</v>
      </c>
      <c r="T621" s="167">
        <v>35</v>
      </c>
      <c r="U621" s="167" t="s">
        <v>2105</v>
      </c>
      <c r="V621" s="167" t="s">
        <v>3409</v>
      </c>
      <c r="AB621" s="167" t="s">
        <v>1757</v>
      </c>
      <c r="AC621" s="167">
        <v>347</v>
      </c>
      <c r="AD621" s="203">
        <v>43118</v>
      </c>
      <c r="AE621" s="203">
        <v>43133</v>
      </c>
      <c r="AF621" s="167" t="s">
        <v>3470</v>
      </c>
    </row>
    <row r="622" spans="16:32" x14ac:dyDescent="0.25">
      <c r="P622" s="167" t="s">
        <v>739</v>
      </c>
      <c r="Q622" s="167">
        <v>353</v>
      </c>
      <c r="R622" s="167" t="s">
        <v>3407</v>
      </c>
      <c r="S622" s="167" t="s">
        <v>1036</v>
      </c>
      <c r="T622" s="167">
        <v>7</v>
      </c>
      <c r="U622" s="167" t="s">
        <v>2109</v>
      </c>
      <c r="V622" s="167" t="s">
        <v>3409</v>
      </c>
      <c r="AB622" s="167" t="s">
        <v>1757</v>
      </c>
      <c r="AC622" s="167">
        <v>340</v>
      </c>
      <c r="AD622" s="203">
        <v>43133</v>
      </c>
      <c r="AE622" s="203">
        <v>43168</v>
      </c>
      <c r="AF622" s="167" t="s">
        <v>3470</v>
      </c>
    </row>
    <row r="623" spans="16:32" x14ac:dyDescent="0.25">
      <c r="P623" s="167" t="s">
        <v>739</v>
      </c>
      <c r="Q623" s="167">
        <v>353</v>
      </c>
      <c r="R623" s="167" t="s">
        <v>3407</v>
      </c>
      <c r="S623" s="167" t="s">
        <v>2110</v>
      </c>
      <c r="T623" s="167">
        <v>6</v>
      </c>
      <c r="U623" s="167" t="s">
        <v>2111</v>
      </c>
      <c r="V623" s="167" t="s">
        <v>3409</v>
      </c>
      <c r="AB623" s="167" t="s">
        <v>1757</v>
      </c>
      <c r="AC623" s="167">
        <v>340</v>
      </c>
      <c r="AD623" s="203">
        <v>43133</v>
      </c>
      <c r="AE623" s="203">
        <v>43168</v>
      </c>
      <c r="AF623" s="167" t="s">
        <v>3470</v>
      </c>
    </row>
    <row r="624" spans="16:32" x14ac:dyDescent="0.25">
      <c r="P624" s="167" t="s">
        <v>739</v>
      </c>
      <c r="Q624" s="167">
        <v>353</v>
      </c>
      <c r="R624" s="167" t="s">
        <v>3407</v>
      </c>
      <c r="S624" s="167" t="s">
        <v>2110</v>
      </c>
      <c r="T624" s="167">
        <v>5</v>
      </c>
      <c r="U624" s="167" t="s">
        <v>2111</v>
      </c>
      <c r="V624" s="167" t="s">
        <v>3409</v>
      </c>
      <c r="AB624" s="167" t="s">
        <v>1757</v>
      </c>
      <c r="AC624" s="167">
        <v>364</v>
      </c>
      <c r="AD624" s="203">
        <v>43168</v>
      </c>
      <c r="AE624" s="203">
        <v>43179</v>
      </c>
      <c r="AF624" s="167" t="s">
        <v>3470</v>
      </c>
    </row>
    <row r="625" spans="16:32" x14ac:dyDescent="0.25">
      <c r="P625" s="167" t="s">
        <v>739</v>
      </c>
      <c r="Q625" s="167">
        <v>353</v>
      </c>
      <c r="R625" s="167" t="s">
        <v>3407</v>
      </c>
      <c r="S625" s="167" t="s">
        <v>2110</v>
      </c>
      <c r="T625" s="167">
        <v>4</v>
      </c>
      <c r="U625" s="167" t="s">
        <v>2111</v>
      </c>
      <c r="V625" s="167" t="s">
        <v>3409</v>
      </c>
      <c r="AB625" s="167" t="s">
        <v>1757</v>
      </c>
      <c r="AC625" s="167">
        <v>353</v>
      </c>
      <c r="AD625" s="203">
        <v>43180</v>
      </c>
      <c r="AE625" s="203">
        <v>0</v>
      </c>
      <c r="AF625" s="167" t="s">
        <v>3469</v>
      </c>
    </row>
    <row r="626" spans="16:32" x14ac:dyDescent="0.25">
      <c r="P626" s="167" t="s">
        <v>739</v>
      </c>
      <c r="Q626" s="167">
        <v>353</v>
      </c>
      <c r="R626" s="167" t="s">
        <v>3407</v>
      </c>
      <c r="S626" s="167" t="s">
        <v>2112</v>
      </c>
      <c r="T626" s="167">
        <v>6</v>
      </c>
      <c r="U626" s="167" t="s">
        <v>2113</v>
      </c>
      <c r="V626" s="167" t="s">
        <v>3409</v>
      </c>
      <c r="AB626" s="167" t="s">
        <v>1757</v>
      </c>
      <c r="AC626" s="167">
        <v>353</v>
      </c>
      <c r="AD626" s="203">
        <v>43180</v>
      </c>
      <c r="AE626" s="203">
        <v>0</v>
      </c>
      <c r="AF626" s="167" t="s">
        <v>3469</v>
      </c>
    </row>
    <row r="627" spans="16:32" x14ac:dyDescent="0.25">
      <c r="P627" s="167" t="s">
        <v>739</v>
      </c>
      <c r="Q627" s="167">
        <v>353</v>
      </c>
      <c r="R627" s="167" t="s">
        <v>3407</v>
      </c>
      <c r="S627" s="167" t="s">
        <v>2114</v>
      </c>
      <c r="T627" s="167">
        <v>3</v>
      </c>
      <c r="U627" s="167" t="s">
        <v>2115</v>
      </c>
      <c r="V627" s="167" t="s">
        <v>3409</v>
      </c>
      <c r="AB627" s="167" t="s">
        <v>1759</v>
      </c>
      <c r="AC627" s="167">
        <v>347</v>
      </c>
      <c r="AD627" s="203">
        <v>43118</v>
      </c>
      <c r="AE627" s="203">
        <v>43133</v>
      </c>
      <c r="AF627" s="167" t="s">
        <v>3470</v>
      </c>
    </row>
    <row r="628" spans="16:32" x14ac:dyDescent="0.25">
      <c r="P628" s="167" t="s">
        <v>739</v>
      </c>
      <c r="Q628" s="167">
        <v>353</v>
      </c>
      <c r="R628" s="167" t="s">
        <v>3407</v>
      </c>
      <c r="S628" s="167" t="s">
        <v>2114</v>
      </c>
      <c r="T628" s="167">
        <v>6</v>
      </c>
      <c r="U628" s="167" t="s">
        <v>2115</v>
      </c>
      <c r="V628" s="167" t="s">
        <v>3409</v>
      </c>
      <c r="AB628" s="167" t="s">
        <v>1759</v>
      </c>
      <c r="AC628" s="167">
        <v>340</v>
      </c>
      <c r="AD628" s="203">
        <v>43133</v>
      </c>
      <c r="AE628" s="203">
        <v>43168</v>
      </c>
      <c r="AF628" s="167" t="s">
        <v>3470</v>
      </c>
    </row>
    <row r="629" spans="16:32" x14ac:dyDescent="0.25">
      <c r="P629" s="167" t="s">
        <v>739</v>
      </c>
      <c r="Q629" s="167">
        <v>353</v>
      </c>
      <c r="R629" s="167" t="s">
        <v>3407</v>
      </c>
      <c r="S629" s="167" t="s">
        <v>2117</v>
      </c>
      <c r="T629" s="167">
        <v>6</v>
      </c>
      <c r="U629" s="167" t="s">
        <v>2118</v>
      </c>
      <c r="V629" s="167" t="s">
        <v>3409</v>
      </c>
      <c r="AB629" s="167" t="s">
        <v>1759</v>
      </c>
      <c r="AC629" s="167">
        <v>340</v>
      </c>
      <c r="AD629" s="203">
        <v>43133</v>
      </c>
      <c r="AE629" s="203">
        <v>43168</v>
      </c>
      <c r="AF629" s="167" t="s">
        <v>3470</v>
      </c>
    </row>
    <row r="630" spans="16:32" x14ac:dyDescent="0.25">
      <c r="P630" s="167" t="s">
        <v>739</v>
      </c>
      <c r="Q630" s="167">
        <v>353</v>
      </c>
      <c r="R630" s="167" t="s">
        <v>3407</v>
      </c>
      <c r="S630" s="167" t="s">
        <v>2117</v>
      </c>
      <c r="T630" s="167">
        <v>6</v>
      </c>
      <c r="U630" s="167" t="s">
        <v>2118</v>
      </c>
      <c r="V630" s="167" t="s">
        <v>3409</v>
      </c>
      <c r="AB630" s="167" t="s">
        <v>1759</v>
      </c>
      <c r="AC630" s="167">
        <v>340</v>
      </c>
      <c r="AD630" s="203">
        <v>43133</v>
      </c>
      <c r="AE630" s="203">
        <v>43168</v>
      </c>
      <c r="AF630" s="167" t="s">
        <v>3470</v>
      </c>
    </row>
    <row r="631" spans="16:32" x14ac:dyDescent="0.25">
      <c r="P631" s="167" t="s">
        <v>739</v>
      </c>
      <c r="Q631" s="167">
        <v>353</v>
      </c>
      <c r="R631" s="167" t="s">
        <v>3407</v>
      </c>
      <c r="S631" s="167" t="s">
        <v>1038</v>
      </c>
      <c r="T631" s="167">
        <v>10</v>
      </c>
      <c r="U631" s="167" t="s">
        <v>2119</v>
      </c>
      <c r="V631" s="167" t="s">
        <v>3409</v>
      </c>
      <c r="AB631" s="167" t="s">
        <v>1759</v>
      </c>
      <c r="AC631" s="167">
        <v>357</v>
      </c>
      <c r="AD631" s="203">
        <v>43139</v>
      </c>
      <c r="AE631" s="203">
        <v>43164</v>
      </c>
      <c r="AF631" s="167" t="s">
        <v>3470</v>
      </c>
    </row>
    <row r="632" spans="16:32" x14ac:dyDescent="0.25">
      <c r="P632" s="167" t="s">
        <v>739</v>
      </c>
      <c r="Q632" s="167">
        <v>353</v>
      </c>
      <c r="R632" s="167" t="s">
        <v>3407</v>
      </c>
      <c r="S632" s="167" t="s">
        <v>1038</v>
      </c>
      <c r="T632" s="167">
        <v>85</v>
      </c>
      <c r="U632" s="167" t="s">
        <v>2119</v>
      </c>
      <c r="V632" s="167" t="s">
        <v>3409</v>
      </c>
      <c r="AB632" s="167" t="s">
        <v>1759</v>
      </c>
      <c r="AC632" s="167">
        <v>353</v>
      </c>
      <c r="AD632" s="203">
        <v>43180</v>
      </c>
      <c r="AE632" s="203">
        <v>0</v>
      </c>
      <c r="AF632" s="167" t="s">
        <v>3469</v>
      </c>
    </row>
    <row r="633" spans="16:32" x14ac:dyDescent="0.25">
      <c r="P633" s="167" t="s">
        <v>739</v>
      </c>
      <c r="Q633" s="167">
        <v>353</v>
      </c>
      <c r="R633" s="167" t="s">
        <v>3407</v>
      </c>
      <c r="S633" s="167" t="s">
        <v>1038</v>
      </c>
      <c r="T633" s="167">
        <v>27</v>
      </c>
      <c r="U633" s="167" t="s">
        <v>2119</v>
      </c>
      <c r="V633" s="167" t="s">
        <v>3409</v>
      </c>
      <c r="AB633" s="167" t="s">
        <v>1759</v>
      </c>
      <c r="AC633" s="167">
        <v>353</v>
      </c>
      <c r="AD633" s="203">
        <v>43180</v>
      </c>
      <c r="AE633" s="203">
        <v>0</v>
      </c>
      <c r="AF633" s="167" t="s">
        <v>3469</v>
      </c>
    </row>
    <row r="634" spans="16:32" x14ac:dyDescent="0.25">
      <c r="P634" s="167" t="s">
        <v>739</v>
      </c>
      <c r="Q634" s="167">
        <v>353</v>
      </c>
      <c r="R634" s="167" t="s">
        <v>3407</v>
      </c>
      <c r="S634" s="167" t="s">
        <v>1038</v>
      </c>
      <c r="T634" s="167">
        <v>10</v>
      </c>
      <c r="U634" s="167" t="s">
        <v>2119</v>
      </c>
      <c r="V634" s="167" t="s">
        <v>3409</v>
      </c>
      <c r="AB634" s="167" t="s">
        <v>1761</v>
      </c>
      <c r="AC634" s="167">
        <v>340</v>
      </c>
      <c r="AD634" s="203">
        <v>43133</v>
      </c>
      <c r="AE634" s="203">
        <v>43168</v>
      </c>
      <c r="AF634" s="167" t="s">
        <v>3470</v>
      </c>
    </row>
    <row r="635" spans="16:32" x14ac:dyDescent="0.25">
      <c r="P635" s="167" t="s">
        <v>739</v>
      </c>
      <c r="Q635" s="167">
        <v>353</v>
      </c>
      <c r="R635" s="167" t="s">
        <v>3407</v>
      </c>
      <c r="S635" s="167" t="s">
        <v>1038</v>
      </c>
      <c r="T635" s="167">
        <v>40</v>
      </c>
      <c r="U635" s="167" t="s">
        <v>2119</v>
      </c>
      <c r="V635" s="167" t="s">
        <v>3409</v>
      </c>
      <c r="AB635" s="167" t="s">
        <v>1761</v>
      </c>
      <c r="AC635" s="167">
        <v>364</v>
      </c>
      <c r="AD635" s="203">
        <v>43168</v>
      </c>
      <c r="AE635" s="203">
        <v>43179</v>
      </c>
      <c r="AF635" s="167" t="s">
        <v>3470</v>
      </c>
    </row>
    <row r="636" spans="16:32" x14ac:dyDescent="0.25">
      <c r="P636" s="167" t="s">
        <v>739</v>
      </c>
      <c r="Q636" s="167">
        <v>353</v>
      </c>
      <c r="R636" s="167" t="s">
        <v>3407</v>
      </c>
      <c r="S636" s="167" t="s">
        <v>1038</v>
      </c>
      <c r="T636" s="167">
        <v>17</v>
      </c>
      <c r="U636" s="167" t="s">
        <v>2119</v>
      </c>
      <c r="V636" s="167" t="s">
        <v>3409</v>
      </c>
      <c r="AB636" s="167" t="s">
        <v>1761</v>
      </c>
      <c r="AC636" s="167">
        <v>353</v>
      </c>
      <c r="AD636" s="203">
        <v>43180</v>
      </c>
      <c r="AE636" s="203">
        <v>0</v>
      </c>
      <c r="AF636" s="167" t="s">
        <v>3469</v>
      </c>
    </row>
    <row r="637" spans="16:32" x14ac:dyDescent="0.25">
      <c r="P637" s="167" t="s">
        <v>739</v>
      </c>
      <c r="Q637" s="167">
        <v>353</v>
      </c>
      <c r="R637" s="167" t="s">
        <v>3407</v>
      </c>
      <c r="S637" s="167" t="s">
        <v>2120</v>
      </c>
      <c r="T637" s="167">
        <v>90</v>
      </c>
      <c r="U637" s="167" t="s">
        <v>2121</v>
      </c>
      <c r="V637" s="167" t="s">
        <v>3409</v>
      </c>
      <c r="AB637" s="167" t="s">
        <v>1762</v>
      </c>
      <c r="AC637" s="167">
        <v>340</v>
      </c>
      <c r="AD637" s="203">
        <v>43133</v>
      </c>
      <c r="AE637" s="203">
        <v>43168</v>
      </c>
      <c r="AF637" s="167" t="s">
        <v>3470</v>
      </c>
    </row>
    <row r="638" spans="16:32" x14ac:dyDescent="0.25">
      <c r="P638" s="167" t="s">
        <v>739</v>
      </c>
      <c r="Q638" s="167">
        <v>353</v>
      </c>
      <c r="R638" s="167" t="s">
        <v>3407</v>
      </c>
      <c r="S638" s="167" t="s">
        <v>2120</v>
      </c>
      <c r="T638" s="167">
        <v>50</v>
      </c>
      <c r="U638" s="167" t="s">
        <v>2121</v>
      </c>
      <c r="V638" s="167" t="s">
        <v>3409</v>
      </c>
      <c r="AB638" s="167" t="s">
        <v>1764</v>
      </c>
      <c r="AC638" s="167">
        <v>364</v>
      </c>
      <c r="AD638" s="203">
        <v>43168</v>
      </c>
      <c r="AE638" s="203">
        <v>43179</v>
      </c>
      <c r="AF638" s="167" t="s">
        <v>3470</v>
      </c>
    </row>
    <row r="639" spans="16:32" x14ac:dyDescent="0.25">
      <c r="P639" s="167" t="s">
        <v>739</v>
      </c>
      <c r="Q639" s="167">
        <v>353</v>
      </c>
      <c r="R639" s="167" t="s">
        <v>3407</v>
      </c>
      <c r="S639" s="167" t="s">
        <v>2122</v>
      </c>
      <c r="T639" s="167">
        <v>3</v>
      </c>
      <c r="U639" s="167" t="s">
        <v>2123</v>
      </c>
      <c r="V639" s="167" t="s">
        <v>3409</v>
      </c>
      <c r="AB639" s="167" t="s">
        <v>1764</v>
      </c>
      <c r="AC639" s="167">
        <v>353</v>
      </c>
      <c r="AD639" s="203">
        <v>43180</v>
      </c>
      <c r="AE639" s="203">
        <v>0</v>
      </c>
      <c r="AF639" s="167" t="s">
        <v>3469</v>
      </c>
    </row>
    <row r="640" spans="16:32" x14ac:dyDescent="0.25">
      <c r="P640" s="167" t="s">
        <v>739</v>
      </c>
      <c r="Q640" s="167">
        <v>353</v>
      </c>
      <c r="R640" s="167" t="s">
        <v>3407</v>
      </c>
      <c r="S640" s="167" t="s">
        <v>1039</v>
      </c>
      <c r="T640" s="167">
        <v>8</v>
      </c>
      <c r="U640" s="167" t="s">
        <v>2124</v>
      </c>
      <c r="V640" s="167" t="s">
        <v>3409</v>
      </c>
      <c r="AB640" s="167" t="s">
        <v>1765</v>
      </c>
      <c r="AC640" s="167">
        <v>323</v>
      </c>
      <c r="AD640" s="203">
        <v>43074</v>
      </c>
      <c r="AE640" s="203">
        <v>43111</v>
      </c>
      <c r="AF640" s="167" t="s">
        <v>3470</v>
      </c>
    </row>
    <row r="641" spans="16:32" x14ac:dyDescent="0.25">
      <c r="P641" s="167" t="s">
        <v>739</v>
      </c>
      <c r="Q641" s="167">
        <v>353</v>
      </c>
      <c r="R641" s="167" t="s">
        <v>3407</v>
      </c>
      <c r="S641" s="167" t="s">
        <v>2125</v>
      </c>
      <c r="T641" s="167">
        <v>10</v>
      </c>
      <c r="U641" s="167" t="s">
        <v>2126</v>
      </c>
      <c r="V641" s="167" t="s">
        <v>3409</v>
      </c>
      <c r="AB641" s="167" t="s">
        <v>1765</v>
      </c>
      <c r="AC641" s="167">
        <v>340</v>
      </c>
      <c r="AD641" s="203">
        <v>43133</v>
      </c>
      <c r="AE641" s="203">
        <v>43168</v>
      </c>
      <c r="AF641" s="167" t="s">
        <v>3470</v>
      </c>
    </row>
    <row r="642" spans="16:32" x14ac:dyDescent="0.25">
      <c r="P642" s="167" t="s">
        <v>739</v>
      </c>
      <c r="Q642" s="167">
        <v>353</v>
      </c>
      <c r="R642" s="167" t="s">
        <v>3407</v>
      </c>
      <c r="S642" s="167" t="s">
        <v>1040</v>
      </c>
      <c r="T642" s="167">
        <v>172</v>
      </c>
      <c r="U642" s="167" t="s">
        <v>2128</v>
      </c>
      <c r="V642" s="167" t="s">
        <v>3409</v>
      </c>
      <c r="AB642" s="167" t="s">
        <v>1767</v>
      </c>
      <c r="AC642" s="167">
        <v>323</v>
      </c>
      <c r="AD642" s="203">
        <v>43074</v>
      </c>
      <c r="AE642" s="203">
        <v>43111</v>
      </c>
      <c r="AF642" s="167" t="s">
        <v>3470</v>
      </c>
    </row>
    <row r="643" spans="16:32" x14ac:dyDescent="0.25">
      <c r="P643" s="167" t="s">
        <v>739</v>
      </c>
      <c r="Q643" s="167">
        <v>353</v>
      </c>
      <c r="R643" s="167" t="s">
        <v>3407</v>
      </c>
      <c r="S643" s="167" t="s">
        <v>1040</v>
      </c>
      <c r="T643" s="167">
        <v>105</v>
      </c>
      <c r="U643" s="167" t="s">
        <v>2128</v>
      </c>
      <c r="V643" s="167" t="s">
        <v>3409</v>
      </c>
      <c r="AB643" s="167" t="s">
        <v>1767</v>
      </c>
      <c r="AC643" s="167">
        <v>357</v>
      </c>
      <c r="AD643" s="203">
        <v>43139</v>
      </c>
      <c r="AE643" s="203">
        <v>43164</v>
      </c>
      <c r="AF643" s="167" t="s">
        <v>3470</v>
      </c>
    </row>
    <row r="644" spans="16:32" x14ac:dyDescent="0.25">
      <c r="P644" s="167" t="s">
        <v>739</v>
      </c>
      <c r="Q644" s="167">
        <v>353</v>
      </c>
      <c r="R644" s="167" t="s">
        <v>3407</v>
      </c>
      <c r="S644" s="167" t="s">
        <v>1041</v>
      </c>
      <c r="T644" s="167">
        <v>5</v>
      </c>
      <c r="U644" s="167" t="s">
        <v>2129</v>
      </c>
      <c r="V644" s="167" t="s">
        <v>3409</v>
      </c>
      <c r="AB644" s="167" t="s">
        <v>1767</v>
      </c>
      <c r="AC644" s="167">
        <v>364</v>
      </c>
      <c r="AD644" s="203">
        <v>43168</v>
      </c>
      <c r="AE644" s="203">
        <v>43179</v>
      </c>
      <c r="AF644" s="167" t="s">
        <v>3470</v>
      </c>
    </row>
    <row r="645" spans="16:32" x14ac:dyDescent="0.25">
      <c r="P645" s="167" t="s">
        <v>739</v>
      </c>
      <c r="Q645" s="167">
        <v>353</v>
      </c>
      <c r="R645" s="167" t="s">
        <v>3407</v>
      </c>
      <c r="S645" s="167" t="s">
        <v>1041</v>
      </c>
      <c r="T645" s="167">
        <v>60</v>
      </c>
      <c r="U645" s="167" t="s">
        <v>2129</v>
      </c>
      <c r="V645" s="167" t="s">
        <v>3409</v>
      </c>
      <c r="AB645" s="167" t="s">
        <v>1767</v>
      </c>
      <c r="AC645" s="167">
        <v>353</v>
      </c>
      <c r="AD645" s="203">
        <v>43180</v>
      </c>
      <c r="AE645" s="203">
        <v>0</v>
      </c>
      <c r="AF645" s="167" t="s">
        <v>3469</v>
      </c>
    </row>
    <row r="646" spans="16:32" x14ac:dyDescent="0.25">
      <c r="P646" s="167" t="s">
        <v>739</v>
      </c>
      <c r="Q646" s="167">
        <v>353</v>
      </c>
      <c r="R646" s="167" t="s">
        <v>3407</v>
      </c>
      <c r="S646" s="167" t="s">
        <v>1041</v>
      </c>
      <c r="T646" s="167">
        <v>5</v>
      </c>
      <c r="U646" s="167" t="s">
        <v>2129</v>
      </c>
      <c r="V646" s="167" t="s">
        <v>3409</v>
      </c>
      <c r="AB646" s="167" t="s">
        <v>1767</v>
      </c>
      <c r="AC646" s="167">
        <v>353</v>
      </c>
      <c r="AD646" s="203">
        <v>43180</v>
      </c>
      <c r="AE646" s="203">
        <v>0</v>
      </c>
      <c r="AF646" s="167" t="s">
        <v>3469</v>
      </c>
    </row>
    <row r="647" spans="16:32" x14ac:dyDescent="0.25">
      <c r="P647" s="167" t="s">
        <v>739</v>
      </c>
      <c r="Q647" s="167">
        <v>353</v>
      </c>
      <c r="R647" s="167" t="s">
        <v>3407</v>
      </c>
      <c r="S647" s="167" t="s">
        <v>1041</v>
      </c>
      <c r="T647" s="167">
        <v>80</v>
      </c>
      <c r="U647" s="167" t="s">
        <v>2129</v>
      </c>
      <c r="V647" s="167" t="s">
        <v>3409</v>
      </c>
      <c r="AB647" s="167" t="s">
        <v>1767</v>
      </c>
      <c r="AC647" s="167">
        <v>353</v>
      </c>
      <c r="AD647" s="203">
        <v>43180</v>
      </c>
      <c r="AE647" s="203">
        <v>0</v>
      </c>
      <c r="AF647" s="167" t="s">
        <v>3469</v>
      </c>
    </row>
    <row r="648" spans="16:32" x14ac:dyDescent="0.25">
      <c r="P648" s="167" t="s">
        <v>739</v>
      </c>
      <c r="Q648" s="167">
        <v>353</v>
      </c>
      <c r="R648" s="167" t="s">
        <v>3407</v>
      </c>
      <c r="S648" s="167" t="s">
        <v>1042</v>
      </c>
      <c r="T648" s="167">
        <v>470</v>
      </c>
      <c r="U648" s="167" t="s">
        <v>2130</v>
      </c>
      <c r="V648" s="167" t="s">
        <v>3409</v>
      </c>
      <c r="AB648" s="167" t="s">
        <v>1767</v>
      </c>
      <c r="AC648" s="167">
        <v>353</v>
      </c>
      <c r="AD648" s="203">
        <v>43180</v>
      </c>
      <c r="AE648" s="203">
        <v>0</v>
      </c>
      <c r="AF648" s="167" t="s">
        <v>3469</v>
      </c>
    </row>
    <row r="649" spans="16:32" x14ac:dyDescent="0.25">
      <c r="P649" s="167" t="s">
        <v>739</v>
      </c>
      <c r="Q649" s="167">
        <v>353</v>
      </c>
      <c r="R649" s="167" t="s">
        <v>3407</v>
      </c>
      <c r="S649" s="167" t="s">
        <v>1042</v>
      </c>
      <c r="T649" s="167">
        <v>9</v>
      </c>
      <c r="U649" s="167" t="s">
        <v>2130</v>
      </c>
      <c r="V649" s="167" t="s">
        <v>3409</v>
      </c>
      <c r="AB649" s="167" t="s">
        <v>1768</v>
      </c>
      <c r="AC649" s="167">
        <v>323</v>
      </c>
      <c r="AD649" s="203">
        <v>43074</v>
      </c>
      <c r="AE649" s="203">
        <v>43111</v>
      </c>
      <c r="AF649" s="167" t="s">
        <v>3470</v>
      </c>
    </row>
    <row r="650" spans="16:32" x14ac:dyDescent="0.25">
      <c r="P650" s="167" t="s">
        <v>739</v>
      </c>
      <c r="Q650" s="167">
        <v>353</v>
      </c>
      <c r="R650" s="167" t="s">
        <v>3407</v>
      </c>
      <c r="S650" s="167" t="s">
        <v>1042</v>
      </c>
      <c r="T650" s="167">
        <v>78</v>
      </c>
      <c r="U650" s="167" t="s">
        <v>2130</v>
      </c>
      <c r="V650" s="167" t="s">
        <v>3409</v>
      </c>
      <c r="AB650" s="167" t="s">
        <v>1768</v>
      </c>
      <c r="AC650" s="167">
        <v>327</v>
      </c>
      <c r="AD650" s="203">
        <v>43074</v>
      </c>
      <c r="AE650" s="203">
        <v>43131</v>
      </c>
      <c r="AF650" s="167" t="s">
        <v>3470</v>
      </c>
    </row>
    <row r="651" spans="16:32" x14ac:dyDescent="0.25">
      <c r="P651" s="167" t="s">
        <v>739</v>
      </c>
      <c r="Q651" s="167">
        <v>353</v>
      </c>
      <c r="R651" s="167" t="s">
        <v>3407</v>
      </c>
      <c r="S651" s="167" t="s">
        <v>1043</v>
      </c>
      <c r="T651" s="167">
        <v>15</v>
      </c>
      <c r="U651" s="167" t="s">
        <v>2133</v>
      </c>
      <c r="V651" s="167" t="s">
        <v>3409</v>
      </c>
      <c r="AB651" s="167" t="s">
        <v>1770</v>
      </c>
      <c r="AC651" s="167">
        <v>347</v>
      </c>
      <c r="AD651" s="203">
        <v>43118</v>
      </c>
      <c r="AE651" s="203">
        <v>43133</v>
      </c>
      <c r="AF651" s="167" t="s">
        <v>3470</v>
      </c>
    </row>
    <row r="652" spans="16:32" x14ac:dyDescent="0.25">
      <c r="P652" s="167" t="s">
        <v>739</v>
      </c>
      <c r="Q652" s="167">
        <v>353</v>
      </c>
      <c r="R652" s="167" t="s">
        <v>3407</v>
      </c>
      <c r="S652" s="167" t="s">
        <v>1043</v>
      </c>
      <c r="T652" s="167">
        <v>57</v>
      </c>
      <c r="U652" s="167" t="s">
        <v>2133</v>
      </c>
      <c r="V652" s="167" t="s">
        <v>3409</v>
      </c>
      <c r="AB652" s="167" t="s">
        <v>1770</v>
      </c>
      <c r="AC652" s="167">
        <v>340</v>
      </c>
      <c r="AD652" s="203">
        <v>43133</v>
      </c>
      <c r="AE652" s="203">
        <v>43168</v>
      </c>
      <c r="AF652" s="167" t="s">
        <v>3470</v>
      </c>
    </row>
    <row r="653" spans="16:32" x14ac:dyDescent="0.25">
      <c r="P653" s="167" t="s">
        <v>739</v>
      </c>
      <c r="Q653" s="167">
        <v>353</v>
      </c>
      <c r="R653" s="167" t="s">
        <v>3407</v>
      </c>
      <c r="S653" s="167" t="s">
        <v>1043</v>
      </c>
      <c r="T653" s="167">
        <v>5</v>
      </c>
      <c r="U653" s="167" t="s">
        <v>2133</v>
      </c>
      <c r="V653" s="167" t="s">
        <v>3409</v>
      </c>
      <c r="AB653" s="167" t="s">
        <v>1770</v>
      </c>
      <c r="AC653" s="167">
        <v>357</v>
      </c>
      <c r="AD653" s="203">
        <v>43139</v>
      </c>
      <c r="AE653" s="203">
        <v>43164</v>
      </c>
      <c r="AF653" s="167" t="s">
        <v>3470</v>
      </c>
    </row>
    <row r="654" spans="16:32" x14ac:dyDescent="0.25">
      <c r="P654" s="167" t="s">
        <v>739</v>
      </c>
      <c r="Q654" s="167">
        <v>353</v>
      </c>
      <c r="R654" s="167" t="s">
        <v>3407</v>
      </c>
      <c r="S654" s="167" t="s">
        <v>1043</v>
      </c>
      <c r="T654" s="167">
        <v>15</v>
      </c>
      <c r="U654" s="167" t="s">
        <v>2133</v>
      </c>
      <c r="V654" s="167" t="s">
        <v>3409</v>
      </c>
      <c r="AB654" s="167" t="s">
        <v>1770</v>
      </c>
      <c r="AC654" s="167">
        <v>353</v>
      </c>
      <c r="AD654" s="203">
        <v>43180</v>
      </c>
      <c r="AE654" s="203">
        <v>0</v>
      </c>
      <c r="AF654" s="167" t="s">
        <v>3469</v>
      </c>
    </row>
    <row r="655" spans="16:32" x14ac:dyDescent="0.25">
      <c r="P655" s="167" t="s">
        <v>739</v>
      </c>
      <c r="Q655" s="167">
        <v>353</v>
      </c>
      <c r="R655" s="167" t="s">
        <v>3407</v>
      </c>
      <c r="S655" s="167" t="s">
        <v>1043</v>
      </c>
      <c r="T655" s="167">
        <v>61</v>
      </c>
      <c r="U655" s="167" t="s">
        <v>2133</v>
      </c>
      <c r="V655" s="167" t="s">
        <v>3409</v>
      </c>
      <c r="AB655" s="167" t="s">
        <v>1770</v>
      </c>
      <c r="AC655" s="167">
        <v>353</v>
      </c>
      <c r="AD655" s="203">
        <v>43180</v>
      </c>
      <c r="AE655" s="203">
        <v>0</v>
      </c>
      <c r="AF655" s="167" t="s">
        <v>3469</v>
      </c>
    </row>
    <row r="656" spans="16:32" x14ac:dyDescent="0.25">
      <c r="P656" s="167" t="s">
        <v>739</v>
      </c>
      <c r="Q656" s="167">
        <v>353</v>
      </c>
      <c r="R656" s="167" t="s">
        <v>3407</v>
      </c>
      <c r="S656" s="167" t="s">
        <v>1043</v>
      </c>
      <c r="T656" s="167">
        <v>13</v>
      </c>
      <c r="U656" s="167" t="s">
        <v>2133</v>
      </c>
      <c r="V656" s="167" t="s">
        <v>3409</v>
      </c>
      <c r="AB656" s="167" t="s">
        <v>1772</v>
      </c>
      <c r="AC656" s="167">
        <v>323</v>
      </c>
      <c r="AD656" s="203">
        <v>43074</v>
      </c>
      <c r="AE656" s="203">
        <v>43111</v>
      </c>
      <c r="AF656" s="167" t="s">
        <v>3470</v>
      </c>
    </row>
    <row r="657" spans="16:32" x14ac:dyDescent="0.25">
      <c r="P657" s="167" t="s">
        <v>739</v>
      </c>
      <c r="Q657" s="167">
        <v>353</v>
      </c>
      <c r="R657" s="167" t="s">
        <v>3407</v>
      </c>
      <c r="S657" s="167" t="s">
        <v>1043</v>
      </c>
      <c r="T657" s="167">
        <v>29</v>
      </c>
      <c r="U657" s="167" t="s">
        <v>2133</v>
      </c>
      <c r="V657" s="167" t="s">
        <v>3409</v>
      </c>
      <c r="AB657" s="167" t="s">
        <v>1772</v>
      </c>
      <c r="AC657" s="167">
        <v>327</v>
      </c>
      <c r="AD657" s="203">
        <v>43074</v>
      </c>
      <c r="AE657" s="203">
        <v>43131</v>
      </c>
      <c r="AF657" s="167" t="s">
        <v>3470</v>
      </c>
    </row>
    <row r="658" spans="16:32" x14ac:dyDescent="0.25">
      <c r="P658" s="167" t="s">
        <v>739</v>
      </c>
      <c r="Q658" s="167">
        <v>353</v>
      </c>
      <c r="R658" s="167" t="s">
        <v>3407</v>
      </c>
      <c r="S658" s="167" t="s">
        <v>2134</v>
      </c>
      <c r="T658" s="167">
        <v>30</v>
      </c>
      <c r="U658" s="167" t="s">
        <v>2135</v>
      </c>
      <c r="V658" s="167" t="s">
        <v>3409</v>
      </c>
      <c r="AB658" s="167" t="s">
        <v>1772</v>
      </c>
      <c r="AC658" s="167">
        <v>347</v>
      </c>
      <c r="AD658" s="203">
        <v>43118</v>
      </c>
      <c r="AE658" s="203">
        <v>43133</v>
      </c>
      <c r="AF658" s="167" t="s">
        <v>3470</v>
      </c>
    </row>
    <row r="659" spans="16:32" x14ac:dyDescent="0.25">
      <c r="P659" s="167" t="s">
        <v>739</v>
      </c>
      <c r="Q659" s="167">
        <v>353</v>
      </c>
      <c r="R659" s="167" t="s">
        <v>3407</v>
      </c>
      <c r="S659" s="167" t="s">
        <v>2134</v>
      </c>
      <c r="T659" s="167">
        <v>4</v>
      </c>
      <c r="U659" s="167" t="s">
        <v>2135</v>
      </c>
      <c r="V659" s="167" t="s">
        <v>3409</v>
      </c>
      <c r="AB659" s="167" t="s">
        <v>1772</v>
      </c>
      <c r="AC659" s="167">
        <v>340</v>
      </c>
      <c r="AD659" s="203">
        <v>43133</v>
      </c>
      <c r="AE659" s="203">
        <v>43168</v>
      </c>
      <c r="AF659" s="167" t="s">
        <v>3470</v>
      </c>
    </row>
    <row r="660" spans="16:32" x14ac:dyDescent="0.25">
      <c r="P660" s="167" t="s">
        <v>739</v>
      </c>
      <c r="Q660" s="167">
        <v>353</v>
      </c>
      <c r="R660" s="167" t="s">
        <v>3407</v>
      </c>
      <c r="S660" s="167" t="s">
        <v>2134</v>
      </c>
      <c r="T660" s="167">
        <v>20</v>
      </c>
      <c r="U660" s="167" t="s">
        <v>2135</v>
      </c>
      <c r="V660" s="167" t="s">
        <v>3409</v>
      </c>
      <c r="AB660" s="167" t="s">
        <v>1772</v>
      </c>
      <c r="AC660" s="167">
        <v>357</v>
      </c>
      <c r="AD660" s="203">
        <v>43139</v>
      </c>
      <c r="AE660" s="203">
        <v>43164</v>
      </c>
      <c r="AF660" s="167" t="s">
        <v>3470</v>
      </c>
    </row>
    <row r="661" spans="16:32" x14ac:dyDescent="0.25">
      <c r="P661" s="167" t="s">
        <v>739</v>
      </c>
      <c r="Q661" s="167">
        <v>353</v>
      </c>
      <c r="R661" s="167" t="s">
        <v>3407</v>
      </c>
      <c r="S661" s="167" t="s">
        <v>2136</v>
      </c>
      <c r="T661" s="167">
        <v>1</v>
      </c>
      <c r="U661" s="167" t="s">
        <v>2137</v>
      </c>
      <c r="V661" s="167" t="s">
        <v>3409</v>
      </c>
      <c r="AB661" s="167" t="s">
        <v>1772</v>
      </c>
      <c r="AC661" s="167">
        <v>364</v>
      </c>
      <c r="AD661" s="203">
        <v>43168</v>
      </c>
      <c r="AE661" s="203">
        <v>43179</v>
      </c>
      <c r="AF661" s="167" t="s">
        <v>3470</v>
      </c>
    </row>
    <row r="662" spans="16:32" x14ac:dyDescent="0.25">
      <c r="P662" s="167" t="s">
        <v>739</v>
      </c>
      <c r="Q662" s="167">
        <v>353</v>
      </c>
      <c r="R662" s="167" t="s">
        <v>3407</v>
      </c>
      <c r="S662" s="167" t="s">
        <v>2136</v>
      </c>
      <c r="T662" s="167">
        <v>1</v>
      </c>
      <c r="U662" s="167" t="s">
        <v>2137</v>
      </c>
      <c r="V662" s="167" t="s">
        <v>3409</v>
      </c>
      <c r="AB662" s="167" t="s">
        <v>1772</v>
      </c>
      <c r="AC662" s="167">
        <v>353</v>
      </c>
      <c r="AD662" s="203">
        <v>43180</v>
      </c>
      <c r="AE662" s="203">
        <v>0</v>
      </c>
      <c r="AF662" s="167" t="s">
        <v>3469</v>
      </c>
    </row>
    <row r="663" spans="16:32" x14ac:dyDescent="0.25">
      <c r="P663" s="167" t="s">
        <v>739</v>
      </c>
      <c r="Q663" s="167">
        <v>353</v>
      </c>
      <c r="R663" s="167" t="s">
        <v>3407</v>
      </c>
      <c r="S663" s="167" t="s">
        <v>2136</v>
      </c>
      <c r="T663" s="167">
        <v>2</v>
      </c>
      <c r="U663" s="167" t="s">
        <v>2137</v>
      </c>
      <c r="V663" s="167" t="s">
        <v>3409</v>
      </c>
      <c r="AB663" s="167" t="s">
        <v>1772</v>
      </c>
      <c r="AC663" s="167">
        <v>353</v>
      </c>
      <c r="AD663" s="203">
        <v>43180</v>
      </c>
      <c r="AE663" s="203">
        <v>0</v>
      </c>
      <c r="AF663" s="167" t="s">
        <v>3469</v>
      </c>
    </row>
    <row r="664" spans="16:32" x14ac:dyDescent="0.25">
      <c r="P664" s="167" t="s">
        <v>739</v>
      </c>
      <c r="Q664" s="167">
        <v>353</v>
      </c>
      <c r="R664" s="167" t="s">
        <v>3407</v>
      </c>
      <c r="S664" s="167" t="s">
        <v>2136</v>
      </c>
      <c r="T664" s="167">
        <v>4</v>
      </c>
      <c r="U664" s="167" t="s">
        <v>2137</v>
      </c>
      <c r="V664" s="167" t="s">
        <v>3409</v>
      </c>
      <c r="AB664" s="167" t="s">
        <v>1774</v>
      </c>
      <c r="AC664" s="167">
        <v>323</v>
      </c>
      <c r="AD664" s="203">
        <v>43074</v>
      </c>
      <c r="AE664" s="203">
        <v>43111</v>
      </c>
      <c r="AF664" s="167" t="s">
        <v>3470</v>
      </c>
    </row>
    <row r="665" spans="16:32" x14ac:dyDescent="0.25">
      <c r="P665" s="167" t="s">
        <v>739</v>
      </c>
      <c r="Q665" s="167">
        <v>353</v>
      </c>
      <c r="R665" s="167" t="s">
        <v>3407</v>
      </c>
      <c r="S665" s="167" t="s">
        <v>2136</v>
      </c>
      <c r="T665" s="167">
        <v>2</v>
      </c>
      <c r="U665" s="167" t="s">
        <v>2137</v>
      </c>
      <c r="V665" s="167" t="s">
        <v>3409</v>
      </c>
      <c r="AB665" s="167" t="s">
        <v>1774</v>
      </c>
      <c r="AC665" s="167">
        <v>340</v>
      </c>
      <c r="AD665" s="203">
        <v>43133</v>
      </c>
      <c r="AE665" s="203">
        <v>43168</v>
      </c>
      <c r="AF665" s="167" t="s">
        <v>3470</v>
      </c>
    </row>
    <row r="666" spans="16:32" x14ac:dyDescent="0.25">
      <c r="P666" s="167" t="s">
        <v>739</v>
      </c>
      <c r="Q666" s="167">
        <v>353</v>
      </c>
      <c r="R666" s="167" t="s">
        <v>3407</v>
      </c>
      <c r="S666" s="167" t="s">
        <v>1044</v>
      </c>
      <c r="T666" s="167">
        <v>10</v>
      </c>
      <c r="U666" s="167" t="s">
        <v>2138</v>
      </c>
      <c r="V666" s="167" t="s">
        <v>3409</v>
      </c>
      <c r="AB666" s="167" t="s">
        <v>1774</v>
      </c>
      <c r="AC666" s="167">
        <v>357</v>
      </c>
      <c r="AD666" s="203">
        <v>43139</v>
      </c>
      <c r="AE666" s="203">
        <v>43164</v>
      </c>
      <c r="AF666" s="167" t="s">
        <v>3470</v>
      </c>
    </row>
    <row r="667" spans="16:32" x14ac:dyDescent="0.25">
      <c r="P667" s="167" t="s">
        <v>739</v>
      </c>
      <c r="Q667" s="167">
        <v>353</v>
      </c>
      <c r="R667" s="167" t="s">
        <v>3407</v>
      </c>
      <c r="S667" s="167" t="s">
        <v>1044</v>
      </c>
      <c r="T667" s="167">
        <v>10</v>
      </c>
      <c r="U667" s="167" t="s">
        <v>2138</v>
      </c>
      <c r="V667" s="167" t="s">
        <v>3409</v>
      </c>
      <c r="AB667" s="167" t="s">
        <v>1774</v>
      </c>
      <c r="AC667" s="167">
        <v>353</v>
      </c>
      <c r="AD667" s="203">
        <v>43180</v>
      </c>
      <c r="AE667" s="203">
        <v>0</v>
      </c>
      <c r="AF667" s="167" t="s">
        <v>3469</v>
      </c>
    </row>
    <row r="668" spans="16:32" x14ac:dyDescent="0.25">
      <c r="P668" s="167" t="s">
        <v>739</v>
      </c>
      <c r="Q668" s="167">
        <v>353</v>
      </c>
      <c r="R668" s="167" t="s">
        <v>3407</v>
      </c>
      <c r="S668" s="167" t="s">
        <v>1044</v>
      </c>
      <c r="T668" s="167">
        <v>184</v>
      </c>
      <c r="U668" s="167" t="s">
        <v>2138</v>
      </c>
      <c r="V668" s="167" t="s">
        <v>3409</v>
      </c>
      <c r="AB668" s="167" t="s">
        <v>1774</v>
      </c>
      <c r="AC668" s="167">
        <v>353</v>
      </c>
      <c r="AD668" s="203">
        <v>43180</v>
      </c>
      <c r="AE668" s="203">
        <v>0</v>
      </c>
      <c r="AF668" s="167" t="s">
        <v>3469</v>
      </c>
    </row>
    <row r="669" spans="16:32" x14ac:dyDescent="0.25">
      <c r="P669" s="167" t="s">
        <v>739</v>
      </c>
      <c r="Q669" s="167">
        <v>353</v>
      </c>
      <c r="R669" s="167" t="s">
        <v>3407</v>
      </c>
      <c r="S669" s="167" t="s">
        <v>1044</v>
      </c>
      <c r="T669" s="167">
        <v>200</v>
      </c>
      <c r="U669" s="167" t="s">
        <v>2138</v>
      </c>
      <c r="V669" s="167" t="s">
        <v>3409</v>
      </c>
      <c r="AB669" s="167" t="s">
        <v>1775</v>
      </c>
      <c r="AC669" s="167">
        <v>327</v>
      </c>
      <c r="AD669" s="203">
        <v>43074</v>
      </c>
      <c r="AE669" s="203">
        <v>43131</v>
      </c>
      <c r="AF669" s="167" t="s">
        <v>3470</v>
      </c>
    </row>
    <row r="670" spans="16:32" x14ac:dyDescent="0.25">
      <c r="P670" s="167" t="s">
        <v>739</v>
      </c>
      <c r="Q670" s="167">
        <v>353</v>
      </c>
      <c r="R670" s="167" t="s">
        <v>3407</v>
      </c>
      <c r="S670" s="167" t="s">
        <v>1044</v>
      </c>
      <c r="T670" s="167">
        <v>630</v>
      </c>
      <c r="U670" s="167" t="s">
        <v>2138</v>
      </c>
      <c r="V670" s="167" t="s">
        <v>3409</v>
      </c>
      <c r="AB670" s="167" t="s">
        <v>1775</v>
      </c>
      <c r="AC670" s="167">
        <v>347</v>
      </c>
      <c r="AD670" s="203">
        <v>43118</v>
      </c>
      <c r="AE670" s="203">
        <v>43133</v>
      </c>
      <c r="AF670" s="167" t="s">
        <v>3470</v>
      </c>
    </row>
    <row r="671" spans="16:32" x14ac:dyDescent="0.25">
      <c r="P671" s="167" t="s">
        <v>739</v>
      </c>
      <c r="Q671" s="167">
        <v>353</v>
      </c>
      <c r="R671" s="167" t="s">
        <v>3407</v>
      </c>
      <c r="S671" s="167" t="s">
        <v>2139</v>
      </c>
      <c r="T671" s="167">
        <v>3</v>
      </c>
      <c r="U671" s="167" t="s">
        <v>2140</v>
      </c>
      <c r="V671" s="167" t="s">
        <v>3409</v>
      </c>
      <c r="AB671" s="167" t="s">
        <v>1775</v>
      </c>
      <c r="AC671" s="167">
        <v>340</v>
      </c>
      <c r="AD671" s="203">
        <v>43133</v>
      </c>
      <c r="AE671" s="203">
        <v>43168</v>
      </c>
      <c r="AF671" s="167" t="s">
        <v>3470</v>
      </c>
    </row>
    <row r="672" spans="16:32" x14ac:dyDescent="0.25">
      <c r="P672" s="167" t="s">
        <v>739</v>
      </c>
      <c r="Q672" s="167">
        <v>353</v>
      </c>
      <c r="R672" s="167" t="s">
        <v>3407</v>
      </c>
      <c r="S672" s="167" t="s">
        <v>2139</v>
      </c>
      <c r="T672" s="167">
        <v>10</v>
      </c>
      <c r="U672" s="167" t="s">
        <v>2140</v>
      </c>
      <c r="V672" s="167" t="s">
        <v>3409</v>
      </c>
      <c r="AB672" s="167" t="s">
        <v>1775</v>
      </c>
      <c r="AC672" s="167">
        <v>340</v>
      </c>
      <c r="AD672" s="203">
        <v>43133</v>
      </c>
      <c r="AE672" s="203">
        <v>43168</v>
      </c>
      <c r="AF672" s="167" t="s">
        <v>3470</v>
      </c>
    </row>
    <row r="673" spans="16:32" x14ac:dyDescent="0.25">
      <c r="P673" s="167" t="s">
        <v>739</v>
      </c>
      <c r="Q673" s="167">
        <v>353</v>
      </c>
      <c r="R673" s="167" t="s">
        <v>3407</v>
      </c>
      <c r="S673" s="167" t="s">
        <v>2139</v>
      </c>
      <c r="T673" s="167">
        <v>3</v>
      </c>
      <c r="U673" s="167" t="s">
        <v>2140</v>
      </c>
      <c r="V673" s="167" t="s">
        <v>3409</v>
      </c>
      <c r="AB673" s="167" t="s">
        <v>1775</v>
      </c>
      <c r="AC673" s="167">
        <v>357</v>
      </c>
      <c r="AD673" s="203">
        <v>43139</v>
      </c>
      <c r="AE673" s="203">
        <v>43164</v>
      </c>
      <c r="AF673" s="167" t="s">
        <v>3470</v>
      </c>
    </row>
    <row r="674" spans="16:32" x14ac:dyDescent="0.25">
      <c r="P674" s="167" t="s">
        <v>739</v>
      </c>
      <c r="Q674" s="167">
        <v>353</v>
      </c>
      <c r="R674" s="167" t="s">
        <v>3407</v>
      </c>
      <c r="S674" s="167" t="s">
        <v>2139</v>
      </c>
      <c r="T674" s="167">
        <v>10</v>
      </c>
      <c r="U674" s="167" t="s">
        <v>2140</v>
      </c>
      <c r="V674" s="167" t="s">
        <v>3409</v>
      </c>
      <c r="AB674" s="167" t="s">
        <v>1775</v>
      </c>
      <c r="AC674" s="167">
        <v>353</v>
      </c>
      <c r="AD674" s="203">
        <v>43180</v>
      </c>
      <c r="AE674" s="203">
        <v>0</v>
      </c>
      <c r="AF674" s="167" t="s">
        <v>3469</v>
      </c>
    </row>
    <row r="675" spans="16:32" x14ac:dyDescent="0.25">
      <c r="P675" s="167" t="s">
        <v>739</v>
      </c>
      <c r="Q675" s="167">
        <v>353</v>
      </c>
      <c r="R675" s="167" t="s">
        <v>3407</v>
      </c>
      <c r="S675" s="167" t="s">
        <v>2139</v>
      </c>
      <c r="T675" s="167">
        <v>4</v>
      </c>
      <c r="U675" s="167" t="s">
        <v>2140</v>
      </c>
      <c r="V675" s="167" t="s">
        <v>3409</v>
      </c>
      <c r="AB675" s="167" t="s">
        <v>1775</v>
      </c>
      <c r="AC675" s="167">
        <v>353</v>
      </c>
      <c r="AD675" s="203">
        <v>43180</v>
      </c>
      <c r="AE675" s="203">
        <v>0</v>
      </c>
      <c r="AF675" s="167" t="s">
        <v>3469</v>
      </c>
    </row>
    <row r="676" spans="16:32" x14ac:dyDescent="0.25">
      <c r="P676" s="167" t="s">
        <v>739</v>
      </c>
      <c r="Q676" s="167">
        <v>353</v>
      </c>
      <c r="R676" s="167" t="s">
        <v>3407</v>
      </c>
      <c r="S676" s="167" t="s">
        <v>2141</v>
      </c>
      <c r="T676" s="167">
        <v>5</v>
      </c>
      <c r="U676" s="167" t="s">
        <v>2142</v>
      </c>
      <c r="V676" s="167" t="s">
        <v>3409</v>
      </c>
      <c r="AB676" s="167" t="s">
        <v>1777</v>
      </c>
      <c r="AC676" s="167">
        <v>323</v>
      </c>
      <c r="AD676" s="203">
        <v>43074</v>
      </c>
      <c r="AE676" s="203">
        <v>43111</v>
      </c>
      <c r="AF676" s="167" t="s">
        <v>3470</v>
      </c>
    </row>
    <row r="677" spans="16:32" x14ac:dyDescent="0.25">
      <c r="P677" s="167" t="s">
        <v>739</v>
      </c>
      <c r="Q677" s="167">
        <v>353</v>
      </c>
      <c r="R677" s="167" t="s">
        <v>3407</v>
      </c>
      <c r="S677" s="167" t="s">
        <v>2141</v>
      </c>
      <c r="T677" s="167">
        <v>50</v>
      </c>
      <c r="U677" s="167" t="s">
        <v>2142</v>
      </c>
      <c r="V677" s="167" t="s">
        <v>3409</v>
      </c>
      <c r="AB677" s="167" t="s">
        <v>1777</v>
      </c>
      <c r="AC677" s="167">
        <v>347</v>
      </c>
      <c r="AD677" s="203">
        <v>43118</v>
      </c>
      <c r="AE677" s="203">
        <v>43133</v>
      </c>
      <c r="AF677" s="167" t="s">
        <v>3470</v>
      </c>
    </row>
    <row r="678" spans="16:32" x14ac:dyDescent="0.25">
      <c r="P678" s="167" t="s">
        <v>739</v>
      </c>
      <c r="Q678" s="167">
        <v>353</v>
      </c>
      <c r="R678" s="167" t="s">
        <v>3407</v>
      </c>
      <c r="S678" s="167" t="s">
        <v>2141</v>
      </c>
      <c r="T678" s="167">
        <v>5</v>
      </c>
      <c r="U678" s="167" t="s">
        <v>2142</v>
      </c>
      <c r="V678" s="167" t="s">
        <v>3409</v>
      </c>
      <c r="AB678" s="167" t="s">
        <v>1777</v>
      </c>
      <c r="AC678" s="167">
        <v>340</v>
      </c>
      <c r="AD678" s="203">
        <v>43133</v>
      </c>
      <c r="AE678" s="203">
        <v>43168</v>
      </c>
      <c r="AF678" s="167" t="s">
        <v>3470</v>
      </c>
    </row>
    <row r="679" spans="16:32" x14ac:dyDescent="0.25">
      <c r="P679" s="167" t="s">
        <v>739</v>
      </c>
      <c r="Q679" s="167">
        <v>353</v>
      </c>
      <c r="R679" s="167" t="s">
        <v>3407</v>
      </c>
      <c r="S679" s="167" t="s">
        <v>2141</v>
      </c>
      <c r="T679" s="167">
        <v>14</v>
      </c>
      <c r="U679" s="167" t="s">
        <v>2142</v>
      </c>
      <c r="V679" s="167" t="s">
        <v>3409</v>
      </c>
      <c r="AB679" s="167" t="s">
        <v>1777</v>
      </c>
      <c r="AC679" s="167">
        <v>340</v>
      </c>
      <c r="AD679" s="203">
        <v>43133</v>
      </c>
      <c r="AE679" s="203">
        <v>43168</v>
      </c>
      <c r="AF679" s="167" t="s">
        <v>3470</v>
      </c>
    </row>
    <row r="680" spans="16:32" x14ac:dyDescent="0.25">
      <c r="P680" s="167" t="s">
        <v>739</v>
      </c>
      <c r="Q680" s="167">
        <v>353</v>
      </c>
      <c r="R680" s="167" t="s">
        <v>3407</v>
      </c>
      <c r="S680" s="167" t="s">
        <v>1045</v>
      </c>
      <c r="T680" s="167">
        <v>14</v>
      </c>
      <c r="U680" s="167" t="s">
        <v>2143</v>
      </c>
      <c r="V680" s="167" t="s">
        <v>3409</v>
      </c>
      <c r="AB680" s="167" t="s">
        <v>1777</v>
      </c>
      <c r="AC680" s="167">
        <v>374</v>
      </c>
      <c r="AD680" s="203">
        <v>43195</v>
      </c>
      <c r="AE680" s="203">
        <v>0</v>
      </c>
      <c r="AF680" s="167" t="s">
        <v>3469</v>
      </c>
    </row>
    <row r="681" spans="16:32" x14ac:dyDescent="0.25">
      <c r="P681" s="167" t="s">
        <v>739</v>
      </c>
      <c r="Q681" s="167">
        <v>353</v>
      </c>
      <c r="R681" s="167" t="s">
        <v>3407</v>
      </c>
      <c r="S681" s="167" t="s">
        <v>1045</v>
      </c>
      <c r="T681" s="167">
        <v>38</v>
      </c>
      <c r="U681" s="167" t="s">
        <v>2143</v>
      </c>
      <c r="V681" s="167" t="s">
        <v>3409</v>
      </c>
      <c r="AB681" s="167" t="s">
        <v>1779</v>
      </c>
      <c r="AC681" s="167">
        <v>347</v>
      </c>
      <c r="AD681" s="203">
        <v>43118</v>
      </c>
      <c r="AE681" s="203">
        <v>43133</v>
      </c>
      <c r="AF681" s="167" t="s">
        <v>3470</v>
      </c>
    </row>
    <row r="682" spans="16:32" x14ac:dyDescent="0.25">
      <c r="P682" s="167" t="s">
        <v>739</v>
      </c>
      <c r="Q682" s="167">
        <v>353</v>
      </c>
      <c r="R682" s="167" t="s">
        <v>3407</v>
      </c>
      <c r="S682" s="167" t="s">
        <v>2146</v>
      </c>
      <c r="T682" s="167">
        <v>15</v>
      </c>
      <c r="U682" s="167" t="s">
        <v>2147</v>
      </c>
      <c r="V682" s="167" t="s">
        <v>3409</v>
      </c>
      <c r="AB682" s="167" t="s">
        <v>1779</v>
      </c>
      <c r="AC682" s="167">
        <v>340</v>
      </c>
      <c r="AD682" s="203">
        <v>43133</v>
      </c>
      <c r="AE682" s="203">
        <v>43168</v>
      </c>
      <c r="AF682" s="167" t="s">
        <v>3470</v>
      </c>
    </row>
    <row r="683" spans="16:32" x14ac:dyDescent="0.25">
      <c r="P683" s="167" t="s">
        <v>739</v>
      </c>
      <c r="Q683" s="167">
        <v>353</v>
      </c>
      <c r="R683" s="167" t="s">
        <v>3407</v>
      </c>
      <c r="S683" s="167" t="s">
        <v>2146</v>
      </c>
      <c r="T683" s="167">
        <v>7</v>
      </c>
      <c r="U683" s="167" t="s">
        <v>2147</v>
      </c>
      <c r="V683" s="167" t="s">
        <v>3409</v>
      </c>
      <c r="AB683" s="167" t="s">
        <v>1779</v>
      </c>
      <c r="AC683" s="167">
        <v>340</v>
      </c>
      <c r="AD683" s="203">
        <v>43133</v>
      </c>
      <c r="AE683" s="203">
        <v>43168</v>
      </c>
      <c r="AF683" s="167" t="s">
        <v>3470</v>
      </c>
    </row>
    <row r="684" spans="16:32" x14ac:dyDescent="0.25">
      <c r="P684" s="167" t="s">
        <v>739</v>
      </c>
      <c r="Q684" s="167">
        <v>353</v>
      </c>
      <c r="R684" s="167" t="s">
        <v>3407</v>
      </c>
      <c r="S684" s="167" t="s">
        <v>2148</v>
      </c>
      <c r="T684" s="167">
        <v>10</v>
      </c>
      <c r="U684" s="167" t="s">
        <v>2149</v>
      </c>
      <c r="V684" s="167" t="s">
        <v>3409</v>
      </c>
      <c r="AB684" s="167" t="s">
        <v>1779</v>
      </c>
      <c r="AC684" s="167">
        <v>364</v>
      </c>
      <c r="AD684" s="203">
        <v>43168</v>
      </c>
      <c r="AE684" s="203">
        <v>43179</v>
      </c>
      <c r="AF684" s="167" t="s">
        <v>3470</v>
      </c>
    </row>
    <row r="685" spans="16:32" x14ac:dyDescent="0.25">
      <c r="P685" s="167" t="s">
        <v>739</v>
      </c>
      <c r="Q685" s="167">
        <v>353</v>
      </c>
      <c r="R685" s="167" t="s">
        <v>3407</v>
      </c>
      <c r="S685" s="167" t="s">
        <v>2148</v>
      </c>
      <c r="T685" s="167">
        <v>3</v>
      </c>
      <c r="U685" s="167" t="s">
        <v>2149</v>
      </c>
      <c r="V685" s="167" t="s">
        <v>3409</v>
      </c>
      <c r="AB685" s="167" t="s">
        <v>1779</v>
      </c>
      <c r="AC685" s="167">
        <v>353</v>
      </c>
      <c r="AD685" s="203">
        <v>43180</v>
      </c>
      <c r="AE685" s="203">
        <v>0</v>
      </c>
      <c r="AF685" s="167" t="s">
        <v>3469</v>
      </c>
    </row>
    <row r="686" spans="16:32" x14ac:dyDescent="0.25">
      <c r="P686" s="167" t="s">
        <v>739</v>
      </c>
      <c r="Q686" s="167">
        <v>353</v>
      </c>
      <c r="R686" s="167" t="s">
        <v>3407</v>
      </c>
      <c r="S686" s="167" t="s">
        <v>2150</v>
      </c>
      <c r="T686" s="167">
        <v>5</v>
      </c>
      <c r="U686" s="167" t="s">
        <v>2151</v>
      </c>
      <c r="V686" s="167" t="s">
        <v>3409</v>
      </c>
      <c r="AB686" s="167" t="s">
        <v>1779</v>
      </c>
      <c r="AC686" s="167">
        <v>353</v>
      </c>
      <c r="AD686" s="203">
        <v>43180</v>
      </c>
      <c r="AE686" s="203">
        <v>0</v>
      </c>
      <c r="AF686" s="167" t="s">
        <v>3469</v>
      </c>
    </row>
    <row r="687" spans="16:32" x14ac:dyDescent="0.25">
      <c r="P687" s="167" t="s">
        <v>739</v>
      </c>
      <c r="Q687" s="167">
        <v>353</v>
      </c>
      <c r="R687" s="167" t="s">
        <v>3407</v>
      </c>
      <c r="S687" s="167" t="s">
        <v>2152</v>
      </c>
      <c r="T687" s="167">
        <v>10</v>
      </c>
      <c r="U687" s="167" t="s">
        <v>2153</v>
      </c>
      <c r="V687" s="167" t="s">
        <v>3409</v>
      </c>
      <c r="AB687" s="167" t="s">
        <v>1779</v>
      </c>
      <c r="AC687" s="167">
        <v>353</v>
      </c>
      <c r="AD687" s="203">
        <v>43180</v>
      </c>
      <c r="AE687" s="203">
        <v>0</v>
      </c>
      <c r="AF687" s="167" t="s">
        <v>3469</v>
      </c>
    </row>
    <row r="688" spans="16:32" x14ac:dyDescent="0.25">
      <c r="P688" s="167" t="s">
        <v>739</v>
      </c>
      <c r="Q688" s="167">
        <v>353</v>
      </c>
      <c r="R688" s="167" t="s">
        <v>3407</v>
      </c>
      <c r="S688" s="167" t="s">
        <v>2154</v>
      </c>
      <c r="T688" s="167">
        <v>68</v>
      </c>
      <c r="U688" s="167" t="s">
        <v>2155</v>
      </c>
      <c r="V688" s="167" t="s">
        <v>3409</v>
      </c>
      <c r="AB688" s="167" t="s">
        <v>1779</v>
      </c>
      <c r="AC688" s="167">
        <v>353</v>
      </c>
      <c r="AD688" s="203">
        <v>43180</v>
      </c>
      <c r="AE688" s="203">
        <v>0</v>
      </c>
      <c r="AF688" s="167" t="s">
        <v>3469</v>
      </c>
    </row>
    <row r="689" spans="16:32" x14ac:dyDescent="0.25">
      <c r="P689" s="167" t="s">
        <v>739</v>
      </c>
      <c r="Q689" s="167">
        <v>353</v>
      </c>
      <c r="R689" s="167" t="s">
        <v>3407</v>
      </c>
      <c r="S689" s="167" t="s">
        <v>2154</v>
      </c>
      <c r="T689" s="167">
        <v>58</v>
      </c>
      <c r="U689" s="167" t="s">
        <v>2155</v>
      </c>
      <c r="V689" s="167" t="s">
        <v>3409</v>
      </c>
      <c r="AB689" s="167" t="s">
        <v>1779</v>
      </c>
      <c r="AC689" s="167">
        <v>353</v>
      </c>
      <c r="AD689" s="203">
        <v>43180</v>
      </c>
      <c r="AE689" s="203">
        <v>0</v>
      </c>
      <c r="AF689" s="167" t="s">
        <v>3469</v>
      </c>
    </row>
    <row r="690" spans="16:32" x14ac:dyDescent="0.25">
      <c r="P690" s="167" t="s">
        <v>739</v>
      </c>
      <c r="Q690" s="167">
        <v>353</v>
      </c>
      <c r="R690" s="167" t="s">
        <v>3407</v>
      </c>
      <c r="S690" s="167" t="s">
        <v>2154</v>
      </c>
      <c r="T690" s="167">
        <v>4</v>
      </c>
      <c r="U690" s="167" t="s">
        <v>2155</v>
      </c>
      <c r="V690" s="167" t="s">
        <v>3409</v>
      </c>
      <c r="AB690" s="167" t="s">
        <v>1779</v>
      </c>
      <c r="AC690" s="167">
        <v>353</v>
      </c>
      <c r="AD690" s="203">
        <v>43180</v>
      </c>
      <c r="AE690" s="203">
        <v>0</v>
      </c>
      <c r="AF690" s="167" t="s">
        <v>3469</v>
      </c>
    </row>
    <row r="691" spans="16:32" x14ac:dyDescent="0.25">
      <c r="P691" s="167" t="s">
        <v>739</v>
      </c>
      <c r="Q691" s="167">
        <v>353</v>
      </c>
      <c r="R691" s="167" t="s">
        <v>3407</v>
      </c>
      <c r="S691" s="167" t="s">
        <v>2154</v>
      </c>
      <c r="T691" s="167">
        <v>5</v>
      </c>
      <c r="U691" s="167" t="s">
        <v>2155</v>
      </c>
      <c r="V691" s="167" t="s">
        <v>3409</v>
      </c>
      <c r="AB691" s="167" t="s">
        <v>1779</v>
      </c>
      <c r="AC691" s="167">
        <v>353</v>
      </c>
      <c r="AD691" s="203">
        <v>43180</v>
      </c>
      <c r="AE691" s="203">
        <v>0</v>
      </c>
      <c r="AF691" s="167" t="s">
        <v>3469</v>
      </c>
    </row>
    <row r="692" spans="16:32" x14ac:dyDescent="0.25">
      <c r="P692" s="167" t="s">
        <v>739</v>
      </c>
      <c r="Q692" s="167">
        <v>353</v>
      </c>
      <c r="R692" s="167" t="s">
        <v>3407</v>
      </c>
      <c r="S692" s="167" t="s">
        <v>2154</v>
      </c>
      <c r="T692" s="167">
        <v>80</v>
      </c>
      <c r="U692" s="167" t="s">
        <v>2155</v>
      </c>
      <c r="V692" s="167" t="s">
        <v>3409</v>
      </c>
      <c r="AB692" s="167" t="s">
        <v>1780</v>
      </c>
      <c r="AC692" s="167">
        <v>374</v>
      </c>
      <c r="AD692" s="203">
        <v>43195</v>
      </c>
      <c r="AE692" s="203">
        <v>0</v>
      </c>
      <c r="AF692" s="167" t="s">
        <v>3469</v>
      </c>
    </row>
    <row r="693" spans="16:32" x14ac:dyDescent="0.25">
      <c r="P693" s="167" t="s">
        <v>739</v>
      </c>
      <c r="Q693" s="167">
        <v>353</v>
      </c>
      <c r="R693" s="167" t="s">
        <v>3407</v>
      </c>
      <c r="S693" s="167" t="s">
        <v>2154</v>
      </c>
      <c r="T693" s="167">
        <v>15</v>
      </c>
      <c r="U693" s="167" t="s">
        <v>2155</v>
      </c>
      <c r="V693" s="167" t="s">
        <v>3409</v>
      </c>
      <c r="AB693" s="167" t="s">
        <v>1782</v>
      </c>
      <c r="AC693" s="167">
        <v>347</v>
      </c>
      <c r="AD693" s="203">
        <v>43118</v>
      </c>
      <c r="AE693" s="203">
        <v>43133</v>
      </c>
      <c r="AF693" s="167" t="s">
        <v>3470</v>
      </c>
    </row>
    <row r="694" spans="16:32" x14ac:dyDescent="0.25">
      <c r="P694" s="167" t="s">
        <v>739</v>
      </c>
      <c r="Q694" s="167">
        <v>353</v>
      </c>
      <c r="R694" s="167" t="s">
        <v>3407</v>
      </c>
      <c r="S694" s="167" t="s">
        <v>2154</v>
      </c>
      <c r="T694" s="167">
        <v>15</v>
      </c>
      <c r="U694" s="167" t="s">
        <v>2155</v>
      </c>
      <c r="V694" s="167" t="s">
        <v>3409</v>
      </c>
      <c r="AB694" s="167" t="s">
        <v>1782</v>
      </c>
      <c r="AC694" s="167">
        <v>357</v>
      </c>
      <c r="AD694" s="203">
        <v>43139</v>
      </c>
      <c r="AE694" s="203">
        <v>43164</v>
      </c>
      <c r="AF694" s="167" t="s">
        <v>3470</v>
      </c>
    </row>
    <row r="695" spans="16:32" x14ac:dyDescent="0.25">
      <c r="P695" s="167" t="s">
        <v>739</v>
      </c>
      <c r="Q695" s="167">
        <v>353</v>
      </c>
      <c r="R695" s="167" t="s">
        <v>3407</v>
      </c>
      <c r="S695" s="167" t="s">
        <v>2154</v>
      </c>
      <c r="T695" s="167">
        <v>10</v>
      </c>
      <c r="U695" s="167" t="s">
        <v>2155</v>
      </c>
      <c r="V695" s="167" t="s">
        <v>3409</v>
      </c>
      <c r="AB695" s="167" t="s">
        <v>1782</v>
      </c>
      <c r="AC695" s="167">
        <v>364</v>
      </c>
      <c r="AD695" s="203">
        <v>43168</v>
      </c>
      <c r="AE695" s="203">
        <v>43179</v>
      </c>
      <c r="AF695" s="167" t="s">
        <v>3470</v>
      </c>
    </row>
    <row r="696" spans="16:32" x14ac:dyDescent="0.25">
      <c r="P696" s="167" t="s">
        <v>739</v>
      </c>
      <c r="Q696" s="167">
        <v>353</v>
      </c>
      <c r="R696" s="167" t="s">
        <v>3407</v>
      </c>
      <c r="S696" s="167" t="s">
        <v>2154</v>
      </c>
      <c r="T696" s="167">
        <v>22</v>
      </c>
      <c r="U696" s="167" t="s">
        <v>2155</v>
      </c>
      <c r="V696" s="167" t="s">
        <v>3409</v>
      </c>
      <c r="AB696" s="167" t="s">
        <v>1782</v>
      </c>
      <c r="AC696" s="167">
        <v>353</v>
      </c>
      <c r="AD696" s="203">
        <v>43180</v>
      </c>
      <c r="AE696" s="203">
        <v>0</v>
      </c>
      <c r="AF696" s="167" t="s">
        <v>3469</v>
      </c>
    </row>
    <row r="697" spans="16:32" x14ac:dyDescent="0.25">
      <c r="P697" s="167" t="s">
        <v>739</v>
      </c>
      <c r="Q697" s="167">
        <v>353</v>
      </c>
      <c r="R697" s="167" t="s">
        <v>3407</v>
      </c>
      <c r="S697" s="167" t="s">
        <v>2154</v>
      </c>
      <c r="T697" s="167">
        <v>20</v>
      </c>
      <c r="U697" s="167" t="s">
        <v>2155</v>
      </c>
      <c r="V697" s="167" t="s">
        <v>3409</v>
      </c>
      <c r="AB697" s="167" t="s">
        <v>1782</v>
      </c>
      <c r="AC697" s="167">
        <v>353</v>
      </c>
      <c r="AD697" s="203">
        <v>43180</v>
      </c>
      <c r="AE697" s="203">
        <v>0</v>
      </c>
      <c r="AF697" s="167" t="s">
        <v>3469</v>
      </c>
    </row>
    <row r="698" spans="16:32" x14ac:dyDescent="0.25">
      <c r="P698" s="167" t="s">
        <v>739</v>
      </c>
      <c r="Q698" s="167">
        <v>353</v>
      </c>
      <c r="R698" s="167" t="s">
        <v>3407</v>
      </c>
      <c r="S698" s="167" t="s">
        <v>2154</v>
      </c>
      <c r="T698" s="167">
        <v>30</v>
      </c>
      <c r="U698" s="167" t="s">
        <v>2155</v>
      </c>
      <c r="V698" s="167" t="s">
        <v>3409</v>
      </c>
      <c r="AB698" s="167" t="s">
        <v>1782</v>
      </c>
      <c r="AC698" s="167">
        <v>353</v>
      </c>
      <c r="AD698" s="203">
        <v>43180</v>
      </c>
      <c r="AE698" s="203">
        <v>0</v>
      </c>
      <c r="AF698" s="167" t="s">
        <v>3469</v>
      </c>
    </row>
    <row r="699" spans="16:32" x14ac:dyDescent="0.25">
      <c r="P699" s="167" t="s">
        <v>739</v>
      </c>
      <c r="Q699" s="167">
        <v>353</v>
      </c>
      <c r="R699" s="167" t="s">
        <v>3407</v>
      </c>
      <c r="S699" s="167" t="s">
        <v>2154</v>
      </c>
      <c r="T699" s="167">
        <v>10</v>
      </c>
      <c r="U699" s="167" t="s">
        <v>2155</v>
      </c>
      <c r="V699" s="167" t="s">
        <v>3409</v>
      </c>
      <c r="AB699" s="167" t="s">
        <v>1782</v>
      </c>
      <c r="AC699" s="167">
        <v>353</v>
      </c>
      <c r="AD699" s="203">
        <v>43180</v>
      </c>
      <c r="AE699" s="203">
        <v>0</v>
      </c>
      <c r="AF699" s="167" t="s">
        <v>3469</v>
      </c>
    </row>
    <row r="700" spans="16:32" x14ac:dyDescent="0.25">
      <c r="P700" s="167" t="s">
        <v>739</v>
      </c>
      <c r="Q700" s="167">
        <v>353</v>
      </c>
      <c r="R700" s="167" t="s">
        <v>3407</v>
      </c>
      <c r="S700" s="167" t="s">
        <v>2156</v>
      </c>
      <c r="T700" s="167">
        <v>1</v>
      </c>
      <c r="U700" s="167" t="s">
        <v>2157</v>
      </c>
      <c r="V700" s="167" t="s">
        <v>3409</v>
      </c>
      <c r="AB700" s="167" t="s">
        <v>1782</v>
      </c>
      <c r="AC700" s="167">
        <v>353</v>
      </c>
      <c r="AD700" s="203">
        <v>43180</v>
      </c>
      <c r="AE700" s="203">
        <v>0</v>
      </c>
      <c r="AF700" s="167" t="s">
        <v>3469</v>
      </c>
    </row>
    <row r="701" spans="16:32" x14ac:dyDescent="0.25">
      <c r="P701" s="167" t="s">
        <v>739</v>
      </c>
      <c r="Q701" s="167">
        <v>353</v>
      </c>
      <c r="R701" s="167" t="s">
        <v>3407</v>
      </c>
      <c r="S701" s="167" t="s">
        <v>2158</v>
      </c>
      <c r="T701" s="167">
        <v>1</v>
      </c>
      <c r="U701" s="167" t="s">
        <v>2159</v>
      </c>
      <c r="V701" s="167" t="s">
        <v>3409</v>
      </c>
      <c r="AB701" s="167" t="s">
        <v>1782</v>
      </c>
      <c r="AC701" s="167">
        <v>353</v>
      </c>
      <c r="AD701" s="203">
        <v>43180</v>
      </c>
      <c r="AE701" s="203">
        <v>0</v>
      </c>
      <c r="AF701" s="167" t="s">
        <v>3469</v>
      </c>
    </row>
    <row r="702" spans="16:32" x14ac:dyDescent="0.25">
      <c r="P702" s="167" t="s">
        <v>739</v>
      </c>
      <c r="Q702" s="167">
        <v>353</v>
      </c>
      <c r="R702" s="167" t="s">
        <v>3407</v>
      </c>
      <c r="S702" s="167" t="s">
        <v>2158</v>
      </c>
      <c r="T702" s="167">
        <v>1</v>
      </c>
      <c r="U702" s="167" t="s">
        <v>2159</v>
      </c>
      <c r="V702" s="167" t="s">
        <v>3409</v>
      </c>
      <c r="AB702" s="167" t="s">
        <v>1783</v>
      </c>
      <c r="AC702" s="167">
        <v>340</v>
      </c>
      <c r="AD702" s="203">
        <v>43133</v>
      </c>
      <c r="AE702" s="203">
        <v>43168</v>
      </c>
      <c r="AF702" s="167" t="s">
        <v>3470</v>
      </c>
    </row>
    <row r="703" spans="16:32" x14ac:dyDescent="0.25">
      <c r="P703" s="167" t="s">
        <v>739</v>
      </c>
      <c r="Q703" s="167">
        <v>353</v>
      </c>
      <c r="R703" s="167" t="s">
        <v>3407</v>
      </c>
      <c r="S703" s="167" t="s">
        <v>2158</v>
      </c>
      <c r="T703" s="167">
        <v>1</v>
      </c>
      <c r="U703" s="167" t="s">
        <v>2159</v>
      </c>
      <c r="V703" s="167" t="s">
        <v>3409</v>
      </c>
      <c r="AB703" s="167" t="s">
        <v>1785</v>
      </c>
      <c r="AC703" s="167">
        <v>323</v>
      </c>
      <c r="AD703" s="203">
        <v>43074</v>
      </c>
      <c r="AE703" s="203">
        <v>43111</v>
      </c>
      <c r="AF703" s="167" t="s">
        <v>3470</v>
      </c>
    </row>
    <row r="704" spans="16:32" x14ac:dyDescent="0.25">
      <c r="P704" s="167" t="s">
        <v>739</v>
      </c>
      <c r="Q704" s="167">
        <v>353</v>
      </c>
      <c r="R704" s="167" t="s">
        <v>3407</v>
      </c>
      <c r="S704" s="167" t="s">
        <v>2163</v>
      </c>
      <c r="T704" s="167">
        <v>25</v>
      </c>
      <c r="U704" s="167" t="s">
        <v>2164</v>
      </c>
      <c r="V704" s="167" t="s">
        <v>3409</v>
      </c>
      <c r="AB704" s="167" t="s">
        <v>1785</v>
      </c>
      <c r="AC704" s="167">
        <v>327</v>
      </c>
      <c r="AD704" s="203">
        <v>43074</v>
      </c>
      <c r="AE704" s="203">
        <v>43131</v>
      </c>
      <c r="AF704" s="167" t="s">
        <v>3470</v>
      </c>
    </row>
    <row r="705" spans="16:32" x14ac:dyDescent="0.25">
      <c r="P705" s="167" t="s">
        <v>739</v>
      </c>
      <c r="Q705" s="167">
        <v>353</v>
      </c>
      <c r="R705" s="167" t="s">
        <v>3407</v>
      </c>
      <c r="S705" s="167" t="s">
        <v>2163</v>
      </c>
      <c r="T705" s="167">
        <v>5</v>
      </c>
      <c r="U705" s="167" t="s">
        <v>2164</v>
      </c>
      <c r="V705" s="167" t="s">
        <v>3409</v>
      </c>
      <c r="AB705" s="167" t="s">
        <v>1785</v>
      </c>
      <c r="AC705" s="167">
        <v>335</v>
      </c>
      <c r="AD705" s="203">
        <v>43133</v>
      </c>
      <c r="AE705" s="203">
        <v>43147</v>
      </c>
      <c r="AF705" s="167" t="s">
        <v>3470</v>
      </c>
    </row>
    <row r="706" spans="16:32" x14ac:dyDescent="0.25">
      <c r="P706" s="167" t="s">
        <v>739</v>
      </c>
      <c r="Q706" s="167">
        <v>353</v>
      </c>
      <c r="R706" s="167" t="s">
        <v>3407</v>
      </c>
      <c r="S706" s="167" t="s">
        <v>2163</v>
      </c>
      <c r="T706" s="167">
        <v>10</v>
      </c>
      <c r="U706" s="167" t="s">
        <v>2164</v>
      </c>
      <c r="V706" s="167" t="s">
        <v>3409</v>
      </c>
      <c r="AB706" s="167" t="s">
        <v>1785</v>
      </c>
      <c r="AC706" s="167">
        <v>340</v>
      </c>
      <c r="AD706" s="203">
        <v>43133</v>
      </c>
      <c r="AE706" s="203">
        <v>43168</v>
      </c>
      <c r="AF706" s="167" t="s">
        <v>3470</v>
      </c>
    </row>
    <row r="707" spans="16:32" x14ac:dyDescent="0.25">
      <c r="P707" s="167" t="s">
        <v>739</v>
      </c>
      <c r="Q707" s="167">
        <v>353</v>
      </c>
      <c r="R707" s="167" t="s">
        <v>3407</v>
      </c>
      <c r="S707" s="167" t="s">
        <v>2163</v>
      </c>
      <c r="T707" s="167">
        <v>25</v>
      </c>
      <c r="U707" s="167" t="s">
        <v>2164</v>
      </c>
      <c r="V707" s="167" t="s">
        <v>3409</v>
      </c>
      <c r="AB707" s="167" t="s">
        <v>1785</v>
      </c>
      <c r="AC707" s="167">
        <v>374</v>
      </c>
      <c r="AD707" s="203">
        <v>43195</v>
      </c>
      <c r="AE707" s="203">
        <v>0</v>
      </c>
      <c r="AF707" s="167" t="s">
        <v>3469</v>
      </c>
    </row>
    <row r="708" spans="16:32" x14ac:dyDescent="0.25">
      <c r="P708" s="167" t="s">
        <v>739</v>
      </c>
      <c r="Q708" s="167">
        <v>353</v>
      </c>
      <c r="R708" s="167" t="s">
        <v>3407</v>
      </c>
      <c r="S708" s="167" t="s">
        <v>2163</v>
      </c>
      <c r="T708" s="167">
        <v>20</v>
      </c>
      <c r="U708" s="167" t="s">
        <v>2164</v>
      </c>
      <c r="V708" s="167" t="s">
        <v>3409</v>
      </c>
      <c r="AB708" s="167" t="s">
        <v>1786</v>
      </c>
      <c r="AC708" s="167">
        <v>323</v>
      </c>
      <c r="AD708" s="203">
        <v>43074</v>
      </c>
      <c r="AE708" s="203">
        <v>43111</v>
      </c>
      <c r="AF708" s="167" t="s">
        <v>3470</v>
      </c>
    </row>
    <row r="709" spans="16:32" x14ac:dyDescent="0.25">
      <c r="P709" s="167" t="s">
        <v>739</v>
      </c>
      <c r="Q709" s="167">
        <v>353</v>
      </c>
      <c r="R709" s="167" t="s">
        <v>3407</v>
      </c>
      <c r="S709" s="167" t="s">
        <v>2163</v>
      </c>
      <c r="T709" s="167">
        <v>8</v>
      </c>
      <c r="U709" s="167" t="s">
        <v>2164</v>
      </c>
      <c r="V709" s="167" t="s">
        <v>3409</v>
      </c>
      <c r="AB709" s="167" t="s">
        <v>1786</v>
      </c>
      <c r="AC709" s="167">
        <v>347</v>
      </c>
      <c r="AD709" s="203">
        <v>43118</v>
      </c>
      <c r="AE709" s="203">
        <v>43133</v>
      </c>
      <c r="AF709" s="167" t="s">
        <v>3470</v>
      </c>
    </row>
    <row r="710" spans="16:32" x14ac:dyDescent="0.25">
      <c r="P710" s="167" t="s">
        <v>739</v>
      </c>
      <c r="Q710" s="167">
        <v>353</v>
      </c>
      <c r="R710" s="167" t="s">
        <v>3407</v>
      </c>
      <c r="S710" s="167" t="s">
        <v>2163</v>
      </c>
      <c r="T710" s="167">
        <v>3</v>
      </c>
      <c r="U710" s="167" t="s">
        <v>2164</v>
      </c>
      <c r="V710" s="167" t="s">
        <v>3409</v>
      </c>
      <c r="AB710" s="167" t="s">
        <v>1786</v>
      </c>
      <c r="AC710" s="167">
        <v>340</v>
      </c>
      <c r="AD710" s="203">
        <v>43133</v>
      </c>
      <c r="AE710" s="203">
        <v>43168</v>
      </c>
      <c r="AF710" s="167" t="s">
        <v>3470</v>
      </c>
    </row>
    <row r="711" spans="16:32" x14ac:dyDescent="0.25">
      <c r="P711" s="167" t="s">
        <v>739</v>
      </c>
      <c r="Q711" s="167">
        <v>353</v>
      </c>
      <c r="R711" s="167" t="s">
        <v>3407</v>
      </c>
      <c r="S711" s="167" t="s">
        <v>2163</v>
      </c>
      <c r="T711" s="167">
        <v>20</v>
      </c>
      <c r="U711" s="167" t="s">
        <v>2164</v>
      </c>
      <c r="V711" s="167" t="s">
        <v>3409</v>
      </c>
      <c r="AB711" s="167" t="s">
        <v>1786</v>
      </c>
      <c r="AC711" s="167">
        <v>340</v>
      </c>
      <c r="AD711" s="203">
        <v>43133</v>
      </c>
      <c r="AE711" s="203">
        <v>43168</v>
      </c>
      <c r="AF711" s="167" t="s">
        <v>3470</v>
      </c>
    </row>
    <row r="712" spans="16:32" x14ac:dyDescent="0.25">
      <c r="P712" s="167" t="s">
        <v>739</v>
      </c>
      <c r="Q712" s="167">
        <v>353</v>
      </c>
      <c r="R712" s="167" t="s">
        <v>3407</v>
      </c>
      <c r="S712" s="167" t="s">
        <v>2163</v>
      </c>
      <c r="T712" s="167">
        <v>1</v>
      </c>
      <c r="U712" s="167" t="s">
        <v>2164</v>
      </c>
      <c r="V712" s="167" t="s">
        <v>3409</v>
      </c>
      <c r="AB712" s="167" t="s">
        <v>1786</v>
      </c>
      <c r="AC712" s="167">
        <v>357</v>
      </c>
      <c r="AD712" s="203">
        <v>43139</v>
      </c>
      <c r="AE712" s="203">
        <v>43164</v>
      </c>
      <c r="AF712" s="167" t="s">
        <v>3470</v>
      </c>
    </row>
    <row r="713" spans="16:32" x14ac:dyDescent="0.25">
      <c r="P713" s="167" t="s">
        <v>739</v>
      </c>
      <c r="Q713" s="167">
        <v>353</v>
      </c>
      <c r="R713" s="167" t="s">
        <v>3407</v>
      </c>
      <c r="S713" s="167" t="s">
        <v>2163</v>
      </c>
      <c r="T713" s="167">
        <v>5</v>
      </c>
      <c r="U713" s="167" t="s">
        <v>2164</v>
      </c>
      <c r="V713" s="167" t="s">
        <v>3409</v>
      </c>
      <c r="AB713" s="167" t="s">
        <v>1786</v>
      </c>
      <c r="AC713" s="167">
        <v>364</v>
      </c>
      <c r="AD713" s="203">
        <v>43168</v>
      </c>
      <c r="AE713" s="203">
        <v>43179</v>
      </c>
      <c r="AF713" s="167" t="s">
        <v>3470</v>
      </c>
    </row>
    <row r="714" spans="16:32" x14ac:dyDescent="0.25">
      <c r="P714" s="167" t="s">
        <v>739</v>
      </c>
      <c r="Q714" s="167">
        <v>353</v>
      </c>
      <c r="R714" s="167" t="s">
        <v>3407</v>
      </c>
      <c r="S714" s="167" t="s">
        <v>2165</v>
      </c>
      <c r="T714" s="167">
        <v>4</v>
      </c>
      <c r="U714" s="167" t="s">
        <v>2166</v>
      </c>
      <c r="V714" s="167" t="s">
        <v>3409</v>
      </c>
      <c r="AB714" s="167" t="s">
        <v>1786</v>
      </c>
      <c r="AC714" s="167">
        <v>353</v>
      </c>
      <c r="AD714" s="203">
        <v>43180</v>
      </c>
      <c r="AE714" s="203">
        <v>0</v>
      </c>
      <c r="AF714" s="167" t="s">
        <v>3469</v>
      </c>
    </row>
    <row r="715" spans="16:32" x14ac:dyDescent="0.25">
      <c r="P715" s="167" t="s">
        <v>739</v>
      </c>
      <c r="Q715" s="167">
        <v>353</v>
      </c>
      <c r="R715" s="167" t="s">
        <v>3407</v>
      </c>
      <c r="S715" s="167" t="s">
        <v>2165</v>
      </c>
      <c r="T715" s="167">
        <v>1</v>
      </c>
      <c r="U715" s="167" t="s">
        <v>2166</v>
      </c>
      <c r="V715" s="167" t="s">
        <v>3409</v>
      </c>
      <c r="AB715" s="167" t="s">
        <v>1786</v>
      </c>
      <c r="AC715" s="167">
        <v>353</v>
      </c>
      <c r="AD715" s="203">
        <v>43180</v>
      </c>
      <c r="AE715" s="203">
        <v>0</v>
      </c>
      <c r="AF715" s="167" t="s">
        <v>3469</v>
      </c>
    </row>
    <row r="716" spans="16:32" x14ac:dyDescent="0.25">
      <c r="P716" s="167" t="s">
        <v>739</v>
      </c>
      <c r="Q716" s="167">
        <v>353</v>
      </c>
      <c r="R716" s="167" t="s">
        <v>3407</v>
      </c>
      <c r="S716" s="167" t="s">
        <v>2165</v>
      </c>
      <c r="T716" s="167">
        <v>1</v>
      </c>
      <c r="U716" s="167" t="s">
        <v>2166</v>
      </c>
      <c r="V716" s="167" t="s">
        <v>3409</v>
      </c>
      <c r="AB716" s="167" t="s">
        <v>1786</v>
      </c>
      <c r="AC716" s="167">
        <v>353</v>
      </c>
      <c r="AD716" s="203">
        <v>43180</v>
      </c>
      <c r="AE716" s="203">
        <v>0</v>
      </c>
      <c r="AF716" s="167" t="s">
        <v>3469</v>
      </c>
    </row>
    <row r="717" spans="16:32" x14ac:dyDescent="0.25">
      <c r="P717" s="167" t="s">
        <v>739</v>
      </c>
      <c r="Q717" s="167">
        <v>353</v>
      </c>
      <c r="R717" s="167" t="s">
        <v>3407</v>
      </c>
      <c r="S717" s="167" t="s">
        <v>2167</v>
      </c>
      <c r="T717" s="167">
        <v>6</v>
      </c>
      <c r="U717" s="167" t="s">
        <v>2168</v>
      </c>
      <c r="V717" s="167" t="s">
        <v>3409</v>
      </c>
      <c r="AB717" s="167" t="s">
        <v>1786</v>
      </c>
      <c r="AC717" s="167">
        <v>353</v>
      </c>
      <c r="AD717" s="203">
        <v>43180</v>
      </c>
      <c r="AE717" s="203">
        <v>0</v>
      </c>
      <c r="AF717" s="167" t="s">
        <v>3469</v>
      </c>
    </row>
    <row r="718" spans="16:32" x14ac:dyDescent="0.25">
      <c r="P718" s="167" t="s">
        <v>739</v>
      </c>
      <c r="Q718" s="167">
        <v>353</v>
      </c>
      <c r="R718" s="167" t="s">
        <v>3407</v>
      </c>
      <c r="S718" s="167" t="s">
        <v>1046</v>
      </c>
      <c r="T718" s="167">
        <v>112</v>
      </c>
      <c r="U718" s="167" t="s">
        <v>2169</v>
      </c>
      <c r="V718" s="167" t="s">
        <v>3409</v>
      </c>
      <c r="AB718" s="167" t="s">
        <v>1787</v>
      </c>
      <c r="AC718" s="167">
        <v>347</v>
      </c>
      <c r="AD718" s="203">
        <v>43118</v>
      </c>
      <c r="AE718" s="203">
        <v>43133</v>
      </c>
      <c r="AF718" s="167" t="s">
        <v>3470</v>
      </c>
    </row>
    <row r="719" spans="16:32" x14ac:dyDescent="0.25">
      <c r="P719" s="167" t="s">
        <v>739</v>
      </c>
      <c r="Q719" s="167">
        <v>353</v>
      </c>
      <c r="R719" s="167" t="s">
        <v>3407</v>
      </c>
      <c r="S719" s="167" t="s">
        <v>2170</v>
      </c>
      <c r="T719" s="167">
        <v>5</v>
      </c>
      <c r="U719" s="167" t="s">
        <v>2171</v>
      </c>
      <c r="V719" s="167" t="s">
        <v>3409</v>
      </c>
      <c r="AB719" s="167" t="s">
        <v>1787</v>
      </c>
      <c r="AC719" s="167">
        <v>335</v>
      </c>
      <c r="AD719" s="203">
        <v>43133</v>
      </c>
      <c r="AE719" s="203">
        <v>43147</v>
      </c>
      <c r="AF719" s="167" t="s">
        <v>3470</v>
      </c>
    </row>
    <row r="720" spans="16:32" x14ac:dyDescent="0.25">
      <c r="P720" s="167" t="s">
        <v>739</v>
      </c>
      <c r="Q720" s="167">
        <v>353</v>
      </c>
      <c r="R720" s="167" t="s">
        <v>3407</v>
      </c>
      <c r="S720" s="167" t="s">
        <v>1047</v>
      </c>
      <c r="T720" s="167">
        <v>43</v>
      </c>
      <c r="U720" s="167" t="s">
        <v>2172</v>
      </c>
      <c r="V720" s="167" t="s">
        <v>3409</v>
      </c>
      <c r="AB720" s="167" t="s">
        <v>1787</v>
      </c>
      <c r="AC720" s="167">
        <v>340</v>
      </c>
      <c r="AD720" s="203">
        <v>43133</v>
      </c>
      <c r="AE720" s="203">
        <v>43168</v>
      </c>
      <c r="AF720" s="167" t="s">
        <v>3470</v>
      </c>
    </row>
    <row r="721" spans="16:32" x14ac:dyDescent="0.25">
      <c r="P721" s="167" t="s">
        <v>739</v>
      </c>
      <c r="Q721" s="167">
        <v>353</v>
      </c>
      <c r="R721" s="167" t="s">
        <v>3407</v>
      </c>
      <c r="S721" s="167" t="s">
        <v>1047</v>
      </c>
      <c r="T721" s="167">
        <v>50</v>
      </c>
      <c r="U721" s="167" t="s">
        <v>2172</v>
      </c>
      <c r="V721" s="167" t="s">
        <v>3409</v>
      </c>
      <c r="AB721" s="167" t="s">
        <v>1787</v>
      </c>
      <c r="AC721" s="167">
        <v>353</v>
      </c>
      <c r="AD721" s="203">
        <v>43180</v>
      </c>
      <c r="AE721" s="203">
        <v>0</v>
      </c>
      <c r="AF721" s="167" t="s">
        <v>3469</v>
      </c>
    </row>
    <row r="722" spans="16:32" x14ac:dyDescent="0.25">
      <c r="P722" s="167" t="s">
        <v>739</v>
      </c>
      <c r="Q722" s="167">
        <v>353</v>
      </c>
      <c r="R722" s="167" t="s">
        <v>3407</v>
      </c>
      <c r="S722" s="167" t="s">
        <v>1047</v>
      </c>
      <c r="T722" s="167">
        <v>36</v>
      </c>
      <c r="U722" s="167" t="s">
        <v>2172</v>
      </c>
      <c r="V722" s="167" t="s">
        <v>3409</v>
      </c>
      <c r="AB722" s="167" t="s">
        <v>1789</v>
      </c>
      <c r="AC722" s="167">
        <v>327</v>
      </c>
      <c r="AD722" s="203">
        <v>43074</v>
      </c>
      <c r="AE722" s="203">
        <v>43131</v>
      </c>
      <c r="AF722" s="167" t="s">
        <v>3470</v>
      </c>
    </row>
    <row r="723" spans="16:32" x14ac:dyDescent="0.25">
      <c r="P723" s="167" t="s">
        <v>739</v>
      </c>
      <c r="Q723" s="167">
        <v>353</v>
      </c>
      <c r="R723" s="167" t="s">
        <v>3407</v>
      </c>
      <c r="S723" s="167" t="s">
        <v>2173</v>
      </c>
      <c r="T723" s="167">
        <v>6</v>
      </c>
      <c r="U723" s="167" t="s">
        <v>2174</v>
      </c>
      <c r="V723" s="167" t="s">
        <v>3409</v>
      </c>
      <c r="AB723" s="167" t="s">
        <v>1789</v>
      </c>
      <c r="AC723" s="167">
        <v>340</v>
      </c>
      <c r="AD723" s="203">
        <v>43133</v>
      </c>
      <c r="AE723" s="203">
        <v>43168</v>
      </c>
      <c r="AF723" s="167" t="s">
        <v>3470</v>
      </c>
    </row>
    <row r="724" spans="16:32" x14ac:dyDescent="0.25">
      <c r="P724" s="167" t="s">
        <v>739</v>
      </c>
      <c r="Q724" s="167">
        <v>353</v>
      </c>
      <c r="R724" s="167" t="s">
        <v>3407</v>
      </c>
      <c r="S724" s="167" t="s">
        <v>2175</v>
      </c>
      <c r="T724" s="167">
        <v>10</v>
      </c>
      <c r="U724" s="167" t="s">
        <v>2176</v>
      </c>
      <c r="V724" s="167" t="s">
        <v>3409</v>
      </c>
      <c r="AB724" s="167" t="s">
        <v>1789</v>
      </c>
      <c r="AC724" s="167">
        <v>374</v>
      </c>
      <c r="AD724" s="203">
        <v>43195</v>
      </c>
      <c r="AE724" s="203">
        <v>0</v>
      </c>
      <c r="AF724" s="167" t="s">
        <v>3469</v>
      </c>
    </row>
    <row r="725" spans="16:32" x14ac:dyDescent="0.25">
      <c r="P725" s="167" t="s">
        <v>739</v>
      </c>
      <c r="Q725" s="167">
        <v>353</v>
      </c>
      <c r="R725" s="167" t="s">
        <v>3407</v>
      </c>
      <c r="S725" s="167" t="s">
        <v>2177</v>
      </c>
      <c r="T725" s="167">
        <v>14</v>
      </c>
      <c r="U725" s="167" t="s">
        <v>2178</v>
      </c>
      <c r="V725" s="167" t="s">
        <v>3409</v>
      </c>
      <c r="AB725" s="167" t="s">
        <v>1791</v>
      </c>
      <c r="AC725" s="167">
        <v>357</v>
      </c>
      <c r="AD725" s="203">
        <v>43139</v>
      </c>
      <c r="AE725" s="203">
        <v>43164</v>
      </c>
      <c r="AF725" s="167" t="s">
        <v>3470</v>
      </c>
    </row>
    <row r="726" spans="16:32" x14ac:dyDescent="0.25">
      <c r="P726" s="167" t="s">
        <v>739</v>
      </c>
      <c r="Q726" s="167">
        <v>353</v>
      </c>
      <c r="R726" s="167" t="s">
        <v>3407</v>
      </c>
      <c r="S726" s="167" t="s">
        <v>2177</v>
      </c>
      <c r="T726" s="167">
        <v>4</v>
      </c>
      <c r="U726" s="167" t="s">
        <v>2178</v>
      </c>
      <c r="V726" s="167" t="s">
        <v>3409</v>
      </c>
      <c r="AB726" s="167" t="s">
        <v>1791</v>
      </c>
      <c r="AC726" s="167">
        <v>353</v>
      </c>
      <c r="AD726" s="203">
        <v>43180</v>
      </c>
      <c r="AE726" s="203">
        <v>0</v>
      </c>
      <c r="AF726" s="167" t="s">
        <v>3469</v>
      </c>
    </row>
    <row r="727" spans="16:32" x14ac:dyDescent="0.25">
      <c r="P727" s="167" t="s">
        <v>739</v>
      </c>
      <c r="Q727" s="167">
        <v>353</v>
      </c>
      <c r="R727" s="167" t="s">
        <v>3407</v>
      </c>
      <c r="S727" s="167" t="s">
        <v>2177</v>
      </c>
      <c r="T727" s="167">
        <v>28</v>
      </c>
      <c r="U727" s="167" t="s">
        <v>2178</v>
      </c>
      <c r="V727" s="167" t="s">
        <v>3409</v>
      </c>
      <c r="AB727" s="167" t="s">
        <v>1793</v>
      </c>
      <c r="AC727" s="167">
        <v>364</v>
      </c>
      <c r="AD727" s="203">
        <v>43168</v>
      </c>
      <c r="AE727" s="203">
        <v>43179</v>
      </c>
      <c r="AF727" s="167" t="s">
        <v>3470</v>
      </c>
    </row>
    <row r="728" spans="16:32" x14ac:dyDescent="0.25">
      <c r="P728" s="167" t="s">
        <v>739</v>
      </c>
      <c r="Q728" s="167">
        <v>353</v>
      </c>
      <c r="R728" s="167" t="s">
        <v>3407</v>
      </c>
      <c r="S728" s="167" t="s">
        <v>2177</v>
      </c>
      <c r="T728" s="167">
        <v>6</v>
      </c>
      <c r="U728" s="167" t="s">
        <v>2178</v>
      </c>
      <c r="V728" s="167" t="s">
        <v>3409</v>
      </c>
      <c r="AB728" s="167" t="s">
        <v>1793</v>
      </c>
      <c r="AC728" s="167">
        <v>353</v>
      </c>
      <c r="AD728" s="203">
        <v>43180</v>
      </c>
      <c r="AE728" s="203">
        <v>0</v>
      </c>
      <c r="AF728" s="167" t="s">
        <v>3469</v>
      </c>
    </row>
    <row r="729" spans="16:32" x14ac:dyDescent="0.25">
      <c r="P729" s="167" t="s">
        <v>739</v>
      </c>
      <c r="Q729" s="167">
        <v>353</v>
      </c>
      <c r="R729" s="167" t="s">
        <v>3407</v>
      </c>
      <c r="S729" s="167" t="s">
        <v>2177</v>
      </c>
      <c r="T729" s="167">
        <v>5</v>
      </c>
      <c r="U729" s="167" t="s">
        <v>2178</v>
      </c>
      <c r="V729" s="167" t="s">
        <v>3409</v>
      </c>
      <c r="AB729" s="167" t="s">
        <v>1795</v>
      </c>
      <c r="AC729" s="167">
        <v>364</v>
      </c>
      <c r="AD729" s="203">
        <v>43168</v>
      </c>
      <c r="AE729" s="203">
        <v>43179</v>
      </c>
      <c r="AF729" s="167" t="s">
        <v>3470</v>
      </c>
    </row>
    <row r="730" spans="16:32" x14ac:dyDescent="0.25">
      <c r="P730" s="167" t="s">
        <v>739</v>
      </c>
      <c r="Q730" s="167">
        <v>353</v>
      </c>
      <c r="R730" s="167" t="s">
        <v>3407</v>
      </c>
      <c r="S730" s="167" t="s">
        <v>2177</v>
      </c>
      <c r="T730" s="167">
        <v>10</v>
      </c>
      <c r="U730" s="167" t="s">
        <v>2178</v>
      </c>
      <c r="V730" s="167" t="s">
        <v>3409</v>
      </c>
      <c r="AB730" s="167" t="s">
        <v>1795</v>
      </c>
      <c r="AC730" s="167">
        <v>353</v>
      </c>
      <c r="AD730" s="203">
        <v>43180</v>
      </c>
      <c r="AE730" s="203">
        <v>0</v>
      </c>
      <c r="AF730" s="167" t="s">
        <v>3469</v>
      </c>
    </row>
    <row r="731" spans="16:32" x14ac:dyDescent="0.25">
      <c r="P731" s="167" t="s">
        <v>739</v>
      </c>
      <c r="Q731" s="167">
        <v>353</v>
      </c>
      <c r="R731" s="167" t="s">
        <v>3407</v>
      </c>
      <c r="S731" s="167" t="s">
        <v>2177</v>
      </c>
      <c r="T731" s="167">
        <v>6</v>
      </c>
      <c r="U731" s="167" t="s">
        <v>2178</v>
      </c>
      <c r="V731" s="167" t="s">
        <v>3409</v>
      </c>
      <c r="AB731" s="167" t="s">
        <v>1797</v>
      </c>
      <c r="AC731" s="167">
        <v>364</v>
      </c>
      <c r="AD731" s="203">
        <v>43168</v>
      </c>
      <c r="AE731" s="203">
        <v>43179</v>
      </c>
      <c r="AF731" s="167" t="s">
        <v>3470</v>
      </c>
    </row>
    <row r="732" spans="16:32" x14ac:dyDescent="0.25">
      <c r="P732" s="167" t="s">
        <v>739</v>
      </c>
      <c r="Q732" s="167">
        <v>353</v>
      </c>
      <c r="R732" s="167" t="s">
        <v>3407</v>
      </c>
      <c r="S732" s="167" t="s">
        <v>2177</v>
      </c>
      <c r="T732" s="167">
        <v>5</v>
      </c>
      <c r="U732" s="167" t="s">
        <v>2178</v>
      </c>
      <c r="V732" s="167" t="s">
        <v>3409</v>
      </c>
      <c r="AB732" s="167" t="s">
        <v>1797</v>
      </c>
      <c r="AC732" s="167">
        <v>353</v>
      </c>
      <c r="AD732" s="203">
        <v>43180</v>
      </c>
      <c r="AE732" s="203">
        <v>0</v>
      </c>
      <c r="AF732" s="167" t="s">
        <v>3469</v>
      </c>
    </row>
    <row r="733" spans="16:32" x14ac:dyDescent="0.25">
      <c r="P733" s="167" t="s">
        <v>739</v>
      </c>
      <c r="Q733" s="167">
        <v>353</v>
      </c>
      <c r="R733" s="167" t="s">
        <v>3407</v>
      </c>
      <c r="S733" s="167" t="s">
        <v>2177</v>
      </c>
      <c r="T733" s="167">
        <v>2</v>
      </c>
      <c r="U733" s="167" t="s">
        <v>2178</v>
      </c>
      <c r="V733" s="167" t="s">
        <v>3409</v>
      </c>
      <c r="AB733" s="167" t="s">
        <v>1797</v>
      </c>
      <c r="AC733" s="167">
        <v>353</v>
      </c>
      <c r="AD733" s="203">
        <v>43180</v>
      </c>
      <c r="AE733" s="203">
        <v>0</v>
      </c>
      <c r="AF733" s="167" t="s">
        <v>3469</v>
      </c>
    </row>
    <row r="734" spans="16:32" x14ac:dyDescent="0.25">
      <c r="P734" s="167" t="s">
        <v>739</v>
      </c>
      <c r="Q734" s="167">
        <v>353</v>
      </c>
      <c r="R734" s="167" t="s">
        <v>3407</v>
      </c>
      <c r="S734" s="167" t="s">
        <v>2177</v>
      </c>
      <c r="T734" s="167">
        <v>2</v>
      </c>
      <c r="U734" s="167" t="s">
        <v>2178</v>
      </c>
      <c r="V734" s="167" t="s">
        <v>3409</v>
      </c>
      <c r="AB734" s="167" t="s">
        <v>1797</v>
      </c>
      <c r="AC734" s="167">
        <v>353</v>
      </c>
      <c r="AD734" s="203">
        <v>43180</v>
      </c>
      <c r="AE734" s="203">
        <v>0</v>
      </c>
      <c r="AF734" s="167" t="s">
        <v>3469</v>
      </c>
    </row>
    <row r="735" spans="16:32" x14ac:dyDescent="0.25">
      <c r="P735" s="167" t="s">
        <v>739</v>
      </c>
      <c r="Q735" s="167">
        <v>353</v>
      </c>
      <c r="R735" s="167" t="s">
        <v>3407</v>
      </c>
      <c r="S735" s="167" t="s">
        <v>2177</v>
      </c>
      <c r="T735" s="167">
        <v>15</v>
      </c>
      <c r="U735" s="167" t="s">
        <v>2178</v>
      </c>
      <c r="V735" s="167" t="s">
        <v>3409</v>
      </c>
      <c r="AB735" s="167" t="s">
        <v>3416</v>
      </c>
      <c r="AC735" s="167">
        <v>327</v>
      </c>
      <c r="AD735" s="203">
        <v>43074</v>
      </c>
      <c r="AE735" s="203">
        <v>43131</v>
      </c>
      <c r="AF735" s="167" t="s">
        <v>3470</v>
      </c>
    </row>
    <row r="736" spans="16:32" x14ac:dyDescent="0.25">
      <c r="P736" s="167" t="s">
        <v>739</v>
      </c>
      <c r="Q736" s="167">
        <v>353</v>
      </c>
      <c r="R736" s="167" t="s">
        <v>3407</v>
      </c>
      <c r="S736" s="167" t="s">
        <v>1048</v>
      </c>
      <c r="T736" s="167">
        <v>8</v>
      </c>
      <c r="U736" s="167" t="s">
        <v>2180</v>
      </c>
      <c r="V736" s="167" t="s">
        <v>3409</v>
      </c>
      <c r="AB736" s="167" t="s">
        <v>3416</v>
      </c>
      <c r="AC736" s="167">
        <v>347</v>
      </c>
      <c r="AD736" s="203">
        <v>43118</v>
      </c>
      <c r="AE736" s="203">
        <v>43133</v>
      </c>
      <c r="AF736" s="167" t="s">
        <v>3470</v>
      </c>
    </row>
    <row r="737" spans="16:32" x14ac:dyDescent="0.25">
      <c r="P737" s="167" t="s">
        <v>739</v>
      </c>
      <c r="Q737" s="167">
        <v>353</v>
      </c>
      <c r="R737" s="167" t="s">
        <v>3407</v>
      </c>
      <c r="S737" s="167" t="s">
        <v>1048</v>
      </c>
      <c r="T737" s="167">
        <v>70</v>
      </c>
      <c r="U737" s="167" t="s">
        <v>2180</v>
      </c>
      <c r="V737" s="167" t="s">
        <v>3409</v>
      </c>
      <c r="AB737" s="167" t="s">
        <v>3416</v>
      </c>
      <c r="AC737" s="167">
        <v>340</v>
      </c>
      <c r="AD737" s="203">
        <v>43133</v>
      </c>
      <c r="AE737" s="203">
        <v>43168</v>
      </c>
      <c r="AF737" s="167" t="s">
        <v>3470</v>
      </c>
    </row>
    <row r="738" spans="16:32" x14ac:dyDescent="0.25">
      <c r="P738" s="167" t="s">
        <v>739</v>
      </c>
      <c r="Q738" s="167">
        <v>353</v>
      </c>
      <c r="R738" s="167" t="s">
        <v>3407</v>
      </c>
      <c r="S738" s="167" t="s">
        <v>1048</v>
      </c>
      <c r="T738" s="167">
        <v>10</v>
      </c>
      <c r="U738" s="167" t="s">
        <v>2180</v>
      </c>
      <c r="V738" s="167" t="s">
        <v>3409</v>
      </c>
      <c r="AB738" s="167" t="s">
        <v>3416</v>
      </c>
      <c r="AC738" s="167">
        <v>364</v>
      </c>
      <c r="AD738" s="203">
        <v>43168</v>
      </c>
      <c r="AE738" s="203">
        <v>43179</v>
      </c>
      <c r="AF738" s="167" t="s">
        <v>3470</v>
      </c>
    </row>
    <row r="739" spans="16:32" x14ac:dyDescent="0.25">
      <c r="P739" s="167" t="s">
        <v>739</v>
      </c>
      <c r="Q739" s="167">
        <v>353</v>
      </c>
      <c r="R739" s="167" t="s">
        <v>3407</v>
      </c>
      <c r="S739" s="167" t="s">
        <v>2181</v>
      </c>
      <c r="T739" s="167">
        <v>10</v>
      </c>
      <c r="U739" s="167" t="s">
        <v>2182</v>
      </c>
      <c r="V739" s="167" t="s">
        <v>3409</v>
      </c>
      <c r="AB739" s="167" t="s">
        <v>3416</v>
      </c>
      <c r="AC739" s="167">
        <v>353</v>
      </c>
      <c r="AD739" s="203">
        <v>43180</v>
      </c>
      <c r="AE739" s="203">
        <v>0</v>
      </c>
      <c r="AF739" s="167" t="s">
        <v>3469</v>
      </c>
    </row>
    <row r="740" spans="16:32" x14ac:dyDescent="0.25">
      <c r="P740" s="167" t="s">
        <v>739</v>
      </c>
      <c r="Q740" s="167">
        <v>353</v>
      </c>
      <c r="R740" s="167" t="s">
        <v>3407</v>
      </c>
      <c r="S740" s="167" t="s">
        <v>2181</v>
      </c>
      <c r="T740" s="167">
        <v>10</v>
      </c>
      <c r="U740" s="167" t="s">
        <v>2182</v>
      </c>
      <c r="V740" s="167" t="s">
        <v>3409</v>
      </c>
      <c r="AB740" s="167" t="s">
        <v>1799</v>
      </c>
      <c r="AC740" s="167">
        <v>323</v>
      </c>
      <c r="AD740" s="203">
        <v>43074</v>
      </c>
      <c r="AE740" s="203">
        <v>43111</v>
      </c>
      <c r="AF740" s="167" t="s">
        <v>3470</v>
      </c>
    </row>
    <row r="741" spans="16:32" x14ac:dyDescent="0.25">
      <c r="P741" s="167" t="s">
        <v>739</v>
      </c>
      <c r="Q741" s="167">
        <v>353</v>
      </c>
      <c r="R741" s="167" t="s">
        <v>3407</v>
      </c>
      <c r="S741" s="167" t="s">
        <v>3357</v>
      </c>
      <c r="T741" s="167">
        <v>3</v>
      </c>
      <c r="U741" s="167" t="s">
        <v>3423</v>
      </c>
      <c r="V741" s="167" t="s">
        <v>3409</v>
      </c>
      <c r="AB741" s="167" t="s">
        <v>1799</v>
      </c>
      <c r="AC741" s="167">
        <v>340</v>
      </c>
      <c r="AD741" s="203">
        <v>43133</v>
      </c>
      <c r="AE741" s="203">
        <v>43168</v>
      </c>
      <c r="AF741" s="167" t="s">
        <v>3470</v>
      </c>
    </row>
    <row r="742" spans="16:32" x14ac:dyDescent="0.25">
      <c r="P742" s="167" t="s">
        <v>739</v>
      </c>
      <c r="Q742" s="167">
        <v>353</v>
      </c>
      <c r="R742" s="167" t="s">
        <v>3407</v>
      </c>
      <c r="S742" s="167" t="s">
        <v>3357</v>
      </c>
      <c r="T742" s="167">
        <v>4</v>
      </c>
      <c r="U742" s="167" t="s">
        <v>3423</v>
      </c>
      <c r="V742" s="167" t="s">
        <v>3409</v>
      </c>
      <c r="AB742" s="167" t="s">
        <v>1799</v>
      </c>
      <c r="AC742" s="167">
        <v>364</v>
      </c>
      <c r="AD742" s="203">
        <v>43168</v>
      </c>
      <c r="AE742" s="203">
        <v>43179</v>
      </c>
      <c r="AF742" s="167" t="s">
        <v>3470</v>
      </c>
    </row>
    <row r="743" spans="16:32" x14ac:dyDescent="0.25">
      <c r="P743" s="167" t="s">
        <v>739</v>
      </c>
      <c r="Q743" s="167">
        <v>353</v>
      </c>
      <c r="R743" s="167" t="s">
        <v>3407</v>
      </c>
      <c r="S743" s="167" t="s">
        <v>3357</v>
      </c>
      <c r="T743" s="167">
        <v>10</v>
      </c>
      <c r="U743" s="167" t="s">
        <v>3423</v>
      </c>
      <c r="V743" s="167" t="s">
        <v>3409</v>
      </c>
      <c r="AB743" s="167" t="s">
        <v>1799</v>
      </c>
      <c r="AC743" s="167">
        <v>353</v>
      </c>
      <c r="AD743" s="203">
        <v>43180</v>
      </c>
      <c r="AE743" s="203">
        <v>0</v>
      </c>
      <c r="AF743" s="167" t="s">
        <v>3469</v>
      </c>
    </row>
    <row r="744" spans="16:32" x14ac:dyDescent="0.25">
      <c r="P744" s="167" t="s">
        <v>739</v>
      </c>
      <c r="Q744" s="167">
        <v>353</v>
      </c>
      <c r="R744" s="167" t="s">
        <v>3407</v>
      </c>
      <c r="S744" s="167" t="s">
        <v>1049</v>
      </c>
      <c r="T744" s="167">
        <v>7</v>
      </c>
      <c r="U744" s="167" t="s">
        <v>2183</v>
      </c>
      <c r="V744" s="167" t="s">
        <v>3409</v>
      </c>
      <c r="AB744" s="167" t="s">
        <v>1801</v>
      </c>
      <c r="AC744" s="167">
        <v>327</v>
      </c>
      <c r="AD744" s="203">
        <v>43074</v>
      </c>
      <c r="AE744" s="203">
        <v>43131</v>
      </c>
      <c r="AF744" s="167" t="s">
        <v>3470</v>
      </c>
    </row>
    <row r="745" spans="16:32" x14ac:dyDescent="0.25">
      <c r="P745" s="167" t="s">
        <v>739</v>
      </c>
      <c r="Q745" s="167">
        <v>353</v>
      </c>
      <c r="R745" s="167" t="s">
        <v>3407</v>
      </c>
      <c r="S745" s="167" t="s">
        <v>1049</v>
      </c>
      <c r="T745" s="167">
        <v>10</v>
      </c>
      <c r="U745" s="167" t="s">
        <v>2183</v>
      </c>
      <c r="V745" s="167" t="s">
        <v>3409</v>
      </c>
      <c r="AB745" s="167" t="s">
        <v>1801</v>
      </c>
      <c r="AC745" s="167">
        <v>347</v>
      </c>
      <c r="AD745" s="203">
        <v>43118</v>
      </c>
      <c r="AE745" s="203">
        <v>43133</v>
      </c>
      <c r="AF745" s="167" t="s">
        <v>3470</v>
      </c>
    </row>
    <row r="746" spans="16:32" x14ac:dyDescent="0.25">
      <c r="P746" s="167" t="s">
        <v>739</v>
      </c>
      <c r="Q746" s="167">
        <v>353</v>
      </c>
      <c r="R746" s="167" t="s">
        <v>3407</v>
      </c>
      <c r="S746" s="167" t="s">
        <v>1049</v>
      </c>
      <c r="T746" s="167">
        <v>5</v>
      </c>
      <c r="U746" s="167" t="s">
        <v>2183</v>
      </c>
      <c r="V746" s="167" t="s">
        <v>3409</v>
      </c>
      <c r="AB746" s="167" t="s">
        <v>1801</v>
      </c>
      <c r="AC746" s="167">
        <v>340</v>
      </c>
      <c r="AD746" s="203">
        <v>43133</v>
      </c>
      <c r="AE746" s="203">
        <v>43168</v>
      </c>
      <c r="AF746" s="167" t="s">
        <v>3470</v>
      </c>
    </row>
    <row r="747" spans="16:32" x14ac:dyDescent="0.25">
      <c r="P747" s="167" t="s">
        <v>739</v>
      </c>
      <c r="Q747" s="167">
        <v>353</v>
      </c>
      <c r="R747" s="167" t="s">
        <v>3407</v>
      </c>
      <c r="S747" s="167" t="s">
        <v>2184</v>
      </c>
      <c r="T747" s="167">
        <v>16</v>
      </c>
      <c r="U747" s="167" t="s">
        <v>2185</v>
      </c>
      <c r="V747" s="167" t="s">
        <v>3409</v>
      </c>
      <c r="AB747" s="167" t="s">
        <v>1801</v>
      </c>
      <c r="AC747" s="167">
        <v>357</v>
      </c>
      <c r="AD747" s="203">
        <v>43139</v>
      </c>
      <c r="AE747" s="203">
        <v>43164</v>
      </c>
      <c r="AF747" s="167" t="s">
        <v>3470</v>
      </c>
    </row>
    <row r="748" spans="16:32" x14ac:dyDescent="0.25">
      <c r="P748" s="167" t="s">
        <v>739</v>
      </c>
      <c r="Q748" s="167">
        <v>353</v>
      </c>
      <c r="R748" s="167" t="s">
        <v>3407</v>
      </c>
      <c r="S748" s="167" t="s">
        <v>2184</v>
      </c>
      <c r="T748" s="167">
        <v>25</v>
      </c>
      <c r="U748" s="167" t="s">
        <v>2185</v>
      </c>
      <c r="V748" s="167" t="s">
        <v>3409</v>
      </c>
      <c r="AB748" s="167" t="s">
        <v>1801</v>
      </c>
      <c r="AC748" s="167">
        <v>364</v>
      </c>
      <c r="AD748" s="203">
        <v>43168</v>
      </c>
      <c r="AE748" s="203">
        <v>43179</v>
      </c>
      <c r="AF748" s="167" t="s">
        <v>3470</v>
      </c>
    </row>
    <row r="749" spans="16:32" x14ac:dyDescent="0.25">
      <c r="P749" s="167" t="s">
        <v>739</v>
      </c>
      <c r="Q749" s="167">
        <v>353</v>
      </c>
      <c r="R749" s="167" t="s">
        <v>3407</v>
      </c>
      <c r="S749" s="167" t="s">
        <v>2186</v>
      </c>
      <c r="T749" s="167">
        <v>1</v>
      </c>
      <c r="U749" s="167" t="s">
        <v>2187</v>
      </c>
      <c r="V749" s="167" t="s">
        <v>3409</v>
      </c>
      <c r="AB749" s="167" t="s">
        <v>1801</v>
      </c>
      <c r="AC749" s="167">
        <v>353</v>
      </c>
      <c r="AD749" s="203">
        <v>43180</v>
      </c>
      <c r="AE749" s="203">
        <v>0</v>
      </c>
      <c r="AF749" s="167" t="s">
        <v>3469</v>
      </c>
    </row>
    <row r="750" spans="16:32" x14ac:dyDescent="0.25">
      <c r="P750" s="167" t="s">
        <v>739</v>
      </c>
      <c r="Q750" s="167">
        <v>353</v>
      </c>
      <c r="R750" s="167" t="s">
        <v>3407</v>
      </c>
      <c r="S750" s="167" t="s">
        <v>1050</v>
      </c>
      <c r="T750" s="167">
        <v>10</v>
      </c>
      <c r="U750" s="167" t="s">
        <v>2188</v>
      </c>
      <c r="V750" s="167" t="s">
        <v>3409</v>
      </c>
      <c r="AB750" s="167" t="s">
        <v>1801</v>
      </c>
      <c r="AC750" s="167">
        <v>353</v>
      </c>
      <c r="AD750" s="203">
        <v>43180</v>
      </c>
      <c r="AE750" s="203">
        <v>0</v>
      </c>
      <c r="AF750" s="167" t="s">
        <v>3469</v>
      </c>
    </row>
    <row r="751" spans="16:32" x14ac:dyDescent="0.25">
      <c r="P751" s="167" t="s">
        <v>739</v>
      </c>
      <c r="Q751" s="167">
        <v>353</v>
      </c>
      <c r="R751" s="167" t="s">
        <v>3407</v>
      </c>
      <c r="S751" s="167" t="s">
        <v>2196</v>
      </c>
      <c r="T751" s="167">
        <v>40</v>
      </c>
      <c r="U751" s="167" t="s">
        <v>2197</v>
      </c>
      <c r="V751" s="167" t="s">
        <v>3409</v>
      </c>
      <c r="AB751" s="167" t="s">
        <v>1801</v>
      </c>
      <c r="AC751" s="167">
        <v>353</v>
      </c>
      <c r="AD751" s="203">
        <v>43180</v>
      </c>
      <c r="AE751" s="203">
        <v>0</v>
      </c>
      <c r="AF751" s="167" t="s">
        <v>3469</v>
      </c>
    </row>
    <row r="752" spans="16:32" x14ac:dyDescent="0.25">
      <c r="P752" s="167" t="s">
        <v>739</v>
      </c>
      <c r="Q752" s="167">
        <v>353</v>
      </c>
      <c r="R752" s="167" t="s">
        <v>3407</v>
      </c>
      <c r="S752" s="167" t="s">
        <v>2196</v>
      </c>
      <c r="T752" s="167">
        <v>87</v>
      </c>
      <c r="U752" s="167" t="s">
        <v>2197</v>
      </c>
      <c r="V752" s="167" t="s">
        <v>3409</v>
      </c>
      <c r="AB752" s="167" t="s">
        <v>1801</v>
      </c>
      <c r="AC752" s="167">
        <v>353</v>
      </c>
      <c r="AD752" s="203">
        <v>43180</v>
      </c>
      <c r="AE752" s="203">
        <v>0</v>
      </c>
      <c r="AF752" s="167" t="s">
        <v>3469</v>
      </c>
    </row>
    <row r="753" spans="16:32" x14ac:dyDescent="0.25">
      <c r="P753" s="167" t="s">
        <v>739</v>
      </c>
      <c r="Q753" s="167">
        <v>353</v>
      </c>
      <c r="R753" s="167" t="s">
        <v>3407</v>
      </c>
      <c r="S753" s="167" t="s">
        <v>2199</v>
      </c>
      <c r="T753" s="167">
        <v>2</v>
      </c>
      <c r="U753" s="167" t="s">
        <v>2200</v>
      </c>
      <c r="V753" s="167" t="s">
        <v>3409</v>
      </c>
      <c r="AB753" s="167" t="s">
        <v>1801</v>
      </c>
      <c r="AC753" s="167">
        <v>353</v>
      </c>
      <c r="AD753" s="203">
        <v>43180</v>
      </c>
      <c r="AE753" s="203">
        <v>0</v>
      </c>
      <c r="AF753" s="167" t="s">
        <v>3469</v>
      </c>
    </row>
    <row r="754" spans="16:32" x14ac:dyDescent="0.25">
      <c r="P754" s="167" t="s">
        <v>739</v>
      </c>
      <c r="Q754" s="167">
        <v>353</v>
      </c>
      <c r="R754" s="167" t="s">
        <v>3407</v>
      </c>
      <c r="S754" s="167" t="s">
        <v>2199</v>
      </c>
      <c r="T754" s="167">
        <v>2</v>
      </c>
      <c r="U754" s="167" t="s">
        <v>2200</v>
      </c>
      <c r="V754" s="167" t="s">
        <v>3409</v>
      </c>
      <c r="AB754" s="167" t="s">
        <v>1801</v>
      </c>
      <c r="AC754" s="167">
        <v>353</v>
      </c>
      <c r="AD754" s="203">
        <v>43180</v>
      </c>
      <c r="AE754" s="203">
        <v>0</v>
      </c>
      <c r="AF754" s="167" t="s">
        <v>3469</v>
      </c>
    </row>
    <row r="755" spans="16:32" x14ac:dyDescent="0.25">
      <c r="P755" s="167" t="s">
        <v>739</v>
      </c>
      <c r="Q755" s="167">
        <v>353</v>
      </c>
      <c r="R755" s="167" t="s">
        <v>3407</v>
      </c>
      <c r="S755" s="167" t="s">
        <v>2199</v>
      </c>
      <c r="T755" s="167">
        <v>3</v>
      </c>
      <c r="U755" s="167" t="s">
        <v>2200</v>
      </c>
      <c r="V755" s="167" t="s">
        <v>3409</v>
      </c>
      <c r="AB755" s="167" t="s">
        <v>3474</v>
      </c>
      <c r="AC755" s="167">
        <v>340</v>
      </c>
      <c r="AD755" s="203">
        <v>43133</v>
      </c>
      <c r="AE755" s="203">
        <v>43168</v>
      </c>
      <c r="AF755" s="167" t="s">
        <v>3470</v>
      </c>
    </row>
    <row r="756" spans="16:32" x14ac:dyDescent="0.25">
      <c r="P756" s="167" t="s">
        <v>739</v>
      </c>
      <c r="Q756" s="167">
        <v>353</v>
      </c>
      <c r="R756" s="167" t="s">
        <v>3407</v>
      </c>
      <c r="S756" s="167" t="s">
        <v>2199</v>
      </c>
      <c r="T756" s="167">
        <v>2</v>
      </c>
      <c r="U756" s="167" t="s">
        <v>2200</v>
      </c>
      <c r="V756" s="167" t="s">
        <v>3409</v>
      </c>
      <c r="AB756" s="167" t="s">
        <v>1803</v>
      </c>
      <c r="AC756" s="167">
        <v>364</v>
      </c>
      <c r="AD756" s="203">
        <v>43168</v>
      </c>
      <c r="AE756" s="203">
        <v>43179</v>
      </c>
      <c r="AF756" s="167" t="s">
        <v>3470</v>
      </c>
    </row>
    <row r="757" spans="16:32" x14ac:dyDescent="0.25">
      <c r="P757" s="167" t="s">
        <v>739</v>
      </c>
      <c r="Q757" s="167">
        <v>353</v>
      </c>
      <c r="R757" s="167" t="s">
        <v>3407</v>
      </c>
      <c r="S757" s="167" t="s">
        <v>2199</v>
      </c>
      <c r="T757" s="167">
        <v>10</v>
      </c>
      <c r="U757" s="167" t="s">
        <v>2200</v>
      </c>
      <c r="V757" s="167" t="s">
        <v>3409</v>
      </c>
      <c r="AB757" s="167" t="s">
        <v>1803</v>
      </c>
      <c r="AC757" s="167">
        <v>353</v>
      </c>
      <c r="AD757" s="203">
        <v>43180</v>
      </c>
      <c r="AE757" s="203">
        <v>0</v>
      </c>
      <c r="AF757" s="167" t="s">
        <v>3469</v>
      </c>
    </row>
    <row r="758" spans="16:32" x14ac:dyDescent="0.25">
      <c r="P758" s="167" t="s">
        <v>739</v>
      </c>
      <c r="Q758" s="167">
        <v>353</v>
      </c>
      <c r="R758" s="167" t="s">
        <v>3407</v>
      </c>
      <c r="S758" s="167" t="s">
        <v>2202</v>
      </c>
      <c r="T758" s="167">
        <v>10</v>
      </c>
      <c r="U758" s="167" t="s">
        <v>2203</v>
      </c>
      <c r="V758" s="167" t="s">
        <v>3409</v>
      </c>
      <c r="AB758" s="167" t="s">
        <v>1805</v>
      </c>
      <c r="AC758" s="167">
        <v>357</v>
      </c>
      <c r="AD758" s="203">
        <v>43139</v>
      </c>
      <c r="AE758" s="203">
        <v>43164</v>
      </c>
      <c r="AF758" s="167" t="s">
        <v>3470</v>
      </c>
    </row>
    <row r="759" spans="16:32" x14ac:dyDescent="0.25">
      <c r="P759" s="167" t="s">
        <v>739</v>
      </c>
      <c r="Q759" s="167">
        <v>353</v>
      </c>
      <c r="R759" s="167" t="s">
        <v>3407</v>
      </c>
      <c r="S759" s="167" t="s">
        <v>2205</v>
      </c>
      <c r="T759" s="167">
        <v>1</v>
      </c>
      <c r="U759" s="167" t="s">
        <v>2206</v>
      </c>
      <c r="V759" s="167" t="s">
        <v>3409</v>
      </c>
      <c r="AB759" s="167" t="s">
        <v>1805</v>
      </c>
      <c r="AC759" s="167">
        <v>353</v>
      </c>
      <c r="AD759" s="203">
        <v>43180</v>
      </c>
      <c r="AE759" s="203">
        <v>0</v>
      </c>
      <c r="AF759" s="167" t="s">
        <v>3469</v>
      </c>
    </row>
    <row r="760" spans="16:32" x14ac:dyDescent="0.25">
      <c r="P760" s="167" t="s">
        <v>739</v>
      </c>
      <c r="Q760" s="167">
        <v>353</v>
      </c>
      <c r="R760" s="167" t="s">
        <v>3407</v>
      </c>
      <c r="S760" s="167" t="s">
        <v>2205</v>
      </c>
      <c r="T760" s="167">
        <v>1</v>
      </c>
      <c r="U760" s="167" t="s">
        <v>2206</v>
      </c>
      <c r="V760" s="167" t="s">
        <v>3409</v>
      </c>
      <c r="AB760" s="167" t="s">
        <v>1806</v>
      </c>
      <c r="AC760" s="167">
        <v>340</v>
      </c>
      <c r="AD760" s="203">
        <v>43133</v>
      </c>
      <c r="AE760" s="203">
        <v>43168</v>
      </c>
      <c r="AF760" s="167" t="s">
        <v>3470</v>
      </c>
    </row>
    <row r="761" spans="16:32" x14ac:dyDescent="0.25">
      <c r="P761" s="167" t="s">
        <v>739</v>
      </c>
      <c r="Q761" s="167">
        <v>353</v>
      </c>
      <c r="R761" s="167" t="s">
        <v>3407</v>
      </c>
      <c r="S761" s="167" t="s">
        <v>2209</v>
      </c>
      <c r="T761" s="167">
        <v>5</v>
      </c>
      <c r="U761" s="167" t="s">
        <v>2210</v>
      </c>
      <c r="V761" s="167" t="s">
        <v>3409</v>
      </c>
      <c r="AB761" s="167" t="s">
        <v>1807</v>
      </c>
      <c r="AC761" s="167">
        <v>347</v>
      </c>
      <c r="AD761" s="203">
        <v>43118</v>
      </c>
      <c r="AE761" s="203">
        <v>43133</v>
      </c>
      <c r="AF761" s="167" t="s">
        <v>3470</v>
      </c>
    </row>
    <row r="762" spans="16:32" x14ac:dyDescent="0.25">
      <c r="P762" s="167" t="s">
        <v>739</v>
      </c>
      <c r="Q762" s="167">
        <v>353</v>
      </c>
      <c r="R762" s="167" t="s">
        <v>3407</v>
      </c>
      <c r="S762" s="167" t="s">
        <v>3358</v>
      </c>
      <c r="T762" s="167">
        <v>16</v>
      </c>
      <c r="U762" s="167" t="s">
        <v>3424</v>
      </c>
      <c r="V762" s="167" t="s">
        <v>3409</v>
      </c>
      <c r="AB762" s="167" t="s">
        <v>1807</v>
      </c>
      <c r="AC762" s="167">
        <v>340</v>
      </c>
      <c r="AD762" s="203">
        <v>43133</v>
      </c>
      <c r="AE762" s="203">
        <v>43168</v>
      </c>
      <c r="AF762" s="167" t="s">
        <v>3470</v>
      </c>
    </row>
    <row r="763" spans="16:32" x14ac:dyDescent="0.25">
      <c r="P763" s="167" t="s">
        <v>739</v>
      </c>
      <c r="Q763" s="167">
        <v>353</v>
      </c>
      <c r="R763" s="167" t="s">
        <v>3407</v>
      </c>
      <c r="S763" s="167" t="s">
        <v>3358</v>
      </c>
      <c r="T763" s="167">
        <v>5</v>
      </c>
      <c r="U763" s="167" t="s">
        <v>3424</v>
      </c>
      <c r="V763" s="167" t="s">
        <v>3409</v>
      </c>
      <c r="AB763" s="167" t="s">
        <v>1809</v>
      </c>
      <c r="AC763" s="167">
        <v>340</v>
      </c>
      <c r="AD763" s="203">
        <v>43133</v>
      </c>
      <c r="AE763" s="203">
        <v>43168</v>
      </c>
      <c r="AF763" s="167" t="s">
        <v>3470</v>
      </c>
    </row>
    <row r="764" spans="16:32" x14ac:dyDescent="0.25">
      <c r="P764" s="167" t="s">
        <v>739</v>
      </c>
      <c r="Q764" s="167">
        <v>353</v>
      </c>
      <c r="R764" s="167" t="s">
        <v>3407</v>
      </c>
      <c r="S764" s="167" t="s">
        <v>2212</v>
      </c>
      <c r="T764" s="167">
        <v>3</v>
      </c>
      <c r="U764" s="167" t="s">
        <v>2213</v>
      </c>
      <c r="V764" s="167" t="s">
        <v>3409</v>
      </c>
      <c r="AB764" s="167" t="s">
        <v>1809</v>
      </c>
      <c r="AC764" s="167">
        <v>353</v>
      </c>
      <c r="AD764" s="203">
        <v>43180</v>
      </c>
      <c r="AE764" s="203">
        <v>0</v>
      </c>
      <c r="AF764" s="167" t="s">
        <v>3469</v>
      </c>
    </row>
    <row r="765" spans="16:32" x14ac:dyDescent="0.25">
      <c r="P765" s="167" t="s">
        <v>739</v>
      </c>
      <c r="Q765" s="167">
        <v>353</v>
      </c>
      <c r="R765" s="167" t="s">
        <v>3407</v>
      </c>
      <c r="S765" s="167" t="s">
        <v>1051</v>
      </c>
      <c r="T765" s="167">
        <v>4</v>
      </c>
      <c r="U765" s="167" t="s">
        <v>2214</v>
      </c>
      <c r="V765" s="167" t="s">
        <v>3409</v>
      </c>
      <c r="AB765" s="167" t="s">
        <v>1809</v>
      </c>
      <c r="AC765" s="167">
        <v>353</v>
      </c>
      <c r="AD765" s="203">
        <v>43180</v>
      </c>
      <c r="AE765" s="203">
        <v>0</v>
      </c>
      <c r="AF765" s="167" t="s">
        <v>3469</v>
      </c>
    </row>
    <row r="766" spans="16:32" x14ac:dyDescent="0.25">
      <c r="P766" s="167" t="s">
        <v>739</v>
      </c>
      <c r="Q766" s="167">
        <v>353</v>
      </c>
      <c r="R766" s="167" t="s">
        <v>3407</v>
      </c>
      <c r="S766" s="167" t="s">
        <v>2216</v>
      </c>
      <c r="T766" s="167">
        <v>1</v>
      </c>
      <c r="U766" s="167" t="s">
        <v>2217</v>
      </c>
      <c r="V766" s="167" t="s">
        <v>3409</v>
      </c>
      <c r="AB766" s="167" t="s">
        <v>1809</v>
      </c>
      <c r="AC766" s="167">
        <v>353</v>
      </c>
      <c r="AD766" s="203">
        <v>43180</v>
      </c>
      <c r="AE766" s="203">
        <v>0</v>
      </c>
      <c r="AF766" s="167" t="s">
        <v>3469</v>
      </c>
    </row>
    <row r="767" spans="16:32" x14ac:dyDescent="0.25">
      <c r="P767" s="167" t="s">
        <v>739</v>
      </c>
      <c r="Q767" s="167">
        <v>353</v>
      </c>
      <c r="R767" s="167" t="s">
        <v>3407</v>
      </c>
      <c r="S767" s="167" t="s">
        <v>2216</v>
      </c>
      <c r="T767" s="167">
        <v>1</v>
      </c>
      <c r="U767" s="167" t="s">
        <v>2217</v>
      </c>
      <c r="V767" s="167" t="s">
        <v>3409</v>
      </c>
      <c r="AB767" s="167" t="s">
        <v>1809</v>
      </c>
      <c r="AC767" s="167">
        <v>353</v>
      </c>
      <c r="AD767" s="203">
        <v>43180</v>
      </c>
      <c r="AE767" s="203">
        <v>0</v>
      </c>
      <c r="AF767" s="167" t="s">
        <v>3469</v>
      </c>
    </row>
    <row r="768" spans="16:32" x14ac:dyDescent="0.25">
      <c r="P768" s="167" t="s">
        <v>739</v>
      </c>
      <c r="Q768" s="167">
        <v>353</v>
      </c>
      <c r="R768" s="167" t="s">
        <v>3407</v>
      </c>
      <c r="S768" s="167" t="s">
        <v>2218</v>
      </c>
      <c r="T768" s="167">
        <v>10</v>
      </c>
      <c r="U768" s="167" t="s">
        <v>2219</v>
      </c>
      <c r="V768" s="167" t="s">
        <v>3409</v>
      </c>
      <c r="AB768" s="167" t="s">
        <v>1809</v>
      </c>
      <c r="AC768" s="167">
        <v>353</v>
      </c>
      <c r="AD768" s="203">
        <v>43180</v>
      </c>
      <c r="AE768" s="203">
        <v>0</v>
      </c>
      <c r="AF768" s="167" t="s">
        <v>3469</v>
      </c>
    </row>
    <row r="769" spans="16:32" x14ac:dyDescent="0.25">
      <c r="P769" s="167" t="s">
        <v>739</v>
      </c>
      <c r="Q769" s="167">
        <v>353</v>
      </c>
      <c r="R769" s="167" t="s">
        <v>3407</v>
      </c>
      <c r="S769" s="167" t="s">
        <v>2218</v>
      </c>
      <c r="T769" s="167">
        <v>3</v>
      </c>
      <c r="U769" s="167" t="s">
        <v>2219</v>
      </c>
      <c r="V769" s="167" t="s">
        <v>3409</v>
      </c>
      <c r="AB769" s="167" t="s">
        <v>1810</v>
      </c>
      <c r="AC769" s="167">
        <v>323</v>
      </c>
      <c r="AD769" s="203">
        <v>43074</v>
      </c>
      <c r="AE769" s="203">
        <v>43111</v>
      </c>
      <c r="AF769" s="167" t="s">
        <v>3470</v>
      </c>
    </row>
    <row r="770" spans="16:32" x14ac:dyDescent="0.25">
      <c r="P770" s="167" t="s">
        <v>739</v>
      </c>
      <c r="Q770" s="167">
        <v>353</v>
      </c>
      <c r="R770" s="167" t="s">
        <v>3407</v>
      </c>
      <c r="S770" s="167" t="s">
        <v>2218</v>
      </c>
      <c r="T770" s="167">
        <v>6</v>
      </c>
      <c r="U770" s="167" t="s">
        <v>2219</v>
      </c>
      <c r="V770" s="167" t="s">
        <v>3409</v>
      </c>
      <c r="AB770" s="167" t="s">
        <v>1810</v>
      </c>
      <c r="AC770" s="167">
        <v>327</v>
      </c>
      <c r="AD770" s="203">
        <v>43074</v>
      </c>
      <c r="AE770" s="203">
        <v>43131</v>
      </c>
      <c r="AF770" s="167" t="s">
        <v>3470</v>
      </c>
    </row>
    <row r="771" spans="16:32" x14ac:dyDescent="0.25">
      <c r="P771" s="167" t="s">
        <v>739</v>
      </c>
      <c r="Q771" s="167">
        <v>353</v>
      </c>
      <c r="R771" s="167" t="s">
        <v>3407</v>
      </c>
      <c r="S771" s="167" t="s">
        <v>2218</v>
      </c>
      <c r="T771" s="167">
        <v>37</v>
      </c>
      <c r="U771" s="167" t="s">
        <v>2219</v>
      </c>
      <c r="V771" s="167" t="s">
        <v>3409</v>
      </c>
      <c r="AB771" s="167" t="s">
        <v>1810</v>
      </c>
      <c r="AC771" s="167">
        <v>347</v>
      </c>
      <c r="AD771" s="203">
        <v>43118</v>
      </c>
      <c r="AE771" s="203">
        <v>43133</v>
      </c>
      <c r="AF771" s="167" t="s">
        <v>3470</v>
      </c>
    </row>
    <row r="772" spans="16:32" x14ac:dyDescent="0.25">
      <c r="P772" s="167" t="s">
        <v>739</v>
      </c>
      <c r="Q772" s="167">
        <v>353</v>
      </c>
      <c r="R772" s="167" t="s">
        <v>3407</v>
      </c>
      <c r="S772" s="167" t="s">
        <v>2218</v>
      </c>
      <c r="T772" s="167">
        <v>6</v>
      </c>
      <c r="U772" s="167" t="s">
        <v>2219</v>
      </c>
      <c r="V772" s="167" t="s">
        <v>3409</v>
      </c>
      <c r="AB772" s="167" t="s">
        <v>1810</v>
      </c>
      <c r="AC772" s="167">
        <v>340</v>
      </c>
      <c r="AD772" s="203">
        <v>43133</v>
      </c>
      <c r="AE772" s="203">
        <v>43168</v>
      </c>
      <c r="AF772" s="167" t="s">
        <v>3470</v>
      </c>
    </row>
    <row r="773" spans="16:32" x14ac:dyDescent="0.25">
      <c r="P773" s="167" t="s">
        <v>739</v>
      </c>
      <c r="Q773" s="167">
        <v>353</v>
      </c>
      <c r="R773" s="167" t="s">
        <v>3407</v>
      </c>
      <c r="S773" s="167" t="s">
        <v>2222</v>
      </c>
      <c r="T773" s="167">
        <v>2</v>
      </c>
      <c r="U773" s="167" t="s">
        <v>2223</v>
      </c>
      <c r="V773" s="167" t="s">
        <v>3409</v>
      </c>
      <c r="AB773" s="167" t="s">
        <v>3475</v>
      </c>
      <c r="AC773" s="167">
        <v>340</v>
      </c>
      <c r="AD773" s="203">
        <v>43133</v>
      </c>
      <c r="AE773" s="203">
        <v>43168</v>
      </c>
      <c r="AF773" s="167" t="s">
        <v>3470</v>
      </c>
    </row>
    <row r="774" spans="16:32" x14ac:dyDescent="0.25">
      <c r="P774" s="167" t="s">
        <v>739</v>
      </c>
      <c r="Q774" s="167">
        <v>353</v>
      </c>
      <c r="R774" s="167" t="s">
        <v>3407</v>
      </c>
      <c r="S774" s="167" t="s">
        <v>2225</v>
      </c>
      <c r="T774" s="167">
        <v>10</v>
      </c>
      <c r="U774" s="167" t="s">
        <v>2226</v>
      </c>
      <c r="V774" s="167" t="s">
        <v>3409</v>
      </c>
      <c r="AB774" s="167" t="s">
        <v>3476</v>
      </c>
      <c r="AC774" s="167">
        <v>327</v>
      </c>
      <c r="AD774" s="203">
        <v>43074</v>
      </c>
      <c r="AE774" s="203">
        <v>43131</v>
      </c>
      <c r="AF774" s="167" t="s">
        <v>3470</v>
      </c>
    </row>
    <row r="775" spans="16:32" x14ac:dyDescent="0.25">
      <c r="P775" s="167" t="s">
        <v>739</v>
      </c>
      <c r="Q775" s="167">
        <v>353</v>
      </c>
      <c r="R775" s="167" t="s">
        <v>3407</v>
      </c>
      <c r="S775" s="167" t="s">
        <v>2225</v>
      </c>
      <c r="T775" s="167">
        <v>12</v>
      </c>
      <c r="U775" s="167" t="s">
        <v>2226</v>
      </c>
      <c r="V775" s="167" t="s">
        <v>3409</v>
      </c>
      <c r="AB775" s="167" t="s">
        <v>3476</v>
      </c>
      <c r="AC775" s="167">
        <v>347</v>
      </c>
      <c r="AD775" s="203">
        <v>43118</v>
      </c>
      <c r="AE775" s="203">
        <v>43133</v>
      </c>
      <c r="AF775" s="167" t="s">
        <v>3470</v>
      </c>
    </row>
    <row r="776" spans="16:32" x14ac:dyDescent="0.25">
      <c r="P776" s="167" t="s">
        <v>739</v>
      </c>
      <c r="Q776" s="167">
        <v>353</v>
      </c>
      <c r="R776" s="167" t="s">
        <v>3407</v>
      </c>
      <c r="S776" s="167" t="s">
        <v>2225</v>
      </c>
      <c r="T776" s="167">
        <v>27</v>
      </c>
      <c r="U776" s="167" t="s">
        <v>2226</v>
      </c>
      <c r="V776" s="167" t="s">
        <v>3409</v>
      </c>
      <c r="AB776" s="167" t="s">
        <v>3476</v>
      </c>
      <c r="AC776" s="167">
        <v>357</v>
      </c>
      <c r="AD776" s="203">
        <v>43139</v>
      </c>
      <c r="AE776" s="203">
        <v>43164</v>
      </c>
      <c r="AF776" s="167" t="s">
        <v>3470</v>
      </c>
    </row>
    <row r="777" spans="16:32" x14ac:dyDescent="0.25">
      <c r="P777" s="167" t="s">
        <v>739</v>
      </c>
      <c r="Q777" s="167">
        <v>353</v>
      </c>
      <c r="R777" s="167" t="s">
        <v>3407</v>
      </c>
      <c r="S777" s="167" t="s">
        <v>2227</v>
      </c>
      <c r="T777" s="167">
        <v>33</v>
      </c>
      <c r="U777" s="167" t="s">
        <v>2228</v>
      </c>
      <c r="V777" s="167" t="s">
        <v>3409</v>
      </c>
      <c r="AB777" s="167" t="s">
        <v>3476</v>
      </c>
      <c r="AC777" s="167">
        <v>364</v>
      </c>
      <c r="AD777" s="203">
        <v>43168</v>
      </c>
      <c r="AE777" s="203">
        <v>43179</v>
      </c>
      <c r="AF777" s="167" t="s">
        <v>3470</v>
      </c>
    </row>
    <row r="778" spans="16:32" x14ac:dyDescent="0.25">
      <c r="P778" s="167" t="s">
        <v>739</v>
      </c>
      <c r="Q778" s="167">
        <v>353</v>
      </c>
      <c r="R778" s="167" t="s">
        <v>3407</v>
      </c>
      <c r="S778" s="167" t="s">
        <v>2227</v>
      </c>
      <c r="T778" s="167">
        <v>21</v>
      </c>
      <c r="U778" s="167" t="s">
        <v>2228</v>
      </c>
      <c r="V778" s="167" t="s">
        <v>3409</v>
      </c>
      <c r="AB778" s="167" t="s">
        <v>1812</v>
      </c>
      <c r="AC778" s="167">
        <v>327</v>
      </c>
      <c r="AD778" s="203">
        <v>43074</v>
      </c>
      <c r="AE778" s="203">
        <v>43131</v>
      </c>
      <c r="AF778" s="167" t="s">
        <v>3470</v>
      </c>
    </row>
    <row r="779" spans="16:32" x14ac:dyDescent="0.25">
      <c r="P779" s="167" t="s">
        <v>739</v>
      </c>
      <c r="Q779" s="167">
        <v>353</v>
      </c>
      <c r="R779" s="167" t="s">
        <v>3407</v>
      </c>
      <c r="S779" s="167" t="s">
        <v>2227</v>
      </c>
      <c r="T779" s="167">
        <v>55</v>
      </c>
      <c r="U779" s="167" t="s">
        <v>2228</v>
      </c>
      <c r="V779" s="167" t="s">
        <v>3409</v>
      </c>
      <c r="AB779" s="167" t="s">
        <v>1812</v>
      </c>
      <c r="AC779" s="167">
        <v>335</v>
      </c>
      <c r="AD779" s="203">
        <v>43133</v>
      </c>
      <c r="AE779" s="203">
        <v>43147</v>
      </c>
      <c r="AF779" s="167" t="s">
        <v>3470</v>
      </c>
    </row>
    <row r="780" spans="16:32" x14ac:dyDescent="0.25">
      <c r="P780" s="167" t="s">
        <v>739</v>
      </c>
      <c r="Q780" s="167">
        <v>353</v>
      </c>
      <c r="R780" s="167" t="s">
        <v>3407</v>
      </c>
      <c r="S780" s="167" t="s">
        <v>2227</v>
      </c>
      <c r="T780" s="167">
        <v>9</v>
      </c>
      <c r="U780" s="167" t="s">
        <v>2228</v>
      </c>
      <c r="V780" s="167" t="s">
        <v>3409</v>
      </c>
      <c r="AB780" s="167" t="s">
        <v>1812</v>
      </c>
      <c r="AC780" s="167">
        <v>357</v>
      </c>
      <c r="AD780" s="203">
        <v>43139</v>
      </c>
      <c r="AE780" s="203">
        <v>43164</v>
      </c>
      <c r="AF780" s="167" t="s">
        <v>3470</v>
      </c>
    </row>
    <row r="781" spans="16:32" x14ac:dyDescent="0.25">
      <c r="P781" s="167" t="s">
        <v>739</v>
      </c>
      <c r="Q781" s="167">
        <v>353</v>
      </c>
      <c r="R781" s="167" t="s">
        <v>3407</v>
      </c>
      <c r="S781" s="167" t="s">
        <v>2231</v>
      </c>
      <c r="T781" s="167">
        <v>6</v>
      </c>
      <c r="U781" s="167" t="s">
        <v>2232</v>
      </c>
      <c r="V781" s="167" t="s">
        <v>3409</v>
      </c>
      <c r="AB781" s="167" t="s">
        <v>1812</v>
      </c>
      <c r="AC781" s="167">
        <v>364</v>
      </c>
      <c r="AD781" s="203">
        <v>43168</v>
      </c>
      <c r="AE781" s="203">
        <v>43179</v>
      </c>
      <c r="AF781" s="167" t="s">
        <v>3470</v>
      </c>
    </row>
    <row r="782" spans="16:32" x14ac:dyDescent="0.25">
      <c r="P782" s="167" t="s">
        <v>739</v>
      </c>
      <c r="Q782" s="167">
        <v>353</v>
      </c>
      <c r="R782" s="167" t="s">
        <v>3407</v>
      </c>
      <c r="S782" s="167" t="s">
        <v>2231</v>
      </c>
      <c r="T782" s="167">
        <v>5</v>
      </c>
      <c r="U782" s="167" t="s">
        <v>2232</v>
      </c>
      <c r="V782" s="167" t="s">
        <v>3409</v>
      </c>
      <c r="AB782" s="167" t="s">
        <v>1812</v>
      </c>
      <c r="AC782" s="167">
        <v>353</v>
      </c>
      <c r="AD782" s="203">
        <v>43180</v>
      </c>
      <c r="AE782" s="203">
        <v>0</v>
      </c>
      <c r="AF782" s="167" t="s">
        <v>3469</v>
      </c>
    </row>
    <row r="783" spans="16:32" x14ac:dyDescent="0.25">
      <c r="P783" s="167" t="s">
        <v>739</v>
      </c>
      <c r="Q783" s="167">
        <v>353</v>
      </c>
      <c r="R783" s="167" t="s">
        <v>3407</v>
      </c>
      <c r="S783" s="167" t="s">
        <v>1053</v>
      </c>
      <c r="T783" s="167">
        <v>4</v>
      </c>
      <c r="U783" s="167" t="s">
        <v>2235</v>
      </c>
      <c r="V783" s="167" t="s">
        <v>3409</v>
      </c>
      <c r="AB783" s="167" t="s">
        <v>1812</v>
      </c>
      <c r="AC783" s="167">
        <v>353</v>
      </c>
      <c r="AD783" s="203">
        <v>43180</v>
      </c>
      <c r="AE783" s="203">
        <v>0</v>
      </c>
      <c r="AF783" s="167" t="s">
        <v>3469</v>
      </c>
    </row>
    <row r="784" spans="16:32" x14ac:dyDescent="0.25">
      <c r="P784" s="167" t="s">
        <v>739</v>
      </c>
      <c r="Q784" s="167">
        <v>353</v>
      </c>
      <c r="R784" s="167" t="s">
        <v>3407</v>
      </c>
      <c r="S784" s="167" t="s">
        <v>1053</v>
      </c>
      <c r="T784" s="167">
        <v>50</v>
      </c>
      <c r="U784" s="167" t="s">
        <v>2235</v>
      </c>
      <c r="V784" s="167" t="s">
        <v>3409</v>
      </c>
      <c r="AB784" s="167" t="s">
        <v>1812</v>
      </c>
      <c r="AC784" s="167">
        <v>353</v>
      </c>
      <c r="AD784" s="203">
        <v>43180</v>
      </c>
      <c r="AE784" s="203">
        <v>0</v>
      </c>
      <c r="AF784" s="167" t="s">
        <v>3469</v>
      </c>
    </row>
    <row r="785" spans="16:32" x14ac:dyDescent="0.25">
      <c r="P785" s="167" t="s">
        <v>739</v>
      </c>
      <c r="Q785" s="167">
        <v>353</v>
      </c>
      <c r="R785" s="167" t="s">
        <v>3407</v>
      </c>
      <c r="S785" s="167" t="s">
        <v>2238</v>
      </c>
      <c r="T785" s="167">
        <v>15</v>
      </c>
      <c r="U785" s="167" t="s">
        <v>2239</v>
      </c>
      <c r="V785" s="167" t="s">
        <v>3409</v>
      </c>
      <c r="AB785" s="167" t="s">
        <v>1814</v>
      </c>
      <c r="AC785" s="167">
        <v>335</v>
      </c>
      <c r="AD785" s="203">
        <v>43133</v>
      </c>
      <c r="AE785" s="203">
        <v>43147</v>
      </c>
      <c r="AF785" s="167" t="s">
        <v>3470</v>
      </c>
    </row>
    <row r="786" spans="16:32" x14ac:dyDescent="0.25">
      <c r="P786" s="167" t="s">
        <v>739</v>
      </c>
      <c r="Q786" s="167">
        <v>353</v>
      </c>
      <c r="R786" s="167" t="s">
        <v>3407</v>
      </c>
      <c r="S786" s="167" t="s">
        <v>2240</v>
      </c>
      <c r="T786" s="167">
        <v>5</v>
      </c>
      <c r="U786" s="167" t="s">
        <v>2241</v>
      </c>
      <c r="V786" s="167" t="s">
        <v>3409</v>
      </c>
      <c r="AB786" s="167" t="s">
        <v>1814</v>
      </c>
      <c r="AC786" s="167">
        <v>340</v>
      </c>
      <c r="AD786" s="203">
        <v>43133</v>
      </c>
      <c r="AE786" s="203">
        <v>43168</v>
      </c>
      <c r="AF786" s="167" t="s">
        <v>3470</v>
      </c>
    </row>
    <row r="787" spans="16:32" x14ac:dyDescent="0.25">
      <c r="P787" s="167" t="s">
        <v>739</v>
      </c>
      <c r="Q787" s="167">
        <v>353</v>
      </c>
      <c r="R787" s="167" t="s">
        <v>3407</v>
      </c>
      <c r="S787" s="167" t="s">
        <v>1055</v>
      </c>
      <c r="T787" s="167">
        <v>672</v>
      </c>
      <c r="U787" s="167" t="s">
        <v>2245</v>
      </c>
      <c r="V787" s="167" t="s">
        <v>3409</v>
      </c>
      <c r="AB787" s="167" t="s">
        <v>1814</v>
      </c>
      <c r="AC787" s="167">
        <v>364</v>
      </c>
      <c r="AD787" s="203">
        <v>43168</v>
      </c>
      <c r="AE787" s="203">
        <v>43179</v>
      </c>
      <c r="AF787" s="167" t="s">
        <v>3470</v>
      </c>
    </row>
    <row r="788" spans="16:32" x14ac:dyDescent="0.25">
      <c r="P788" s="167" t="s">
        <v>739</v>
      </c>
      <c r="Q788" s="167">
        <v>353</v>
      </c>
      <c r="R788" s="167" t="s">
        <v>3407</v>
      </c>
      <c r="S788" s="167" t="s">
        <v>1056</v>
      </c>
      <c r="T788" s="167">
        <v>100</v>
      </c>
      <c r="U788" s="167" t="s">
        <v>2247</v>
      </c>
      <c r="V788" s="167" t="s">
        <v>3409</v>
      </c>
      <c r="AB788" s="167" t="s">
        <v>1814</v>
      </c>
      <c r="AC788" s="167">
        <v>353</v>
      </c>
      <c r="AD788" s="203">
        <v>43180</v>
      </c>
      <c r="AE788" s="203">
        <v>0</v>
      </c>
      <c r="AF788" s="167" t="s">
        <v>3469</v>
      </c>
    </row>
    <row r="789" spans="16:32" x14ac:dyDescent="0.25">
      <c r="P789" s="167" t="s">
        <v>739</v>
      </c>
      <c r="Q789" s="167">
        <v>353</v>
      </c>
      <c r="R789" s="167" t="s">
        <v>3407</v>
      </c>
      <c r="S789" s="167" t="s">
        <v>2249</v>
      </c>
      <c r="T789" s="167">
        <v>8</v>
      </c>
      <c r="U789" s="167" t="s">
        <v>2250</v>
      </c>
      <c r="V789" s="167" t="s">
        <v>3409</v>
      </c>
      <c r="AB789" s="167" t="s">
        <v>1814</v>
      </c>
      <c r="AC789" s="167">
        <v>353</v>
      </c>
      <c r="AD789" s="203">
        <v>43180</v>
      </c>
      <c r="AE789" s="203">
        <v>0</v>
      </c>
      <c r="AF789" s="167" t="s">
        <v>3469</v>
      </c>
    </row>
    <row r="790" spans="16:32" x14ac:dyDescent="0.25">
      <c r="P790" s="167" t="s">
        <v>739</v>
      </c>
      <c r="Q790" s="167">
        <v>353</v>
      </c>
      <c r="R790" s="167" t="s">
        <v>3407</v>
      </c>
      <c r="S790" s="167" t="s">
        <v>2252</v>
      </c>
      <c r="T790" s="167">
        <v>20</v>
      </c>
      <c r="U790" s="167" t="s">
        <v>2253</v>
      </c>
      <c r="V790" s="167" t="s">
        <v>3409</v>
      </c>
      <c r="AB790" s="167" t="s">
        <v>1814</v>
      </c>
      <c r="AC790" s="167">
        <v>353</v>
      </c>
      <c r="AD790" s="203">
        <v>43180</v>
      </c>
      <c r="AE790" s="203">
        <v>0</v>
      </c>
      <c r="AF790" s="167" t="s">
        <v>3469</v>
      </c>
    </row>
    <row r="791" spans="16:32" x14ac:dyDescent="0.25">
      <c r="P791" s="167" t="s">
        <v>739</v>
      </c>
      <c r="Q791" s="167">
        <v>353</v>
      </c>
      <c r="R791" s="167" t="s">
        <v>3407</v>
      </c>
      <c r="S791" s="167" t="s">
        <v>2252</v>
      </c>
      <c r="T791" s="167">
        <v>47</v>
      </c>
      <c r="U791" s="167" t="s">
        <v>2253</v>
      </c>
      <c r="V791" s="167" t="s">
        <v>3409</v>
      </c>
      <c r="AB791" s="167" t="s">
        <v>1816</v>
      </c>
      <c r="AC791" s="167">
        <v>327</v>
      </c>
      <c r="AD791" s="203">
        <v>43074</v>
      </c>
      <c r="AE791" s="203">
        <v>43131</v>
      </c>
      <c r="AF791" s="167" t="s">
        <v>3470</v>
      </c>
    </row>
    <row r="792" spans="16:32" x14ac:dyDescent="0.25">
      <c r="P792" s="167" t="s">
        <v>739</v>
      </c>
      <c r="Q792" s="167">
        <v>353</v>
      </c>
      <c r="R792" s="167" t="s">
        <v>3407</v>
      </c>
      <c r="S792" s="167" t="s">
        <v>2252</v>
      </c>
      <c r="T792" s="167">
        <v>20</v>
      </c>
      <c r="U792" s="167" t="s">
        <v>2253</v>
      </c>
      <c r="V792" s="167" t="s">
        <v>3409</v>
      </c>
      <c r="AB792" s="167" t="s">
        <v>1816</v>
      </c>
      <c r="AC792" s="167">
        <v>327</v>
      </c>
      <c r="AD792" s="203">
        <v>43074</v>
      </c>
      <c r="AE792" s="203">
        <v>43131</v>
      </c>
      <c r="AF792" s="167" t="s">
        <v>3470</v>
      </c>
    </row>
    <row r="793" spans="16:32" x14ac:dyDescent="0.25">
      <c r="P793" s="167" t="s">
        <v>739</v>
      </c>
      <c r="Q793" s="167">
        <v>353</v>
      </c>
      <c r="R793" s="167" t="s">
        <v>3407</v>
      </c>
      <c r="S793" s="167" t="s">
        <v>2252</v>
      </c>
      <c r="T793" s="167">
        <v>50</v>
      </c>
      <c r="U793" s="167" t="s">
        <v>2253</v>
      </c>
      <c r="V793" s="167" t="s">
        <v>3409</v>
      </c>
      <c r="AB793" s="167" t="s">
        <v>1816</v>
      </c>
      <c r="AC793" s="167">
        <v>347</v>
      </c>
      <c r="AD793" s="203">
        <v>43118</v>
      </c>
      <c r="AE793" s="203">
        <v>43133</v>
      </c>
      <c r="AF793" s="167" t="s">
        <v>3470</v>
      </c>
    </row>
    <row r="794" spans="16:32" x14ac:dyDescent="0.25">
      <c r="P794" s="167" t="s">
        <v>739</v>
      </c>
      <c r="Q794" s="167">
        <v>353</v>
      </c>
      <c r="R794" s="167" t="s">
        <v>3407</v>
      </c>
      <c r="S794" s="167" t="s">
        <v>2252</v>
      </c>
      <c r="T794" s="167">
        <v>10</v>
      </c>
      <c r="U794" s="167" t="s">
        <v>2253</v>
      </c>
      <c r="V794" s="167" t="s">
        <v>3409</v>
      </c>
      <c r="AB794" s="167" t="s">
        <v>1816</v>
      </c>
      <c r="AC794" s="167">
        <v>340</v>
      </c>
      <c r="AD794" s="203">
        <v>43133</v>
      </c>
      <c r="AE794" s="203">
        <v>43168</v>
      </c>
      <c r="AF794" s="167" t="s">
        <v>3470</v>
      </c>
    </row>
    <row r="795" spans="16:32" x14ac:dyDescent="0.25">
      <c r="P795" s="167" t="s">
        <v>739</v>
      </c>
      <c r="Q795" s="167">
        <v>353</v>
      </c>
      <c r="R795" s="167" t="s">
        <v>3407</v>
      </c>
      <c r="S795" s="167" t="s">
        <v>2254</v>
      </c>
      <c r="T795" s="167">
        <v>3</v>
      </c>
      <c r="U795" s="167" t="s">
        <v>2255</v>
      </c>
      <c r="V795" s="167" t="s">
        <v>3409</v>
      </c>
      <c r="AB795" s="167" t="s">
        <v>1816</v>
      </c>
      <c r="AC795" s="167">
        <v>357</v>
      </c>
      <c r="AD795" s="203">
        <v>43139</v>
      </c>
      <c r="AE795" s="203">
        <v>43164</v>
      </c>
      <c r="AF795" s="167" t="s">
        <v>3470</v>
      </c>
    </row>
    <row r="796" spans="16:32" x14ac:dyDescent="0.25">
      <c r="P796" s="167" t="s">
        <v>739</v>
      </c>
      <c r="Q796" s="167">
        <v>353</v>
      </c>
      <c r="R796" s="167" t="s">
        <v>3407</v>
      </c>
      <c r="S796" s="167" t="s">
        <v>2256</v>
      </c>
      <c r="T796" s="167">
        <v>2</v>
      </c>
      <c r="U796" s="167" t="s">
        <v>2257</v>
      </c>
      <c r="V796" s="167" t="s">
        <v>3409</v>
      </c>
      <c r="AB796" s="167" t="s">
        <v>1816</v>
      </c>
      <c r="AC796" s="167">
        <v>353</v>
      </c>
      <c r="AD796" s="203">
        <v>43180</v>
      </c>
      <c r="AE796" s="203">
        <v>0</v>
      </c>
      <c r="AF796" s="167" t="s">
        <v>3469</v>
      </c>
    </row>
    <row r="797" spans="16:32" x14ac:dyDescent="0.25">
      <c r="P797" s="167" t="s">
        <v>739</v>
      </c>
      <c r="Q797" s="167">
        <v>353</v>
      </c>
      <c r="R797" s="167" t="s">
        <v>3407</v>
      </c>
      <c r="S797" s="167" t="s">
        <v>1059</v>
      </c>
      <c r="T797" s="167">
        <v>8</v>
      </c>
      <c r="U797" s="167" t="s">
        <v>2262</v>
      </c>
      <c r="V797" s="167" t="s">
        <v>3409</v>
      </c>
      <c r="AB797" s="167" t="s">
        <v>1818</v>
      </c>
      <c r="AC797" s="167">
        <v>327</v>
      </c>
      <c r="AD797" s="203">
        <v>43074</v>
      </c>
      <c r="AE797" s="203">
        <v>43131</v>
      </c>
      <c r="AF797" s="167" t="s">
        <v>3470</v>
      </c>
    </row>
    <row r="798" spans="16:32" x14ac:dyDescent="0.25">
      <c r="P798" s="167" t="s">
        <v>739</v>
      </c>
      <c r="Q798" s="167">
        <v>353</v>
      </c>
      <c r="R798" s="167" t="s">
        <v>3407</v>
      </c>
      <c r="S798" s="167" t="s">
        <v>1059</v>
      </c>
      <c r="T798" s="167">
        <v>15</v>
      </c>
      <c r="U798" s="167" t="s">
        <v>2262</v>
      </c>
      <c r="V798" s="167" t="s">
        <v>3409</v>
      </c>
      <c r="AB798" s="167" t="s">
        <v>1818</v>
      </c>
      <c r="AC798" s="167">
        <v>327</v>
      </c>
      <c r="AD798" s="203">
        <v>43074</v>
      </c>
      <c r="AE798" s="203">
        <v>43131</v>
      </c>
      <c r="AF798" s="167" t="s">
        <v>3470</v>
      </c>
    </row>
    <row r="799" spans="16:32" x14ac:dyDescent="0.25">
      <c r="P799" s="167" t="s">
        <v>739</v>
      </c>
      <c r="Q799" s="167">
        <v>353</v>
      </c>
      <c r="R799" s="167" t="s">
        <v>3407</v>
      </c>
      <c r="S799" s="167" t="s">
        <v>1059</v>
      </c>
      <c r="T799" s="167">
        <v>45</v>
      </c>
      <c r="U799" s="167" t="s">
        <v>2262</v>
      </c>
      <c r="V799" s="167" t="s">
        <v>3409</v>
      </c>
      <c r="AB799" s="167" t="s">
        <v>1818</v>
      </c>
      <c r="AC799" s="167">
        <v>327</v>
      </c>
      <c r="AD799" s="203">
        <v>43074</v>
      </c>
      <c r="AE799" s="203">
        <v>43131</v>
      </c>
      <c r="AF799" s="167" t="s">
        <v>3470</v>
      </c>
    </row>
    <row r="800" spans="16:32" x14ac:dyDescent="0.25">
      <c r="P800" s="167" t="s">
        <v>739</v>
      </c>
      <c r="Q800" s="167">
        <v>353</v>
      </c>
      <c r="R800" s="167" t="s">
        <v>3407</v>
      </c>
      <c r="S800" s="167" t="s">
        <v>1059</v>
      </c>
      <c r="T800" s="167">
        <v>9</v>
      </c>
      <c r="U800" s="167" t="s">
        <v>2262</v>
      </c>
      <c r="V800" s="167" t="s">
        <v>3409</v>
      </c>
      <c r="AB800" s="167" t="s">
        <v>1818</v>
      </c>
      <c r="AC800" s="167">
        <v>327</v>
      </c>
      <c r="AD800" s="203">
        <v>43074</v>
      </c>
      <c r="AE800" s="203">
        <v>43131</v>
      </c>
      <c r="AF800" s="167" t="s">
        <v>3470</v>
      </c>
    </row>
    <row r="801" spans="16:32" x14ac:dyDescent="0.25">
      <c r="P801" s="167" t="s">
        <v>739</v>
      </c>
      <c r="Q801" s="167">
        <v>353</v>
      </c>
      <c r="R801" s="167" t="s">
        <v>3407</v>
      </c>
      <c r="S801" s="167" t="s">
        <v>2263</v>
      </c>
      <c r="T801" s="167">
        <v>10</v>
      </c>
      <c r="U801" s="167" t="s">
        <v>2264</v>
      </c>
      <c r="V801" s="167" t="s">
        <v>3409</v>
      </c>
      <c r="AB801" s="167" t="s">
        <v>1818</v>
      </c>
      <c r="AC801" s="167">
        <v>347</v>
      </c>
      <c r="AD801" s="203">
        <v>43118</v>
      </c>
      <c r="AE801" s="203">
        <v>43133</v>
      </c>
      <c r="AF801" s="167" t="s">
        <v>3470</v>
      </c>
    </row>
    <row r="802" spans="16:32" x14ac:dyDescent="0.25">
      <c r="P802" s="167" t="s">
        <v>739</v>
      </c>
      <c r="Q802" s="167">
        <v>353</v>
      </c>
      <c r="R802" s="167" t="s">
        <v>3407</v>
      </c>
      <c r="S802" s="167" t="s">
        <v>2263</v>
      </c>
      <c r="T802" s="167">
        <v>27</v>
      </c>
      <c r="U802" s="167" t="s">
        <v>2264</v>
      </c>
      <c r="V802" s="167" t="s">
        <v>3409</v>
      </c>
      <c r="AB802" s="167" t="s">
        <v>1818</v>
      </c>
      <c r="AC802" s="167">
        <v>340</v>
      </c>
      <c r="AD802" s="203">
        <v>43133</v>
      </c>
      <c r="AE802" s="203">
        <v>43168</v>
      </c>
      <c r="AF802" s="167" t="s">
        <v>3470</v>
      </c>
    </row>
    <row r="803" spans="16:32" x14ac:dyDescent="0.25">
      <c r="P803" s="167" t="s">
        <v>739</v>
      </c>
      <c r="Q803" s="167">
        <v>353</v>
      </c>
      <c r="R803" s="167" t="s">
        <v>3407</v>
      </c>
      <c r="S803" s="167" t="s">
        <v>2263</v>
      </c>
      <c r="T803" s="167">
        <v>40</v>
      </c>
      <c r="U803" s="167" t="s">
        <v>2264</v>
      </c>
      <c r="V803" s="167" t="s">
        <v>3409</v>
      </c>
      <c r="AB803" s="167" t="s">
        <v>1818</v>
      </c>
      <c r="AC803" s="167">
        <v>340</v>
      </c>
      <c r="AD803" s="203">
        <v>43133</v>
      </c>
      <c r="AE803" s="203">
        <v>43168</v>
      </c>
      <c r="AF803" s="167" t="s">
        <v>3470</v>
      </c>
    </row>
    <row r="804" spans="16:32" x14ac:dyDescent="0.25">
      <c r="P804" s="167" t="s">
        <v>739</v>
      </c>
      <c r="Q804" s="167">
        <v>353</v>
      </c>
      <c r="R804" s="167" t="s">
        <v>3407</v>
      </c>
      <c r="S804" s="167" t="s">
        <v>2263</v>
      </c>
      <c r="T804" s="167">
        <v>60</v>
      </c>
      <c r="U804" s="167" t="s">
        <v>2264</v>
      </c>
      <c r="V804" s="167" t="s">
        <v>3409</v>
      </c>
      <c r="AB804" s="167" t="s">
        <v>1818</v>
      </c>
      <c r="AC804" s="167">
        <v>374</v>
      </c>
      <c r="AD804" s="203">
        <v>43195</v>
      </c>
      <c r="AE804" s="203">
        <v>0</v>
      </c>
      <c r="AF804" s="167" t="s">
        <v>3469</v>
      </c>
    </row>
    <row r="805" spans="16:32" x14ac:dyDescent="0.25">
      <c r="P805" s="167" t="s">
        <v>739</v>
      </c>
      <c r="Q805" s="167">
        <v>353</v>
      </c>
      <c r="R805" s="167" t="s">
        <v>3407</v>
      </c>
      <c r="S805" s="167" t="s">
        <v>2263</v>
      </c>
      <c r="T805" s="167">
        <v>20</v>
      </c>
      <c r="U805" s="167" t="s">
        <v>2264</v>
      </c>
      <c r="V805" s="167" t="s">
        <v>3409</v>
      </c>
      <c r="AB805" s="167" t="s">
        <v>1819</v>
      </c>
      <c r="AC805" s="167">
        <v>353</v>
      </c>
      <c r="AD805" s="203">
        <v>43180</v>
      </c>
      <c r="AE805" s="203">
        <v>0</v>
      </c>
      <c r="AF805" s="167" t="s">
        <v>3469</v>
      </c>
    </row>
    <row r="806" spans="16:32" x14ac:dyDescent="0.25">
      <c r="P806" s="167" t="s">
        <v>739</v>
      </c>
      <c r="Q806" s="167">
        <v>353</v>
      </c>
      <c r="R806" s="167" t="s">
        <v>3407</v>
      </c>
      <c r="S806" s="167" t="s">
        <v>2265</v>
      </c>
      <c r="T806" s="167">
        <v>1</v>
      </c>
      <c r="U806" s="167" t="s">
        <v>2266</v>
      </c>
      <c r="V806" s="167" t="s">
        <v>3409</v>
      </c>
      <c r="AB806" s="167" t="s">
        <v>1819</v>
      </c>
      <c r="AC806" s="167">
        <v>374</v>
      </c>
      <c r="AD806" s="203">
        <v>43195</v>
      </c>
      <c r="AE806" s="203">
        <v>0</v>
      </c>
      <c r="AF806" s="167" t="s">
        <v>3469</v>
      </c>
    </row>
    <row r="807" spans="16:32" x14ac:dyDescent="0.25">
      <c r="P807" s="167" t="s">
        <v>739</v>
      </c>
      <c r="Q807" s="167">
        <v>353</v>
      </c>
      <c r="R807" s="167" t="s">
        <v>3407</v>
      </c>
      <c r="S807" s="167" t="s">
        <v>2265</v>
      </c>
      <c r="T807" s="167">
        <v>1</v>
      </c>
      <c r="U807" s="167" t="s">
        <v>2266</v>
      </c>
      <c r="V807" s="167" t="s">
        <v>3409</v>
      </c>
      <c r="AB807" s="167" t="s">
        <v>1820</v>
      </c>
      <c r="AC807" s="167">
        <v>323</v>
      </c>
      <c r="AD807" s="203">
        <v>43074</v>
      </c>
      <c r="AE807" s="203">
        <v>43111</v>
      </c>
      <c r="AF807" s="167" t="s">
        <v>3470</v>
      </c>
    </row>
    <row r="808" spans="16:32" x14ac:dyDescent="0.25">
      <c r="P808" s="167" t="s">
        <v>739</v>
      </c>
      <c r="Q808" s="167">
        <v>353</v>
      </c>
      <c r="R808" s="167" t="s">
        <v>3407</v>
      </c>
      <c r="S808" s="167" t="s">
        <v>2270</v>
      </c>
      <c r="T808" s="167">
        <v>208</v>
      </c>
      <c r="U808" s="167" t="s">
        <v>2271</v>
      </c>
      <c r="V808" s="167" t="s">
        <v>3409</v>
      </c>
      <c r="AB808" s="167" t="s">
        <v>1820</v>
      </c>
      <c r="AC808" s="167">
        <v>327</v>
      </c>
      <c r="AD808" s="203">
        <v>43074</v>
      </c>
      <c r="AE808" s="203">
        <v>43131</v>
      </c>
      <c r="AF808" s="167" t="s">
        <v>3470</v>
      </c>
    </row>
    <row r="809" spans="16:32" x14ac:dyDescent="0.25">
      <c r="P809" s="167" t="s">
        <v>739</v>
      </c>
      <c r="Q809" s="167">
        <v>353</v>
      </c>
      <c r="R809" s="167" t="s">
        <v>3407</v>
      </c>
      <c r="S809" s="167" t="s">
        <v>2272</v>
      </c>
      <c r="T809" s="167">
        <v>5</v>
      </c>
      <c r="U809" s="167" t="s">
        <v>2273</v>
      </c>
      <c r="V809" s="167" t="s">
        <v>3409</v>
      </c>
      <c r="AB809" s="167" t="s">
        <v>1820</v>
      </c>
      <c r="AC809" s="167">
        <v>347</v>
      </c>
      <c r="AD809" s="203">
        <v>43118</v>
      </c>
      <c r="AE809" s="203">
        <v>43133</v>
      </c>
      <c r="AF809" s="167" t="s">
        <v>3470</v>
      </c>
    </row>
    <row r="810" spans="16:32" x14ac:dyDescent="0.25">
      <c r="P810" s="167" t="s">
        <v>739</v>
      </c>
      <c r="Q810" s="167">
        <v>353</v>
      </c>
      <c r="R810" s="167" t="s">
        <v>3407</v>
      </c>
      <c r="S810" s="167" t="s">
        <v>2272</v>
      </c>
      <c r="T810" s="167">
        <v>8</v>
      </c>
      <c r="U810" s="167" t="s">
        <v>2273</v>
      </c>
      <c r="V810" s="167" t="s">
        <v>3409</v>
      </c>
      <c r="AB810" s="167" t="s">
        <v>1820</v>
      </c>
      <c r="AC810" s="167">
        <v>340</v>
      </c>
      <c r="AD810" s="203">
        <v>43133</v>
      </c>
      <c r="AE810" s="203">
        <v>43168</v>
      </c>
      <c r="AF810" s="167" t="s">
        <v>3470</v>
      </c>
    </row>
    <row r="811" spans="16:32" x14ac:dyDescent="0.25">
      <c r="P811" s="167" t="s">
        <v>739</v>
      </c>
      <c r="Q811" s="167">
        <v>353</v>
      </c>
      <c r="R811" s="167" t="s">
        <v>3407</v>
      </c>
      <c r="S811" s="167" t="s">
        <v>2272</v>
      </c>
      <c r="T811" s="167">
        <v>12</v>
      </c>
      <c r="U811" s="167" t="s">
        <v>2273</v>
      </c>
      <c r="V811" s="167" t="s">
        <v>3409</v>
      </c>
      <c r="AB811" s="167" t="s">
        <v>1820</v>
      </c>
      <c r="AC811" s="167">
        <v>340</v>
      </c>
      <c r="AD811" s="203">
        <v>43133</v>
      </c>
      <c r="AE811" s="203">
        <v>43168</v>
      </c>
      <c r="AF811" s="167" t="s">
        <v>3470</v>
      </c>
    </row>
    <row r="812" spans="16:32" x14ac:dyDescent="0.25">
      <c r="P812" s="167" t="s">
        <v>739</v>
      </c>
      <c r="Q812" s="167">
        <v>353</v>
      </c>
      <c r="R812" s="167" t="s">
        <v>3407</v>
      </c>
      <c r="S812" s="167" t="s">
        <v>2274</v>
      </c>
      <c r="T812" s="167">
        <v>3</v>
      </c>
      <c r="U812" s="167" t="s">
        <v>2275</v>
      </c>
      <c r="V812" s="167" t="s">
        <v>3409</v>
      </c>
      <c r="AB812" s="167" t="s">
        <v>1820</v>
      </c>
      <c r="AC812" s="167">
        <v>364</v>
      </c>
      <c r="AD812" s="203">
        <v>43168</v>
      </c>
      <c r="AE812" s="203">
        <v>43179</v>
      </c>
      <c r="AF812" s="167" t="s">
        <v>3470</v>
      </c>
    </row>
    <row r="813" spans="16:32" x14ac:dyDescent="0.25">
      <c r="P813" s="167" t="s">
        <v>739</v>
      </c>
      <c r="Q813" s="167">
        <v>353</v>
      </c>
      <c r="R813" s="167" t="s">
        <v>3407</v>
      </c>
      <c r="S813" s="167" t="s">
        <v>2274</v>
      </c>
      <c r="T813" s="167">
        <v>7</v>
      </c>
      <c r="U813" s="167" t="s">
        <v>2275</v>
      </c>
      <c r="V813" s="167" t="s">
        <v>3409</v>
      </c>
      <c r="AB813" s="167" t="s">
        <v>1820</v>
      </c>
      <c r="AC813" s="167">
        <v>353</v>
      </c>
      <c r="AD813" s="203">
        <v>43180</v>
      </c>
      <c r="AE813" s="203">
        <v>0</v>
      </c>
      <c r="AF813" s="167" t="s">
        <v>3469</v>
      </c>
    </row>
    <row r="814" spans="16:32" x14ac:dyDescent="0.25">
      <c r="P814" s="167" t="s">
        <v>739</v>
      </c>
      <c r="Q814" s="167">
        <v>353</v>
      </c>
      <c r="R814" s="167" t="s">
        <v>3407</v>
      </c>
      <c r="S814" s="167" t="s">
        <v>2276</v>
      </c>
      <c r="T814" s="167">
        <v>21</v>
      </c>
      <c r="U814" s="167" t="s">
        <v>2277</v>
      </c>
      <c r="V814" s="167" t="s">
        <v>3409</v>
      </c>
      <c r="AB814" s="167" t="s">
        <v>1820</v>
      </c>
      <c r="AC814" s="167">
        <v>353</v>
      </c>
      <c r="AD814" s="203">
        <v>43180</v>
      </c>
      <c r="AE814" s="203">
        <v>0</v>
      </c>
      <c r="AF814" s="167" t="s">
        <v>3469</v>
      </c>
    </row>
    <row r="815" spans="16:32" x14ac:dyDescent="0.25">
      <c r="P815" s="167" t="s">
        <v>739</v>
      </c>
      <c r="Q815" s="167">
        <v>353</v>
      </c>
      <c r="R815" s="167" t="s">
        <v>3407</v>
      </c>
      <c r="S815" s="167" t="s">
        <v>2276</v>
      </c>
      <c r="T815" s="167">
        <v>7</v>
      </c>
      <c r="U815" s="167" t="s">
        <v>2277</v>
      </c>
      <c r="V815" s="167" t="s">
        <v>3409</v>
      </c>
      <c r="AB815" s="167" t="s">
        <v>1821</v>
      </c>
      <c r="AC815" s="167">
        <v>327</v>
      </c>
      <c r="AD815" s="203">
        <v>43074</v>
      </c>
      <c r="AE815" s="203">
        <v>43131</v>
      </c>
      <c r="AF815" s="167" t="s">
        <v>3470</v>
      </c>
    </row>
    <row r="816" spans="16:32" x14ac:dyDescent="0.25">
      <c r="P816" s="167" t="s">
        <v>739</v>
      </c>
      <c r="Q816" s="167">
        <v>353</v>
      </c>
      <c r="R816" s="167" t="s">
        <v>3407</v>
      </c>
      <c r="S816" s="167" t="s">
        <v>2278</v>
      </c>
      <c r="T816" s="167">
        <v>2</v>
      </c>
      <c r="U816" s="167" t="s">
        <v>2279</v>
      </c>
      <c r="V816" s="167" t="s">
        <v>3409</v>
      </c>
      <c r="AB816" s="167" t="s">
        <v>1822</v>
      </c>
      <c r="AC816" s="167">
        <v>347</v>
      </c>
      <c r="AD816" s="203">
        <v>43118</v>
      </c>
      <c r="AE816" s="203">
        <v>43133</v>
      </c>
      <c r="AF816" s="167" t="s">
        <v>3470</v>
      </c>
    </row>
    <row r="817" spans="16:32" x14ac:dyDescent="0.25">
      <c r="P817" s="167" t="s">
        <v>739</v>
      </c>
      <c r="Q817" s="167">
        <v>353</v>
      </c>
      <c r="R817" s="167" t="s">
        <v>3407</v>
      </c>
      <c r="S817" s="167" t="s">
        <v>2280</v>
      </c>
      <c r="T817" s="167">
        <v>5</v>
      </c>
      <c r="U817" s="167" t="s">
        <v>2281</v>
      </c>
      <c r="V817" s="167" t="s">
        <v>3409</v>
      </c>
      <c r="AB817" s="167" t="s">
        <v>1822</v>
      </c>
      <c r="AC817" s="167">
        <v>340</v>
      </c>
      <c r="AD817" s="203">
        <v>43133</v>
      </c>
      <c r="AE817" s="203">
        <v>43168</v>
      </c>
      <c r="AF817" s="167" t="s">
        <v>3470</v>
      </c>
    </row>
    <row r="818" spans="16:32" x14ac:dyDescent="0.25">
      <c r="P818" s="167" t="s">
        <v>739</v>
      </c>
      <c r="Q818" s="167">
        <v>353</v>
      </c>
      <c r="R818" s="167" t="s">
        <v>3407</v>
      </c>
      <c r="S818" s="167" t="s">
        <v>2283</v>
      </c>
      <c r="T818" s="167">
        <v>6</v>
      </c>
      <c r="U818" s="167" t="s">
        <v>2284</v>
      </c>
      <c r="V818" s="167" t="s">
        <v>3409</v>
      </c>
      <c r="AB818" s="167" t="s">
        <v>1823</v>
      </c>
      <c r="AC818" s="167">
        <v>323</v>
      </c>
      <c r="AD818" s="203">
        <v>43074</v>
      </c>
      <c r="AE818" s="203">
        <v>43111</v>
      </c>
      <c r="AF818" s="167" t="s">
        <v>3470</v>
      </c>
    </row>
    <row r="819" spans="16:32" x14ac:dyDescent="0.25">
      <c r="P819" s="167" t="s">
        <v>739</v>
      </c>
      <c r="Q819" s="167">
        <v>353</v>
      </c>
      <c r="R819" s="167" t="s">
        <v>3407</v>
      </c>
      <c r="S819" s="167" t="s">
        <v>2283</v>
      </c>
      <c r="T819" s="167">
        <v>50</v>
      </c>
      <c r="U819" s="167" t="s">
        <v>2284</v>
      </c>
      <c r="V819" s="167" t="s">
        <v>3409</v>
      </c>
      <c r="AB819" s="167" t="s">
        <v>1825</v>
      </c>
      <c r="AC819" s="167">
        <v>323</v>
      </c>
      <c r="AD819" s="203">
        <v>43074</v>
      </c>
      <c r="AE819" s="203">
        <v>43111</v>
      </c>
      <c r="AF819" s="167" t="s">
        <v>3470</v>
      </c>
    </row>
    <row r="820" spans="16:32" x14ac:dyDescent="0.25">
      <c r="P820" s="167" t="s">
        <v>739</v>
      </c>
      <c r="Q820" s="167">
        <v>353</v>
      </c>
      <c r="R820" s="167" t="s">
        <v>3407</v>
      </c>
      <c r="S820" s="167" t="s">
        <v>2283</v>
      </c>
      <c r="T820" s="167">
        <v>12</v>
      </c>
      <c r="U820" s="167" t="s">
        <v>2284</v>
      </c>
      <c r="V820" s="167" t="s">
        <v>3409</v>
      </c>
      <c r="AB820" s="167" t="s">
        <v>1825</v>
      </c>
      <c r="AC820" s="167">
        <v>353</v>
      </c>
      <c r="AD820" s="203">
        <v>43180</v>
      </c>
      <c r="AE820" s="203">
        <v>0</v>
      </c>
      <c r="AF820" s="167" t="s">
        <v>3469</v>
      </c>
    </row>
    <row r="821" spans="16:32" x14ac:dyDescent="0.25">
      <c r="P821" s="167" t="s">
        <v>739</v>
      </c>
      <c r="Q821" s="167">
        <v>353</v>
      </c>
      <c r="R821" s="167" t="s">
        <v>3407</v>
      </c>
      <c r="S821" s="167" t="s">
        <v>2285</v>
      </c>
      <c r="T821" s="167">
        <v>25</v>
      </c>
      <c r="U821" s="167" t="s">
        <v>2286</v>
      </c>
      <c r="V821" s="167" t="s">
        <v>3409</v>
      </c>
      <c r="AB821" s="167" t="s">
        <v>1827</v>
      </c>
      <c r="AC821" s="167">
        <v>323</v>
      </c>
      <c r="AD821" s="203">
        <v>43074</v>
      </c>
      <c r="AE821" s="203">
        <v>43111</v>
      </c>
      <c r="AF821" s="167" t="s">
        <v>3470</v>
      </c>
    </row>
    <row r="822" spans="16:32" x14ac:dyDescent="0.25">
      <c r="P822" s="167" t="s">
        <v>739</v>
      </c>
      <c r="Q822" s="167">
        <v>353</v>
      </c>
      <c r="R822" s="167" t="s">
        <v>3407</v>
      </c>
      <c r="S822" s="167" t="s">
        <v>2285</v>
      </c>
      <c r="T822" s="167">
        <v>5</v>
      </c>
      <c r="U822" s="167" t="s">
        <v>2286</v>
      </c>
      <c r="V822" s="167" t="s">
        <v>3409</v>
      </c>
      <c r="AB822" s="167" t="s">
        <v>1827</v>
      </c>
      <c r="AC822" s="167">
        <v>347</v>
      </c>
      <c r="AD822" s="203">
        <v>43118</v>
      </c>
      <c r="AE822" s="203">
        <v>43133</v>
      </c>
      <c r="AF822" s="167" t="s">
        <v>3470</v>
      </c>
    </row>
    <row r="823" spans="16:32" x14ac:dyDescent="0.25">
      <c r="P823" s="167" t="s">
        <v>739</v>
      </c>
      <c r="Q823" s="167">
        <v>353</v>
      </c>
      <c r="R823" s="167" t="s">
        <v>3407</v>
      </c>
      <c r="S823" s="167" t="s">
        <v>2285</v>
      </c>
      <c r="T823" s="167">
        <v>6</v>
      </c>
      <c r="U823" s="167" t="s">
        <v>2286</v>
      </c>
      <c r="V823" s="167" t="s">
        <v>3409</v>
      </c>
      <c r="AB823" s="167" t="s">
        <v>1827</v>
      </c>
      <c r="AC823" s="167">
        <v>340</v>
      </c>
      <c r="AD823" s="203">
        <v>43133</v>
      </c>
      <c r="AE823" s="203">
        <v>43168</v>
      </c>
      <c r="AF823" s="167" t="s">
        <v>3470</v>
      </c>
    </row>
    <row r="824" spans="16:32" x14ac:dyDescent="0.25">
      <c r="P824" s="167" t="s">
        <v>739</v>
      </c>
      <c r="Q824" s="167">
        <v>353</v>
      </c>
      <c r="R824" s="167" t="s">
        <v>3407</v>
      </c>
      <c r="S824" s="167" t="s">
        <v>2287</v>
      </c>
      <c r="T824" s="167">
        <v>20</v>
      </c>
      <c r="U824" s="167" t="s">
        <v>2288</v>
      </c>
      <c r="V824" s="167" t="s">
        <v>3409</v>
      </c>
      <c r="AB824" s="167" t="s">
        <v>1827</v>
      </c>
      <c r="AC824" s="167">
        <v>357</v>
      </c>
      <c r="AD824" s="203">
        <v>43139</v>
      </c>
      <c r="AE824" s="203">
        <v>43164</v>
      </c>
      <c r="AF824" s="167" t="s">
        <v>3470</v>
      </c>
    </row>
    <row r="825" spans="16:32" x14ac:dyDescent="0.25">
      <c r="P825" s="167" t="s">
        <v>739</v>
      </c>
      <c r="Q825" s="167">
        <v>353</v>
      </c>
      <c r="R825" s="167" t="s">
        <v>3407</v>
      </c>
      <c r="S825" s="167" t="s">
        <v>2287</v>
      </c>
      <c r="T825" s="167">
        <v>3</v>
      </c>
      <c r="U825" s="167" t="s">
        <v>2288</v>
      </c>
      <c r="V825" s="167" t="s">
        <v>3409</v>
      </c>
      <c r="AB825" s="167" t="s">
        <v>1827</v>
      </c>
      <c r="AC825" s="167">
        <v>353</v>
      </c>
      <c r="AD825" s="203">
        <v>43180</v>
      </c>
      <c r="AE825" s="203">
        <v>0</v>
      </c>
      <c r="AF825" s="167" t="s">
        <v>3469</v>
      </c>
    </row>
    <row r="826" spans="16:32" x14ac:dyDescent="0.25">
      <c r="P826" s="167" t="s">
        <v>739</v>
      </c>
      <c r="Q826" s="167">
        <v>353</v>
      </c>
      <c r="R826" s="167" t="s">
        <v>3407</v>
      </c>
      <c r="S826" s="167" t="s">
        <v>2287</v>
      </c>
      <c r="T826" s="167">
        <v>6</v>
      </c>
      <c r="U826" s="167" t="s">
        <v>2288</v>
      </c>
      <c r="V826" s="167" t="s">
        <v>3409</v>
      </c>
      <c r="AB826" s="167" t="s">
        <v>1827</v>
      </c>
      <c r="AC826" s="167">
        <v>353</v>
      </c>
      <c r="AD826" s="203">
        <v>43180</v>
      </c>
      <c r="AE826" s="203">
        <v>0</v>
      </c>
      <c r="AF826" s="167" t="s">
        <v>3469</v>
      </c>
    </row>
    <row r="827" spans="16:32" x14ac:dyDescent="0.25">
      <c r="P827" s="167" t="s">
        <v>739</v>
      </c>
      <c r="Q827" s="167">
        <v>353</v>
      </c>
      <c r="R827" s="167" t="s">
        <v>3407</v>
      </c>
      <c r="S827" s="167" t="s">
        <v>1060</v>
      </c>
      <c r="T827" s="167">
        <v>70</v>
      </c>
      <c r="U827" s="167" t="s">
        <v>2289</v>
      </c>
      <c r="V827" s="167" t="s">
        <v>3409</v>
      </c>
      <c r="AB827" s="167" t="s">
        <v>1829</v>
      </c>
      <c r="AC827" s="167">
        <v>357</v>
      </c>
      <c r="AD827" s="203">
        <v>43139</v>
      </c>
      <c r="AE827" s="203">
        <v>43164</v>
      </c>
      <c r="AF827" s="167" t="s">
        <v>3470</v>
      </c>
    </row>
    <row r="828" spans="16:32" x14ac:dyDescent="0.25">
      <c r="P828" s="167" t="s">
        <v>739</v>
      </c>
      <c r="Q828" s="167">
        <v>353</v>
      </c>
      <c r="R828" s="167" t="s">
        <v>3407</v>
      </c>
      <c r="S828" s="167" t="s">
        <v>1060</v>
      </c>
      <c r="T828" s="167">
        <v>26</v>
      </c>
      <c r="U828" s="167" t="s">
        <v>2289</v>
      </c>
      <c r="V828" s="167" t="s">
        <v>3409</v>
      </c>
      <c r="AB828" s="167" t="s">
        <v>1829</v>
      </c>
      <c r="AC828" s="167">
        <v>364</v>
      </c>
      <c r="AD828" s="203">
        <v>43168</v>
      </c>
      <c r="AE828" s="203">
        <v>43179</v>
      </c>
      <c r="AF828" s="167" t="s">
        <v>3470</v>
      </c>
    </row>
    <row r="829" spans="16:32" x14ac:dyDescent="0.25">
      <c r="P829" s="167" t="s">
        <v>739</v>
      </c>
      <c r="Q829" s="167">
        <v>353</v>
      </c>
      <c r="R829" s="167" t="s">
        <v>3407</v>
      </c>
      <c r="S829" s="167" t="s">
        <v>1060</v>
      </c>
      <c r="T829" s="167">
        <v>72</v>
      </c>
      <c r="U829" s="167" t="s">
        <v>2289</v>
      </c>
      <c r="V829" s="167" t="s">
        <v>3409</v>
      </c>
      <c r="AB829" s="167" t="s">
        <v>1829</v>
      </c>
      <c r="AC829" s="167">
        <v>353</v>
      </c>
      <c r="AD829" s="203">
        <v>43180</v>
      </c>
      <c r="AE829" s="203">
        <v>0</v>
      </c>
      <c r="AF829" s="167" t="s">
        <v>3469</v>
      </c>
    </row>
    <row r="830" spans="16:32" x14ac:dyDescent="0.25">
      <c r="P830" s="167" t="s">
        <v>739</v>
      </c>
      <c r="Q830" s="167">
        <v>353</v>
      </c>
      <c r="R830" s="167" t="s">
        <v>3407</v>
      </c>
      <c r="S830" s="167" t="s">
        <v>1060</v>
      </c>
      <c r="T830" s="167">
        <v>9</v>
      </c>
      <c r="U830" s="167" t="s">
        <v>2289</v>
      </c>
      <c r="V830" s="167" t="s">
        <v>3409</v>
      </c>
      <c r="AB830" s="167" t="s">
        <v>1829</v>
      </c>
      <c r="AC830" s="167">
        <v>353</v>
      </c>
      <c r="AD830" s="203">
        <v>43180</v>
      </c>
      <c r="AE830" s="203">
        <v>0</v>
      </c>
      <c r="AF830" s="167" t="s">
        <v>3469</v>
      </c>
    </row>
    <row r="831" spans="16:32" x14ac:dyDescent="0.25">
      <c r="P831" s="167" t="s">
        <v>739</v>
      </c>
      <c r="Q831" s="167">
        <v>353</v>
      </c>
      <c r="R831" s="167" t="s">
        <v>3407</v>
      </c>
      <c r="S831" s="167" t="s">
        <v>2290</v>
      </c>
      <c r="T831" s="167">
        <v>4</v>
      </c>
      <c r="U831" s="167" t="s">
        <v>2291</v>
      </c>
      <c r="V831" s="167" t="s">
        <v>3409</v>
      </c>
      <c r="AB831" s="167" t="s">
        <v>3451</v>
      </c>
      <c r="AC831" s="167">
        <v>347</v>
      </c>
      <c r="AD831" s="203">
        <v>43118</v>
      </c>
      <c r="AE831" s="203">
        <v>43133</v>
      </c>
      <c r="AF831" s="167" t="s">
        <v>3470</v>
      </c>
    </row>
    <row r="832" spans="16:32" x14ac:dyDescent="0.25">
      <c r="P832" s="167" t="s">
        <v>739</v>
      </c>
      <c r="Q832" s="167">
        <v>353</v>
      </c>
      <c r="R832" s="167" t="s">
        <v>3407</v>
      </c>
      <c r="S832" s="167" t="s">
        <v>1061</v>
      </c>
      <c r="T832" s="167">
        <v>72</v>
      </c>
      <c r="U832" s="167" t="s">
        <v>2292</v>
      </c>
      <c r="V832" s="167" t="s">
        <v>3409</v>
      </c>
      <c r="AB832" s="167" t="s">
        <v>3451</v>
      </c>
      <c r="AC832" s="167">
        <v>340</v>
      </c>
      <c r="AD832" s="203">
        <v>43133</v>
      </c>
      <c r="AE832" s="203">
        <v>43168</v>
      </c>
      <c r="AF832" s="167" t="s">
        <v>3470</v>
      </c>
    </row>
    <row r="833" spans="16:32" x14ac:dyDescent="0.25">
      <c r="P833" s="167" t="s">
        <v>739</v>
      </c>
      <c r="Q833" s="167">
        <v>353</v>
      </c>
      <c r="R833" s="167" t="s">
        <v>3407</v>
      </c>
      <c r="S833" s="167" t="s">
        <v>1062</v>
      </c>
      <c r="T833" s="167">
        <v>24</v>
      </c>
      <c r="U833" s="167" t="s">
        <v>2293</v>
      </c>
      <c r="V833" s="167" t="s">
        <v>3409</v>
      </c>
      <c r="AB833" s="167" t="s">
        <v>3451</v>
      </c>
      <c r="AC833" s="167">
        <v>340</v>
      </c>
      <c r="AD833" s="203">
        <v>43133</v>
      </c>
      <c r="AE833" s="203">
        <v>43168</v>
      </c>
      <c r="AF833" s="167" t="s">
        <v>3470</v>
      </c>
    </row>
    <row r="834" spans="16:32" x14ac:dyDescent="0.25">
      <c r="P834" s="167" t="s">
        <v>739</v>
      </c>
      <c r="Q834" s="167">
        <v>353</v>
      </c>
      <c r="R834" s="167" t="s">
        <v>3407</v>
      </c>
      <c r="S834" s="167" t="s">
        <v>1062</v>
      </c>
      <c r="T834" s="167">
        <v>40</v>
      </c>
      <c r="U834" s="167" t="s">
        <v>2293</v>
      </c>
      <c r="V834" s="167" t="s">
        <v>3409</v>
      </c>
      <c r="AB834" s="167" t="s">
        <v>3451</v>
      </c>
      <c r="AC834" s="167">
        <v>374</v>
      </c>
      <c r="AD834" s="203">
        <v>43195</v>
      </c>
      <c r="AE834" s="203">
        <v>0</v>
      </c>
      <c r="AF834" s="167" t="s">
        <v>3469</v>
      </c>
    </row>
    <row r="835" spans="16:32" x14ac:dyDescent="0.25">
      <c r="P835" s="167" t="s">
        <v>739</v>
      </c>
      <c r="Q835" s="167">
        <v>353</v>
      </c>
      <c r="R835" s="167" t="s">
        <v>3407</v>
      </c>
      <c r="S835" s="167" t="s">
        <v>1062</v>
      </c>
      <c r="T835" s="167">
        <v>16</v>
      </c>
      <c r="U835" s="167" t="s">
        <v>2293</v>
      </c>
      <c r="V835" s="167" t="s">
        <v>3409</v>
      </c>
      <c r="AB835" s="167" t="s">
        <v>1831</v>
      </c>
      <c r="AC835" s="167">
        <v>323</v>
      </c>
      <c r="AD835" s="203">
        <v>43074</v>
      </c>
      <c r="AE835" s="203">
        <v>43111</v>
      </c>
      <c r="AF835" s="167" t="s">
        <v>3470</v>
      </c>
    </row>
    <row r="836" spans="16:32" x14ac:dyDescent="0.25">
      <c r="P836" s="167" t="s">
        <v>739</v>
      </c>
      <c r="Q836" s="167">
        <v>353</v>
      </c>
      <c r="R836" s="167" t="s">
        <v>3407</v>
      </c>
      <c r="S836" s="167" t="s">
        <v>1062</v>
      </c>
      <c r="T836" s="167">
        <v>6</v>
      </c>
      <c r="U836" s="167" t="s">
        <v>2293</v>
      </c>
      <c r="V836" s="167" t="s">
        <v>3409</v>
      </c>
      <c r="AB836" s="167" t="s">
        <v>1831</v>
      </c>
      <c r="AC836" s="167">
        <v>340</v>
      </c>
      <c r="AD836" s="203">
        <v>43133</v>
      </c>
      <c r="AE836" s="203">
        <v>43168</v>
      </c>
      <c r="AF836" s="167" t="s">
        <v>3470</v>
      </c>
    </row>
    <row r="837" spans="16:32" x14ac:dyDescent="0.25">
      <c r="P837" s="167" t="s">
        <v>739</v>
      </c>
      <c r="Q837" s="167">
        <v>353</v>
      </c>
      <c r="R837" s="167" t="s">
        <v>3407</v>
      </c>
      <c r="S837" s="167" t="s">
        <v>2294</v>
      </c>
      <c r="T837" s="167">
        <v>18</v>
      </c>
      <c r="U837" s="167" t="s">
        <v>2295</v>
      </c>
      <c r="V837" s="167" t="s">
        <v>3409</v>
      </c>
      <c r="AB837" s="167" t="s">
        <v>1831</v>
      </c>
      <c r="AC837" s="167">
        <v>357</v>
      </c>
      <c r="AD837" s="203">
        <v>43139</v>
      </c>
      <c r="AE837" s="203">
        <v>43164</v>
      </c>
      <c r="AF837" s="167" t="s">
        <v>3470</v>
      </c>
    </row>
    <row r="838" spans="16:32" x14ac:dyDescent="0.25">
      <c r="P838" s="167" t="s">
        <v>739</v>
      </c>
      <c r="Q838" s="167">
        <v>353</v>
      </c>
      <c r="R838" s="167" t="s">
        <v>3407</v>
      </c>
      <c r="S838" s="167" t="s">
        <v>2296</v>
      </c>
      <c r="T838" s="167">
        <v>8</v>
      </c>
      <c r="U838" s="167" t="s">
        <v>2297</v>
      </c>
      <c r="V838" s="167" t="s">
        <v>3409</v>
      </c>
      <c r="AB838" s="167" t="s">
        <v>1831</v>
      </c>
      <c r="AC838" s="167">
        <v>353</v>
      </c>
      <c r="AD838" s="203">
        <v>43180</v>
      </c>
      <c r="AE838" s="203">
        <v>0</v>
      </c>
      <c r="AF838" s="167" t="s">
        <v>3469</v>
      </c>
    </row>
    <row r="839" spans="16:32" x14ac:dyDescent="0.25">
      <c r="P839" s="167" t="s">
        <v>739</v>
      </c>
      <c r="Q839" s="167">
        <v>353</v>
      </c>
      <c r="R839" s="167" t="s">
        <v>3407</v>
      </c>
      <c r="S839" s="167" t="s">
        <v>2298</v>
      </c>
      <c r="T839" s="167">
        <v>3</v>
      </c>
      <c r="U839" s="167" t="s">
        <v>2299</v>
      </c>
      <c r="V839" s="167" t="s">
        <v>3409</v>
      </c>
      <c r="AB839" s="167" t="s">
        <v>1832</v>
      </c>
      <c r="AC839" s="167">
        <v>323</v>
      </c>
      <c r="AD839" s="203">
        <v>43074</v>
      </c>
      <c r="AE839" s="203">
        <v>43111</v>
      </c>
      <c r="AF839" s="167" t="s">
        <v>3470</v>
      </c>
    </row>
    <row r="840" spans="16:32" x14ac:dyDescent="0.25">
      <c r="P840" s="167" t="s">
        <v>739</v>
      </c>
      <c r="Q840" s="167">
        <v>353</v>
      </c>
      <c r="R840" s="167" t="s">
        <v>3407</v>
      </c>
      <c r="S840" s="167" t="s">
        <v>2300</v>
      </c>
      <c r="T840" s="167">
        <v>6</v>
      </c>
      <c r="U840" s="167" t="s">
        <v>2301</v>
      </c>
      <c r="V840" s="167" t="s">
        <v>3409</v>
      </c>
      <c r="AB840" s="167" t="s">
        <v>1833</v>
      </c>
      <c r="AC840" s="167">
        <v>327</v>
      </c>
      <c r="AD840" s="203">
        <v>43074</v>
      </c>
      <c r="AE840" s="203">
        <v>43131</v>
      </c>
      <c r="AF840" s="167" t="s">
        <v>3470</v>
      </c>
    </row>
    <row r="841" spans="16:32" x14ac:dyDescent="0.25">
      <c r="P841" s="167" t="s">
        <v>739</v>
      </c>
      <c r="Q841" s="167">
        <v>353</v>
      </c>
      <c r="R841" s="167" t="s">
        <v>3407</v>
      </c>
      <c r="S841" s="167" t="s">
        <v>2300</v>
      </c>
      <c r="T841" s="167">
        <v>2</v>
      </c>
      <c r="U841" s="167" t="s">
        <v>2301</v>
      </c>
      <c r="V841" s="167" t="s">
        <v>3409</v>
      </c>
      <c r="AB841" s="167" t="s">
        <v>1833</v>
      </c>
      <c r="AC841" s="167">
        <v>327</v>
      </c>
      <c r="AD841" s="203">
        <v>43074</v>
      </c>
      <c r="AE841" s="203">
        <v>43131</v>
      </c>
      <c r="AF841" s="167" t="s">
        <v>3470</v>
      </c>
    </row>
    <row r="842" spans="16:32" x14ac:dyDescent="0.25">
      <c r="P842" s="167" t="s">
        <v>739</v>
      </c>
      <c r="Q842" s="167">
        <v>353</v>
      </c>
      <c r="R842" s="167" t="s">
        <v>3407</v>
      </c>
      <c r="S842" s="167" t="s">
        <v>2300</v>
      </c>
      <c r="T842" s="167">
        <v>6</v>
      </c>
      <c r="U842" s="167" t="s">
        <v>2301</v>
      </c>
      <c r="V842" s="167" t="s">
        <v>3409</v>
      </c>
      <c r="AB842" s="167" t="s">
        <v>1833</v>
      </c>
      <c r="AC842" s="167">
        <v>327</v>
      </c>
      <c r="AD842" s="203">
        <v>43074</v>
      </c>
      <c r="AE842" s="203">
        <v>43131</v>
      </c>
      <c r="AF842" s="167" t="s">
        <v>3470</v>
      </c>
    </row>
    <row r="843" spans="16:32" x14ac:dyDescent="0.25">
      <c r="P843" s="167" t="s">
        <v>739</v>
      </c>
      <c r="Q843" s="167">
        <v>353</v>
      </c>
      <c r="R843" s="167" t="s">
        <v>3407</v>
      </c>
      <c r="S843" s="167" t="s">
        <v>2300</v>
      </c>
      <c r="T843" s="167">
        <v>3</v>
      </c>
      <c r="U843" s="167" t="s">
        <v>2301</v>
      </c>
      <c r="V843" s="167" t="s">
        <v>3409</v>
      </c>
      <c r="AB843" s="167" t="s">
        <v>1833</v>
      </c>
      <c r="AC843" s="167">
        <v>347</v>
      </c>
      <c r="AD843" s="203">
        <v>43118</v>
      </c>
      <c r="AE843" s="203">
        <v>43133</v>
      </c>
      <c r="AF843" s="167" t="s">
        <v>3470</v>
      </c>
    </row>
    <row r="844" spans="16:32" x14ac:dyDescent="0.25">
      <c r="P844" s="167" t="s">
        <v>739</v>
      </c>
      <c r="Q844" s="167">
        <v>353</v>
      </c>
      <c r="R844" s="167" t="s">
        <v>3407</v>
      </c>
      <c r="S844" s="167" t="s">
        <v>2300</v>
      </c>
      <c r="T844" s="167">
        <v>1</v>
      </c>
      <c r="U844" s="167" t="s">
        <v>2301</v>
      </c>
      <c r="V844" s="167" t="s">
        <v>3409</v>
      </c>
      <c r="AB844" s="167" t="s">
        <v>1834</v>
      </c>
      <c r="AC844" s="167">
        <v>323</v>
      </c>
      <c r="AD844" s="203">
        <v>43074</v>
      </c>
      <c r="AE844" s="203">
        <v>43111</v>
      </c>
      <c r="AF844" s="167" t="s">
        <v>3470</v>
      </c>
    </row>
    <row r="845" spans="16:32" x14ac:dyDescent="0.25">
      <c r="P845" s="167" t="s">
        <v>739</v>
      </c>
      <c r="Q845" s="167">
        <v>353</v>
      </c>
      <c r="R845" s="167" t="s">
        <v>3407</v>
      </c>
      <c r="S845" s="167" t="s">
        <v>2300</v>
      </c>
      <c r="T845" s="167">
        <v>3</v>
      </c>
      <c r="U845" s="167" t="s">
        <v>2301</v>
      </c>
      <c r="V845" s="167" t="s">
        <v>3409</v>
      </c>
      <c r="AB845" s="167" t="s">
        <v>1836</v>
      </c>
      <c r="AC845" s="167">
        <v>347</v>
      </c>
      <c r="AD845" s="203">
        <v>43118</v>
      </c>
      <c r="AE845" s="203">
        <v>43133</v>
      </c>
      <c r="AF845" s="167" t="s">
        <v>3470</v>
      </c>
    </row>
    <row r="846" spans="16:32" x14ac:dyDescent="0.25">
      <c r="P846" s="167" t="s">
        <v>739</v>
      </c>
      <c r="Q846" s="167">
        <v>353</v>
      </c>
      <c r="R846" s="167" t="s">
        <v>3407</v>
      </c>
      <c r="S846" s="167" t="s">
        <v>1063</v>
      </c>
      <c r="T846" s="167">
        <v>6</v>
      </c>
      <c r="U846" s="167" t="s">
        <v>2304</v>
      </c>
      <c r="V846" s="167" t="s">
        <v>3409</v>
      </c>
      <c r="AB846" s="167" t="s">
        <v>1836</v>
      </c>
      <c r="AC846" s="167">
        <v>340</v>
      </c>
      <c r="AD846" s="203">
        <v>43133</v>
      </c>
      <c r="AE846" s="203">
        <v>43168</v>
      </c>
      <c r="AF846" s="167" t="s">
        <v>3470</v>
      </c>
    </row>
    <row r="847" spans="16:32" x14ac:dyDescent="0.25">
      <c r="P847" s="167" t="s">
        <v>739</v>
      </c>
      <c r="Q847" s="167">
        <v>353</v>
      </c>
      <c r="R847" s="167" t="s">
        <v>3407</v>
      </c>
      <c r="S847" s="167" t="s">
        <v>1063</v>
      </c>
      <c r="T847" s="167">
        <v>20</v>
      </c>
      <c r="U847" s="167" t="s">
        <v>2304</v>
      </c>
      <c r="V847" s="167" t="s">
        <v>3409</v>
      </c>
      <c r="AB847" s="167" t="s">
        <v>1836</v>
      </c>
      <c r="AC847" s="167">
        <v>340</v>
      </c>
      <c r="AD847" s="203">
        <v>43133</v>
      </c>
      <c r="AE847" s="203">
        <v>43168</v>
      </c>
      <c r="AF847" s="167" t="s">
        <v>3470</v>
      </c>
    </row>
    <row r="848" spans="16:32" x14ac:dyDescent="0.25">
      <c r="P848" s="167" t="s">
        <v>739</v>
      </c>
      <c r="Q848" s="167">
        <v>353</v>
      </c>
      <c r="R848" s="167" t="s">
        <v>3407</v>
      </c>
      <c r="S848" s="167" t="s">
        <v>1063</v>
      </c>
      <c r="T848" s="167">
        <v>4</v>
      </c>
      <c r="U848" s="167" t="s">
        <v>2304</v>
      </c>
      <c r="V848" s="167" t="s">
        <v>3409</v>
      </c>
      <c r="AB848" s="167" t="s">
        <v>1836</v>
      </c>
      <c r="AC848" s="167">
        <v>357</v>
      </c>
      <c r="AD848" s="203">
        <v>43139</v>
      </c>
      <c r="AE848" s="203">
        <v>43164</v>
      </c>
      <c r="AF848" s="167" t="s">
        <v>3470</v>
      </c>
    </row>
    <row r="849" spans="16:32" x14ac:dyDescent="0.25">
      <c r="P849" s="167" t="s">
        <v>739</v>
      </c>
      <c r="Q849" s="167">
        <v>353</v>
      </c>
      <c r="R849" s="167" t="s">
        <v>3407</v>
      </c>
      <c r="S849" s="167" t="s">
        <v>2305</v>
      </c>
      <c r="T849" s="167">
        <v>19</v>
      </c>
      <c r="U849" s="167" t="s">
        <v>2306</v>
      </c>
      <c r="V849" s="167" t="s">
        <v>3409</v>
      </c>
      <c r="AB849" s="167" t="s">
        <v>1836</v>
      </c>
      <c r="AC849" s="167">
        <v>364</v>
      </c>
      <c r="AD849" s="203">
        <v>43168</v>
      </c>
      <c r="AE849" s="203">
        <v>43179</v>
      </c>
      <c r="AF849" s="167" t="s">
        <v>3470</v>
      </c>
    </row>
    <row r="850" spans="16:32" x14ac:dyDescent="0.25">
      <c r="P850" s="167" t="s">
        <v>739</v>
      </c>
      <c r="Q850" s="167">
        <v>353</v>
      </c>
      <c r="R850" s="167" t="s">
        <v>3407</v>
      </c>
      <c r="S850" s="167" t="s">
        <v>2305</v>
      </c>
      <c r="T850" s="167">
        <v>10</v>
      </c>
      <c r="U850" s="167" t="s">
        <v>2306</v>
      </c>
      <c r="V850" s="167" t="s">
        <v>3409</v>
      </c>
      <c r="AB850" s="167" t="s">
        <v>1836</v>
      </c>
      <c r="AC850" s="167">
        <v>353</v>
      </c>
      <c r="AD850" s="203">
        <v>43180</v>
      </c>
      <c r="AE850" s="203">
        <v>0</v>
      </c>
      <c r="AF850" s="167" t="s">
        <v>3469</v>
      </c>
    </row>
    <row r="851" spans="16:32" x14ac:dyDescent="0.25">
      <c r="P851" s="167" t="s">
        <v>739</v>
      </c>
      <c r="Q851" s="167">
        <v>353</v>
      </c>
      <c r="R851" s="167" t="s">
        <v>3407</v>
      </c>
      <c r="S851" s="167" t="s">
        <v>2305</v>
      </c>
      <c r="T851" s="167">
        <v>30</v>
      </c>
      <c r="U851" s="167" t="s">
        <v>2306</v>
      </c>
      <c r="V851" s="167" t="s">
        <v>3409</v>
      </c>
      <c r="AB851" s="167" t="s">
        <v>1836</v>
      </c>
      <c r="AC851" s="167">
        <v>353</v>
      </c>
      <c r="AD851" s="203">
        <v>43180</v>
      </c>
      <c r="AE851" s="203">
        <v>0</v>
      </c>
      <c r="AF851" s="167" t="s">
        <v>3469</v>
      </c>
    </row>
    <row r="852" spans="16:32" x14ac:dyDescent="0.25">
      <c r="P852" s="167" t="s">
        <v>739</v>
      </c>
      <c r="Q852" s="167">
        <v>353</v>
      </c>
      <c r="R852" s="167" t="s">
        <v>3407</v>
      </c>
      <c r="S852" s="167" t="s">
        <v>2308</v>
      </c>
      <c r="T852" s="167">
        <v>3</v>
      </c>
      <c r="U852" s="167" t="s">
        <v>2309</v>
      </c>
      <c r="V852" s="167" t="s">
        <v>3409</v>
      </c>
      <c r="AB852" s="167" t="s">
        <v>1836</v>
      </c>
      <c r="AC852" s="167">
        <v>353</v>
      </c>
      <c r="AD852" s="203">
        <v>43180</v>
      </c>
      <c r="AE852" s="203">
        <v>0</v>
      </c>
      <c r="AF852" s="167" t="s">
        <v>3469</v>
      </c>
    </row>
    <row r="853" spans="16:32" x14ac:dyDescent="0.25">
      <c r="P853" s="167" t="s">
        <v>739</v>
      </c>
      <c r="Q853" s="167">
        <v>353</v>
      </c>
      <c r="R853" s="167" t="s">
        <v>3407</v>
      </c>
      <c r="S853" s="167" t="s">
        <v>2308</v>
      </c>
      <c r="T853" s="167">
        <v>3</v>
      </c>
      <c r="U853" s="167" t="s">
        <v>2309</v>
      </c>
      <c r="V853" s="167" t="s">
        <v>3409</v>
      </c>
      <c r="AB853" s="167" t="s">
        <v>1836</v>
      </c>
      <c r="AC853" s="167">
        <v>353</v>
      </c>
      <c r="AD853" s="203">
        <v>43180</v>
      </c>
      <c r="AE853" s="203">
        <v>0</v>
      </c>
      <c r="AF853" s="167" t="s">
        <v>3469</v>
      </c>
    </row>
    <row r="854" spans="16:32" x14ac:dyDescent="0.25">
      <c r="P854" s="167" t="s">
        <v>739</v>
      </c>
      <c r="Q854" s="167">
        <v>353</v>
      </c>
      <c r="R854" s="167" t="s">
        <v>3407</v>
      </c>
      <c r="S854" s="167" t="s">
        <v>2310</v>
      </c>
      <c r="T854" s="167">
        <v>8</v>
      </c>
      <c r="U854" s="167" t="s">
        <v>2311</v>
      </c>
      <c r="V854" s="167" t="s">
        <v>3409</v>
      </c>
      <c r="AB854" s="167" t="s">
        <v>1838</v>
      </c>
      <c r="AC854" s="167">
        <v>347</v>
      </c>
      <c r="AD854" s="203">
        <v>43118</v>
      </c>
      <c r="AE854" s="203">
        <v>43133</v>
      </c>
      <c r="AF854" s="167" t="s">
        <v>3470</v>
      </c>
    </row>
    <row r="855" spans="16:32" x14ac:dyDescent="0.25">
      <c r="P855" s="167" t="s">
        <v>739</v>
      </c>
      <c r="Q855" s="167">
        <v>353</v>
      </c>
      <c r="R855" s="167" t="s">
        <v>3407</v>
      </c>
      <c r="S855" s="167" t="s">
        <v>2312</v>
      </c>
      <c r="T855" s="167">
        <v>2</v>
      </c>
      <c r="U855" s="167" t="s">
        <v>2313</v>
      </c>
      <c r="V855" s="167" t="s">
        <v>3409</v>
      </c>
      <c r="AB855" s="167" t="s">
        <v>1838</v>
      </c>
      <c r="AC855" s="167">
        <v>340</v>
      </c>
      <c r="AD855" s="203">
        <v>43133</v>
      </c>
      <c r="AE855" s="203">
        <v>43168</v>
      </c>
      <c r="AF855" s="167" t="s">
        <v>3470</v>
      </c>
    </row>
    <row r="856" spans="16:32" x14ac:dyDescent="0.25">
      <c r="P856" s="167" t="s">
        <v>739</v>
      </c>
      <c r="Q856" s="167">
        <v>353</v>
      </c>
      <c r="R856" s="167" t="s">
        <v>3407</v>
      </c>
      <c r="S856" s="167" t="s">
        <v>2312</v>
      </c>
      <c r="T856" s="167">
        <v>8</v>
      </c>
      <c r="U856" s="167" t="s">
        <v>2313</v>
      </c>
      <c r="V856" s="167" t="s">
        <v>3409</v>
      </c>
      <c r="AB856" s="167" t="s">
        <v>1838</v>
      </c>
      <c r="AC856" s="167">
        <v>364</v>
      </c>
      <c r="AD856" s="203">
        <v>43168</v>
      </c>
      <c r="AE856" s="203">
        <v>43179</v>
      </c>
      <c r="AF856" s="167" t="s">
        <v>3470</v>
      </c>
    </row>
    <row r="857" spans="16:32" x14ac:dyDescent="0.25">
      <c r="P857" s="167" t="s">
        <v>739</v>
      </c>
      <c r="Q857" s="167">
        <v>353</v>
      </c>
      <c r="R857" s="167" t="s">
        <v>3407</v>
      </c>
      <c r="S857" s="167" t="s">
        <v>2312</v>
      </c>
      <c r="T857" s="167">
        <v>2</v>
      </c>
      <c r="U857" s="167" t="s">
        <v>2313</v>
      </c>
      <c r="V857" s="167" t="s">
        <v>3409</v>
      </c>
      <c r="AB857" s="167" t="s">
        <v>1838</v>
      </c>
      <c r="AC857" s="167">
        <v>353</v>
      </c>
      <c r="AD857" s="203">
        <v>43180</v>
      </c>
      <c r="AE857" s="203">
        <v>0</v>
      </c>
      <c r="AF857" s="167" t="s">
        <v>3469</v>
      </c>
    </row>
    <row r="858" spans="16:32" x14ac:dyDescent="0.25">
      <c r="P858" s="167" t="s">
        <v>739</v>
      </c>
      <c r="Q858" s="167">
        <v>353</v>
      </c>
      <c r="R858" s="167" t="s">
        <v>3407</v>
      </c>
      <c r="S858" s="167" t="s">
        <v>2312</v>
      </c>
      <c r="T858" s="167">
        <v>4</v>
      </c>
      <c r="U858" s="167" t="s">
        <v>2313</v>
      </c>
      <c r="V858" s="167" t="s">
        <v>3409</v>
      </c>
      <c r="AB858" s="167" t="s">
        <v>1838</v>
      </c>
      <c r="AC858" s="167">
        <v>353</v>
      </c>
      <c r="AD858" s="203">
        <v>43180</v>
      </c>
      <c r="AE858" s="203">
        <v>0</v>
      </c>
      <c r="AF858" s="167" t="s">
        <v>3469</v>
      </c>
    </row>
    <row r="859" spans="16:32" x14ac:dyDescent="0.25">
      <c r="P859" s="167" t="s">
        <v>739</v>
      </c>
      <c r="Q859" s="167">
        <v>353</v>
      </c>
      <c r="R859" s="167" t="s">
        <v>3407</v>
      </c>
      <c r="S859" s="167" t="s">
        <v>2312</v>
      </c>
      <c r="T859" s="167">
        <v>1</v>
      </c>
      <c r="U859" s="167" t="s">
        <v>2313</v>
      </c>
      <c r="V859" s="167" t="s">
        <v>3409</v>
      </c>
      <c r="AB859" s="167" t="s">
        <v>1838</v>
      </c>
      <c r="AC859" s="167">
        <v>353</v>
      </c>
      <c r="AD859" s="203">
        <v>43180</v>
      </c>
      <c r="AE859" s="203">
        <v>0</v>
      </c>
      <c r="AF859" s="167" t="s">
        <v>3469</v>
      </c>
    </row>
    <row r="860" spans="16:32" x14ac:dyDescent="0.25">
      <c r="P860" s="167" t="s">
        <v>739</v>
      </c>
      <c r="Q860" s="167">
        <v>353</v>
      </c>
      <c r="R860" s="167" t="s">
        <v>3407</v>
      </c>
      <c r="S860" s="167" t="s">
        <v>2314</v>
      </c>
      <c r="T860" s="167">
        <v>10</v>
      </c>
      <c r="U860" s="167" t="s">
        <v>2315</v>
      </c>
      <c r="V860" s="167" t="s">
        <v>3409</v>
      </c>
      <c r="AB860" s="167" t="s">
        <v>1838</v>
      </c>
      <c r="AC860" s="167">
        <v>353</v>
      </c>
      <c r="AD860" s="203">
        <v>43180</v>
      </c>
      <c r="AE860" s="203">
        <v>0</v>
      </c>
      <c r="AF860" s="167" t="s">
        <v>3469</v>
      </c>
    </row>
    <row r="861" spans="16:32" x14ac:dyDescent="0.25">
      <c r="P861" s="167" t="s">
        <v>739</v>
      </c>
      <c r="Q861" s="167">
        <v>353</v>
      </c>
      <c r="R861" s="167" t="s">
        <v>3407</v>
      </c>
      <c r="S861" s="167" t="s">
        <v>2314</v>
      </c>
      <c r="T861" s="167">
        <v>3</v>
      </c>
      <c r="U861" s="167" t="s">
        <v>2315</v>
      </c>
      <c r="V861" s="167" t="s">
        <v>3409</v>
      </c>
      <c r="AB861" s="167" t="s">
        <v>1840</v>
      </c>
      <c r="AC861" s="167">
        <v>323</v>
      </c>
      <c r="AD861" s="203">
        <v>43074</v>
      </c>
      <c r="AE861" s="203">
        <v>43111</v>
      </c>
      <c r="AF861" s="167" t="s">
        <v>3470</v>
      </c>
    </row>
    <row r="862" spans="16:32" x14ac:dyDescent="0.25">
      <c r="P862" s="167" t="s">
        <v>739</v>
      </c>
      <c r="Q862" s="167">
        <v>353</v>
      </c>
      <c r="R862" s="167" t="s">
        <v>3407</v>
      </c>
      <c r="S862" s="167" t="s">
        <v>2314</v>
      </c>
      <c r="T862" s="167">
        <v>1</v>
      </c>
      <c r="U862" s="167" t="s">
        <v>2315</v>
      </c>
      <c r="V862" s="167" t="s">
        <v>3409</v>
      </c>
      <c r="AB862" s="167" t="s">
        <v>1840</v>
      </c>
      <c r="AC862" s="167">
        <v>335</v>
      </c>
      <c r="AD862" s="203">
        <v>43133</v>
      </c>
      <c r="AE862" s="203">
        <v>43147</v>
      </c>
      <c r="AF862" s="167" t="s">
        <v>3470</v>
      </c>
    </row>
    <row r="863" spans="16:32" x14ac:dyDescent="0.25">
      <c r="P863" s="167" t="s">
        <v>739</v>
      </c>
      <c r="Q863" s="167">
        <v>353</v>
      </c>
      <c r="R863" s="167" t="s">
        <v>3407</v>
      </c>
      <c r="S863" s="167" t="s">
        <v>2316</v>
      </c>
      <c r="T863" s="167">
        <v>40</v>
      </c>
      <c r="U863" s="167" t="s">
        <v>2317</v>
      </c>
      <c r="V863" s="167" t="s">
        <v>3409</v>
      </c>
      <c r="AB863" s="167" t="s">
        <v>1840</v>
      </c>
      <c r="AC863" s="167">
        <v>357</v>
      </c>
      <c r="AD863" s="203">
        <v>43139</v>
      </c>
      <c r="AE863" s="203">
        <v>43164</v>
      </c>
      <c r="AF863" s="167" t="s">
        <v>3470</v>
      </c>
    </row>
    <row r="864" spans="16:32" x14ac:dyDescent="0.25">
      <c r="P864" s="167" t="s">
        <v>739</v>
      </c>
      <c r="Q864" s="167">
        <v>353</v>
      </c>
      <c r="R864" s="167" t="s">
        <v>3407</v>
      </c>
      <c r="S864" s="167" t="s">
        <v>2318</v>
      </c>
      <c r="T864" s="167">
        <v>47</v>
      </c>
      <c r="U864" s="167" t="s">
        <v>2319</v>
      </c>
      <c r="V864" s="167" t="s">
        <v>3409</v>
      </c>
      <c r="AB864" s="167" t="s">
        <v>1840</v>
      </c>
      <c r="AC864" s="167">
        <v>364</v>
      </c>
      <c r="AD864" s="203">
        <v>43168</v>
      </c>
      <c r="AE864" s="203">
        <v>43179</v>
      </c>
      <c r="AF864" s="167" t="s">
        <v>3470</v>
      </c>
    </row>
    <row r="865" spans="16:32" x14ac:dyDescent="0.25">
      <c r="P865" s="167" t="s">
        <v>739</v>
      </c>
      <c r="Q865" s="167">
        <v>353</v>
      </c>
      <c r="R865" s="167" t="s">
        <v>3407</v>
      </c>
      <c r="S865" s="167" t="s">
        <v>2318</v>
      </c>
      <c r="T865" s="167">
        <v>28</v>
      </c>
      <c r="U865" s="167" t="s">
        <v>2319</v>
      </c>
      <c r="V865" s="167" t="s">
        <v>3409</v>
      </c>
      <c r="AB865" s="167" t="s">
        <v>1840</v>
      </c>
      <c r="AC865" s="167">
        <v>353</v>
      </c>
      <c r="AD865" s="203">
        <v>43180</v>
      </c>
      <c r="AE865" s="203">
        <v>0</v>
      </c>
      <c r="AF865" s="167" t="s">
        <v>3469</v>
      </c>
    </row>
    <row r="866" spans="16:32" x14ac:dyDescent="0.25">
      <c r="P866" s="167" t="s">
        <v>739</v>
      </c>
      <c r="Q866" s="167">
        <v>353</v>
      </c>
      <c r="R866" s="167" t="s">
        <v>3407</v>
      </c>
      <c r="S866" s="167" t="s">
        <v>2320</v>
      </c>
      <c r="T866" s="167">
        <v>7</v>
      </c>
      <c r="U866" s="167" t="s">
        <v>2321</v>
      </c>
      <c r="V866" s="167" t="s">
        <v>3409</v>
      </c>
      <c r="AB866" s="167" t="s">
        <v>1840</v>
      </c>
      <c r="AC866" s="167">
        <v>353</v>
      </c>
      <c r="AD866" s="203">
        <v>43180</v>
      </c>
      <c r="AE866" s="203">
        <v>0</v>
      </c>
      <c r="AF866" s="167" t="s">
        <v>3469</v>
      </c>
    </row>
    <row r="867" spans="16:32" x14ac:dyDescent="0.25">
      <c r="P867" s="167" t="s">
        <v>739</v>
      </c>
      <c r="Q867" s="167">
        <v>353</v>
      </c>
      <c r="R867" s="167" t="s">
        <v>3407</v>
      </c>
      <c r="S867" s="167" t="s">
        <v>2320</v>
      </c>
      <c r="T867" s="167">
        <v>14</v>
      </c>
      <c r="U867" s="167" t="s">
        <v>2321</v>
      </c>
      <c r="V867" s="167" t="s">
        <v>3409</v>
      </c>
      <c r="AB867" s="167" t="s">
        <v>1840</v>
      </c>
      <c r="AC867" s="167">
        <v>353</v>
      </c>
      <c r="AD867" s="203">
        <v>43180</v>
      </c>
      <c r="AE867" s="203">
        <v>0</v>
      </c>
      <c r="AF867" s="167" t="s">
        <v>3469</v>
      </c>
    </row>
    <row r="868" spans="16:32" x14ac:dyDescent="0.25">
      <c r="P868" s="167" t="s">
        <v>739</v>
      </c>
      <c r="Q868" s="167">
        <v>353</v>
      </c>
      <c r="R868" s="167" t="s">
        <v>3407</v>
      </c>
      <c r="S868" s="167" t="s">
        <v>2320</v>
      </c>
      <c r="T868" s="167">
        <v>40</v>
      </c>
      <c r="U868" s="167" t="s">
        <v>2321</v>
      </c>
      <c r="V868" s="167" t="s">
        <v>3409</v>
      </c>
      <c r="AB868" s="167" t="s">
        <v>1840</v>
      </c>
      <c r="AC868" s="167">
        <v>353</v>
      </c>
      <c r="AD868" s="203">
        <v>43180</v>
      </c>
      <c r="AE868" s="203">
        <v>0</v>
      </c>
      <c r="AF868" s="167" t="s">
        <v>3469</v>
      </c>
    </row>
    <row r="869" spans="16:32" x14ac:dyDescent="0.25">
      <c r="P869" s="167" t="s">
        <v>739</v>
      </c>
      <c r="Q869" s="167">
        <v>353</v>
      </c>
      <c r="R869" s="167" t="s">
        <v>3407</v>
      </c>
      <c r="S869" s="167" t="s">
        <v>2320</v>
      </c>
      <c r="T869" s="167">
        <v>12</v>
      </c>
      <c r="U869" s="167" t="s">
        <v>2321</v>
      </c>
      <c r="V869" s="167" t="s">
        <v>3409</v>
      </c>
      <c r="AB869" s="167" t="s">
        <v>1840</v>
      </c>
      <c r="AC869" s="167">
        <v>353</v>
      </c>
      <c r="AD869" s="203">
        <v>43180</v>
      </c>
      <c r="AE869" s="203">
        <v>0</v>
      </c>
      <c r="AF869" s="167" t="s">
        <v>3469</v>
      </c>
    </row>
    <row r="870" spans="16:32" x14ac:dyDescent="0.25">
      <c r="P870" s="167" t="s">
        <v>739</v>
      </c>
      <c r="Q870" s="167">
        <v>353</v>
      </c>
      <c r="R870" s="167" t="s">
        <v>3407</v>
      </c>
      <c r="S870" s="167" t="s">
        <v>2324</v>
      </c>
      <c r="T870" s="167">
        <v>5</v>
      </c>
      <c r="U870" s="167" t="s">
        <v>2325</v>
      </c>
      <c r="V870" s="167" t="s">
        <v>3409</v>
      </c>
      <c r="AB870" s="167" t="s">
        <v>1841</v>
      </c>
      <c r="AC870" s="167">
        <v>327</v>
      </c>
      <c r="AD870" s="203">
        <v>43074</v>
      </c>
      <c r="AE870" s="203">
        <v>43131</v>
      </c>
      <c r="AF870" s="167" t="s">
        <v>3470</v>
      </c>
    </row>
    <row r="871" spans="16:32" x14ac:dyDescent="0.25">
      <c r="P871" s="167" t="s">
        <v>739</v>
      </c>
      <c r="Q871" s="167">
        <v>353</v>
      </c>
      <c r="R871" s="167" t="s">
        <v>3407</v>
      </c>
      <c r="S871" s="167" t="s">
        <v>2326</v>
      </c>
      <c r="T871" s="167">
        <v>5</v>
      </c>
      <c r="U871" s="167" t="s">
        <v>2327</v>
      </c>
      <c r="V871" s="167" t="s">
        <v>3409</v>
      </c>
      <c r="AB871" s="167" t="s">
        <v>1842</v>
      </c>
      <c r="AC871" s="167">
        <v>323</v>
      </c>
      <c r="AD871" s="203">
        <v>43074</v>
      </c>
      <c r="AE871" s="203">
        <v>43111</v>
      </c>
      <c r="AF871" s="167" t="s">
        <v>3470</v>
      </c>
    </row>
    <row r="872" spans="16:32" x14ac:dyDescent="0.25">
      <c r="P872" s="167" t="s">
        <v>739</v>
      </c>
      <c r="Q872" s="167">
        <v>353</v>
      </c>
      <c r="R872" s="167" t="s">
        <v>3407</v>
      </c>
      <c r="S872" s="167" t="s">
        <v>2328</v>
      </c>
      <c r="T872" s="167">
        <v>3</v>
      </c>
      <c r="U872" s="167" t="s">
        <v>2329</v>
      </c>
      <c r="V872" s="167" t="s">
        <v>3409</v>
      </c>
      <c r="AB872" s="167" t="s">
        <v>1842</v>
      </c>
      <c r="AC872" s="167">
        <v>347</v>
      </c>
      <c r="AD872" s="203">
        <v>43118</v>
      </c>
      <c r="AE872" s="203">
        <v>43133</v>
      </c>
      <c r="AF872" s="167" t="s">
        <v>3470</v>
      </c>
    </row>
    <row r="873" spans="16:32" x14ac:dyDescent="0.25">
      <c r="P873" s="167" t="s">
        <v>739</v>
      </c>
      <c r="Q873" s="167">
        <v>353</v>
      </c>
      <c r="R873" s="167" t="s">
        <v>3407</v>
      </c>
      <c r="S873" s="167" t="s">
        <v>2332</v>
      </c>
      <c r="T873" s="167">
        <v>3</v>
      </c>
      <c r="U873" s="167" t="s">
        <v>2333</v>
      </c>
      <c r="V873" s="167" t="s">
        <v>3409</v>
      </c>
      <c r="AB873" s="167" t="s">
        <v>1842</v>
      </c>
      <c r="AC873" s="167">
        <v>340</v>
      </c>
      <c r="AD873" s="203">
        <v>43133</v>
      </c>
      <c r="AE873" s="203">
        <v>43168</v>
      </c>
      <c r="AF873" s="167" t="s">
        <v>3470</v>
      </c>
    </row>
    <row r="874" spans="16:32" x14ac:dyDescent="0.25">
      <c r="P874" s="167" t="s">
        <v>739</v>
      </c>
      <c r="Q874" s="167">
        <v>353</v>
      </c>
      <c r="R874" s="167" t="s">
        <v>3407</v>
      </c>
      <c r="S874" s="167" t="s">
        <v>2334</v>
      </c>
      <c r="T874" s="167">
        <v>3</v>
      </c>
      <c r="U874" s="167" t="s">
        <v>2335</v>
      </c>
      <c r="V874" s="167" t="s">
        <v>3409</v>
      </c>
      <c r="AB874" s="167" t="s">
        <v>1842</v>
      </c>
      <c r="AC874" s="167">
        <v>340</v>
      </c>
      <c r="AD874" s="203">
        <v>43133</v>
      </c>
      <c r="AE874" s="203">
        <v>43168</v>
      </c>
      <c r="AF874" s="167" t="s">
        <v>3470</v>
      </c>
    </row>
    <row r="875" spans="16:32" x14ac:dyDescent="0.25">
      <c r="P875" s="167" t="s">
        <v>739</v>
      </c>
      <c r="Q875" s="167">
        <v>353</v>
      </c>
      <c r="R875" s="167" t="s">
        <v>3407</v>
      </c>
      <c r="S875" s="167" t="s">
        <v>2334</v>
      </c>
      <c r="T875" s="167">
        <v>5</v>
      </c>
      <c r="U875" s="167" t="s">
        <v>2335</v>
      </c>
      <c r="V875" s="167" t="s">
        <v>3409</v>
      </c>
      <c r="AB875" s="167" t="s">
        <v>1842</v>
      </c>
      <c r="AC875" s="167">
        <v>357</v>
      </c>
      <c r="AD875" s="203">
        <v>43139</v>
      </c>
      <c r="AE875" s="203">
        <v>43164</v>
      </c>
      <c r="AF875" s="167" t="s">
        <v>3470</v>
      </c>
    </row>
    <row r="876" spans="16:32" x14ac:dyDescent="0.25">
      <c r="P876" s="167" t="s">
        <v>739</v>
      </c>
      <c r="Q876" s="167">
        <v>353</v>
      </c>
      <c r="R876" s="167" t="s">
        <v>3407</v>
      </c>
      <c r="S876" s="167" t="s">
        <v>2336</v>
      </c>
      <c r="T876" s="167">
        <v>13</v>
      </c>
      <c r="U876" s="167" t="s">
        <v>2337</v>
      </c>
      <c r="V876" s="167" t="s">
        <v>3409</v>
      </c>
      <c r="AB876" s="167" t="s">
        <v>1842</v>
      </c>
      <c r="AC876" s="167">
        <v>353</v>
      </c>
      <c r="AD876" s="203">
        <v>43180</v>
      </c>
      <c r="AE876" s="203">
        <v>0</v>
      </c>
      <c r="AF876" s="167" t="s">
        <v>3469</v>
      </c>
    </row>
    <row r="877" spans="16:32" x14ac:dyDescent="0.25">
      <c r="P877" s="167" t="s">
        <v>739</v>
      </c>
      <c r="Q877" s="167">
        <v>353</v>
      </c>
      <c r="R877" s="167" t="s">
        <v>3407</v>
      </c>
      <c r="S877" s="167" t="s">
        <v>2336</v>
      </c>
      <c r="T877" s="167">
        <v>20</v>
      </c>
      <c r="U877" s="167" t="s">
        <v>2337</v>
      </c>
      <c r="V877" s="167" t="s">
        <v>3409</v>
      </c>
      <c r="AB877" s="167" t="s">
        <v>1844</v>
      </c>
      <c r="AC877" s="167">
        <v>327</v>
      </c>
      <c r="AD877" s="203">
        <v>43074</v>
      </c>
      <c r="AE877" s="203">
        <v>43131</v>
      </c>
      <c r="AF877" s="167" t="s">
        <v>3470</v>
      </c>
    </row>
    <row r="878" spans="16:32" x14ac:dyDescent="0.25">
      <c r="P878" s="167" t="s">
        <v>739</v>
      </c>
      <c r="Q878" s="167">
        <v>353</v>
      </c>
      <c r="R878" s="167" t="s">
        <v>3407</v>
      </c>
      <c r="S878" s="167" t="s">
        <v>1064</v>
      </c>
      <c r="T878" s="167">
        <v>31</v>
      </c>
      <c r="U878" s="167" t="s">
        <v>2341</v>
      </c>
      <c r="V878" s="167" t="s">
        <v>3409</v>
      </c>
      <c r="AB878" s="167" t="s">
        <v>1844</v>
      </c>
      <c r="AC878" s="167">
        <v>347</v>
      </c>
      <c r="AD878" s="203">
        <v>43118</v>
      </c>
      <c r="AE878" s="203">
        <v>43133</v>
      </c>
      <c r="AF878" s="167" t="s">
        <v>3470</v>
      </c>
    </row>
    <row r="879" spans="16:32" x14ac:dyDescent="0.25">
      <c r="P879" s="167" t="s">
        <v>739</v>
      </c>
      <c r="Q879" s="167">
        <v>353</v>
      </c>
      <c r="R879" s="167" t="s">
        <v>3407</v>
      </c>
      <c r="S879" s="167" t="s">
        <v>1064</v>
      </c>
      <c r="T879" s="167">
        <v>21</v>
      </c>
      <c r="U879" s="167" t="s">
        <v>2341</v>
      </c>
      <c r="V879" s="167" t="s">
        <v>3409</v>
      </c>
      <c r="AB879" s="167" t="s">
        <v>1844</v>
      </c>
      <c r="AC879" s="167">
        <v>335</v>
      </c>
      <c r="AD879" s="203">
        <v>43133</v>
      </c>
      <c r="AE879" s="203">
        <v>43147</v>
      </c>
      <c r="AF879" s="167" t="s">
        <v>3470</v>
      </c>
    </row>
    <row r="880" spans="16:32" x14ac:dyDescent="0.25">
      <c r="P880" s="167" t="s">
        <v>739</v>
      </c>
      <c r="Q880" s="167">
        <v>353</v>
      </c>
      <c r="R880" s="167" t="s">
        <v>3407</v>
      </c>
      <c r="S880" s="167" t="s">
        <v>2344</v>
      </c>
      <c r="T880" s="167">
        <v>14</v>
      </c>
      <c r="U880" s="167" t="s">
        <v>2345</v>
      </c>
      <c r="V880" s="167" t="s">
        <v>3409</v>
      </c>
      <c r="AB880" s="167" t="s">
        <v>1844</v>
      </c>
      <c r="AC880" s="167">
        <v>340</v>
      </c>
      <c r="AD880" s="203">
        <v>43133</v>
      </c>
      <c r="AE880" s="203">
        <v>43168</v>
      </c>
      <c r="AF880" s="167" t="s">
        <v>3470</v>
      </c>
    </row>
    <row r="881" spans="16:32" x14ac:dyDescent="0.25">
      <c r="P881" s="167" t="s">
        <v>739</v>
      </c>
      <c r="Q881" s="167">
        <v>353</v>
      </c>
      <c r="R881" s="167" t="s">
        <v>3407</v>
      </c>
      <c r="S881" s="167" t="s">
        <v>2344</v>
      </c>
      <c r="T881" s="167">
        <v>35</v>
      </c>
      <c r="U881" s="167" t="s">
        <v>2345</v>
      </c>
      <c r="V881" s="167" t="s">
        <v>3409</v>
      </c>
      <c r="AB881" s="167" t="s">
        <v>1844</v>
      </c>
      <c r="AC881" s="167">
        <v>364</v>
      </c>
      <c r="AD881" s="203">
        <v>43168</v>
      </c>
      <c r="AE881" s="203">
        <v>43179</v>
      </c>
      <c r="AF881" s="167" t="s">
        <v>3470</v>
      </c>
    </row>
    <row r="882" spans="16:32" x14ac:dyDescent="0.25">
      <c r="P882" s="167" t="s">
        <v>739</v>
      </c>
      <c r="Q882" s="167">
        <v>353</v>
      </c>
      <c r="R882" s="167" t="s">
        <v>3407</v>
      </c>
      <c r="S882" s="167" t="s">
        <v>2344</v>
      </c>
      <c r="T882" s="167">
        <v>35</v>
      </c>
      <c r="U882" s="167" t="s">
        <v>2345</v>
      </c>
      <c r="V882" s="167" t="s">
        <v>3409</v>
      </c>
      <c r="AB882" s="167" t="s">
        <v>1844</v>
      </c>
      <c r="AC882" s="167">
        <v>353</v>
      </c>
      <c r="AD882" s="203">
        <v>43180</v>
      </c>
      <c r="AE882" s="203">
        <v>0</v>
      </c>
      <c r="AF882" s="167" t="s">
        <v>3469</v>
      </c>
    </row>
    <row r="883" spans="16:32" x14ac:dyDescent="0.25">
      <c r="P883" s="167" t="s">
        <v>739</v>
      </c>
      <c r="Q883" s="167">
        <v>353</v>
      </c>
      <c r="R883" s="167" t="s">
        <v>3407</v>
      </c>
      <c r="S883" s="167" t="s">
        <v>2344</v>
      </c>
      <c r="T883" s="167">
        <v>14</v>
      </c>
      <c r="U883" s="167" t="s">
        <v>2345</v>
      </c>
      <c r="V883" s="167" t="s">
        <v>3409</v>
      </c>
      <c r="AB883" s="167" t="s">
        <v>1844</v>
      </c>
      <c r="AC883" s="167">
        <v>353</v>
      </c>
      <c r="AD883" s="203">
        <v>43180</v>
      </c>
      <c r="AE883" s="203">
        <v>0</v>
      </c>
      <c r="AF883" s="167" t="s">
        <v>3469</v>
      </c>
    </row>
    <row r="884" spans="16:32" x14ac:dyDescent="0.25">
      <c r="P884" s="167" t="s">
        <v>739</v>
      </c>
      <c r="Q884" s="167">
        <v>353</v>
      </c>
      <c r="R884" s="167" t="s">
        <v>3407</v>
      </c>
      <c r="S884" s="167" t="s">
        <v>2344</v>
      </c>
      <c r="T884" s="167">
        <v>34</v>
      </c>
      <c r="U884" s="167" t="s">
        <v>2345</v>
      </c>
      <c r="V884" s="167" t="s">
        <v>3409</v>
      </c>
      <c r="AB884" s="167" t="s">
        <v>1844</v>
      </c>
      <c r="AC884" s="167">
        <v>353</v>
      </c>
      <c r="AD884" s="203">
        <v>43180</v>
      </c>
      <c r="AE884" s="203">
        <v>0</v>
      </c>
      <c r="AF884" s="167" t="s">
        <v>3469</v>
      </c>
    </row>
    <row r="885" spans="16:32" x14ac:dyDescent="0.25">
      <c r="P885" s="167" t="s">
        <v>739</v>
      </c>
      <c r="Q885" s="167">
        <v>353</v>
      </c>
      <c r="R885" s="167" t="s">
        <v>3407</v>
      </c>
      <c r="S885" s="167" t="s">
        <v>2348</v>
      </c>
      <c r="T885" s="167">
        <v>2</v>
      </c>
      <c r="U885" s="167" t="s">
        <v>2349</v>
      </c>
      <c r="V885" s="167" t="s">
        <v>3409</v>
      </c>
      <c r="AB885" s="167" t="s">
        <v>1844</v>
      </c>
      <c r="AC885" s="167">
        <v>353</v>
      </c>
      <c r="AD885" s="203">
        <v>43180</v>
      </c>
      <c r="AE885" s="203">
        <v>0</v>
      </c>
      <c r="AF885" s="167" t="s">
        <v>3469</v>
      </c>
    </row>
    <row r="886" spans="16:32" x14ac:dyDescent="0.25">
      <c r="P886" s="167" t="s">
        <v>739</v>
      </c>
      <c r="Q886" s="167">
        <v>353</v>
      </c>
      <c r="R886" s="167" t="s">
        <v>3407</v>
      </c>
      <c r="S886" s="167" t="s">
        <v>2351</v>
      </c>
      <c r="T886" s="167">
        <v>2</v>
      </c>
      <c r="U886" s="167" t="s">
        <v>2352</v>
      </c>
      <c r="V886" s="167" t="s">
        <v>3409</v>
      </c>
      <c r="AB886" s="167" t="s">
        <v>1844</v>
      </c>
      <c r="AC886" s="167">
        <v>353</v>
      </c>
      <c r="AD886" s="203">
        <v>43180</v>
      </c>
      <c r="AE886" s="203">
        <v>0</v>
      </c>
      <c r="AF886" s="167" t="s">
        <v>3469</v>
      </c>
    </row>
    <row r="887" spans="16:32" x14ac:dyDescent="0.25">
      <c r="P887" s="167" t="s">
        <v>739</v>
      </c>
      <c r="Q887" s="167">
        <v>353</v>
      </c>
      <c r="R887" s="167" t="s">
        <v>3407</v>
      </c>
      <c r="S887" s="167" t="s">
        <v>2351</v>
      </c>
      <c r="T887" s="167">
        <v>2</v>
      </c>
      <c r="U887" s="167" t="s">
        <v>2352</v>
      </c>
      <c r="V887" s="167" t="s">
        <v>3409</v>
      </c>
      <c r="AB887" s="167" t="s">
        <v>1846</v>
      </c>
      <c r="AC887" s="167">
        <v>327</v>
      </c>
      <c r="AD887" s="203">
        <v>43074</v>
      </c>
      <c r="AE887" s="203">
        <v>43131</v>
      </c>
      <c r="AF887" s="167" t="s">
        <v>3470</v>
      </c>
    </row>
    <row r="888" spans="16:32" x14ac:dyDescent="0.25">
      <c r="P888" s="167" t="s">
        <v>739</v>
      </c>
      <c r="Q888" s="167">
        <v>353</v>
      </c>
      <c r="R888" s="167" t="s">
        <v>3407</v>
      </c>
      <c r="S888" s="167" t="s">
        <v>2354</v>
      </c>
      <c r="T888" s="167">
        <v>10</v>
      </c>
      <c r="U888" s="167" t="s">
        <v>2355</v>
      </c>
      <c r="V888" s="167" t="s">
        <v>3409</v>
      </c>
      <c r="AB888" s="167" t="s">
        <v>1846</v>
      </c>
      <c r="AC888" s="167">
        <v>335</v>
      </c>
      <c r="AD888" s="203">
        <v>43133</v>
      </c>
      <c r="AE888" s="203">
        <v>43147</v>
      </c>
      <c r="AF888" s="167" t="s">
        <v>3470</v>
      </c>
    </row>
    <row r="889" spans="16:32" x14ac:dyDescent="0.25">
      <c r="P889" s="167" t="s">
        <v>739</v>
      </c>
      <c r="Q889" s="167">
        <v>353</v>
      </c>
      <c r="R889" s="167" t="s">
        <v>3407</v>
      </c>
      <c r="S889" s="167" t="s">
        <v>2356</v>
      </c>
      <c r="T889" s="167">
        <v>2</v>
      </c>
      <c r="U889" s="167" t="s">
        <v>2357</v>
      </c>
      <c r="V889" s="167" t="s">
        <v>3409</v>
      </c>
      <c r="AB889" s="167" t="s">
        <v>1846</v>
      </c>
      <c r="AC889" s="167">
        <v>353</v>
      </c>
      <c r="AD889" s="203">
        <v>43180</v>
      </c>
      <c r="AE889" s="203">
        <v>0</v>
      </c>
      <c r="AF889" s="167" t="s">
        <v>3469</v>
      </c>
    </row>
    <row r="890" spans="16:32" x14ac:dyDescent="0.25">
      <c r="P890" s="167" t="s">
        <v>739</v>
      </c>
      <c r="Q890" s="167">
        <v>353</v>
      </c>
      <c r="R890" s="167" t="s">
        <v>3407</v>
      </c>
      <c r="S890" s="167" t="s">
        <v>1065</v>
      </c>
      <c r="T890" s="167">
        <v>36</v>
      </c>
      <c r="U890" s="167" t="s">
        <v>2359</v>
      </c>
      <c r="V890" s="167" t="s">
        <v>3409</v>
      </c>
      <c r="AB890" s="167" t="s">
        <v>1846</v>
      </c>
      <c r="AC890" s="167">
        <v>353</v>
      </c>
      <c r="AD890" s="203">
        <v>43180</v>
      </c>
      <c r="AE890" s="203">
        <v>0</v>
      </c>
      <c r="AF890" s="167" t="s">
        <v>3469</v>
      </c>
    </row>
    <row r="891" spans="16:32" x14ac:dyDescent="0.25">
      <c r="P891" s="167" t="s">
        <v>739</v>
      </c>
      <c r="Q891" s="167">
        <v>353</v>
      </c>
      <c r="R891" s="167" t="s">
        <v>3407</v>
      </c>
      <c r="S891" s="167" t="s">
        <v>2361</v>
      </c>
      <c r="T891" s="167">
        <v>2</v>
      </c>
      <c r="U891" s="167" t="s">
        <v>2362</v>
      </c>
      <c r="V891" s="167" t="s">
        <v>3409</v>
      </c>
      <c r="AB891" s="167" t="s">
        <v>1846</v>
      </c>
      <c r="AC891" s="167">
        <v>353</v>
      </c>
      <c r="AD891" s="203">
        <v>43180</v>
      </c>
      <c r="AE891" s="203">
        <v>0</v>
      </c>
      <c r="AF891" s="167" t="s">
        <v>3469</v>
      </c>
    </row>
    <row r="892" spans="16:32" x14ac:dyDescent="0.25">
      <c r="P892" s="167" t="s">
        <v>739</v>
      </c>
      <c r="Q892" s="167">
        <v>353</v>
      </c>
      <c r="R892" s="167" t="s">
        <v>3407</v>
      </c>
      <c r="S892" s="167" t="s">
        <v>2364</v>
      </c>
      <c r="T892" s="167">
        <v>10</v>
      </c>
      <c r="U892" s="167" t="s">
        <v>2365</v>
      </c>
      <c r="V892" s="167" t="s">
        <v>3409</v>
      </c>
      <c r="AB892" s="167" t="s">
        <v>1847</v>
      </c>
      <c r="AC892" s="167">
        <v>327</v>
      </c>
      <c r="AD892" s="203">
        <v>43074</v>
      </c>
      <c r="AE892" s="203">
        <v>43131</v>
      </c>
      <c r="AF892" s="167" t="s">
        <v>3470</v>
      </c>
    </row>
    <row r="893" spans="16:32" x14ac:dyDescent="0.25">
      <c r="P893" s="167" t="s">
        <v>739</v>
      </c>
      <c r="Q893" s="167">
        <v>353</v>
      </c>
      <c r="R893" s="167" t="s">
        <v>3407</v>
      </c>
      <c r="S893" s="167" t="s">
        <v>2364</v>
      </c>
      <c r="T893" s="167">
        <v>1</v>
      </c>
      <c r="U893" s="167" t="s">
        <v>2365</v>
      </c>
      <c r="V893" s="167" t="s">
        <v>3409</v>
      </c>
      <c r="AB893" s="167" t="s">
        <v>1848</v>
      </c>
      <c r="AC893" s="167">
        <v>323</v>
      </c>
      <c r="AD893" s="203">
        <v>43074</v>
      </c>
      <c r="AE893" s="203">
        <v>43111</v>
      </c>
      <c r="AF893" s="167" t="s">
        <v>3470</v>
      </c>
    </row>
    <row r="894" spans="16:32" x14ac:dyDescent="0.25">
      <c r="P894" s="167" t="s">
        <v>739</v>
      </c>
      <c r="Q894" s="167">
        <v>353</v>
      </c>
      <c r="R894" s="167" t="s">
        <v>3407</v>
      </c>
      <c r="S894" s="167" t="s">
        <v>2366</v>
      </c>
      <c r="T894" s="167">
        <v>1</v>
      </c>
      <c r="U894" s="167" t="s">
        <v>2367</v>
      </c>
      <c r="V894" s="167" t="s">
        <v>3409</v>
      </c>
      <c r="AB894" s="167" t="s">
        <v>1848</v>
      </c>
      <c r="AC894" s="167">
        <v>340</v>
      </c>
      <c r="AD894" s="203">
        <v>43133</v>
      </c>
      <c r="AE894" s="203">
        <v>43168</v>
      </c>
      <c r="AF894" s="167" t="s">
        <v>3470</v>
      </c>
    </row>
    <row r="895" spans="16:32" x14ac:dyDescent="0.25">
      <c r="P895" s="167" t="s">
        <v>739</v>
      </c>
      <c r="Q895" s="167">
        <v>353</v>
      </c>
      <c r="R895" s="167" t="s">
        <v>3407</v>
      </c>
      <c r="S895" s="167" t="s">
        <v>2369</v>
      </c>
      <c r="T895" s="167">
        <v>10</v>
      </c>
      <c r="U895" s="167" t="s">
        <v>2370</v>
      </c>
      <c r="V895" s="167" t="s">
        <v>3409</v>
      </c>
      <c r="AB895" s="167" t="s">
        <v>1849</v>
      </c>
      <c r="AC895" s="167">
        <v>340</v>
      </c>
      <c r="AD895" s="203">
        <v>43133</v>
      </c>
      <c r="AE895" s="203">
        <v>43168</v>
      </c>
      <c r="AF895" s="167" t="s">
        <v>3470</v>
      </c>
    </row>
    <row r="896" spans="16:32" x14ac:dyDescent="0.25">
      <c r="P896" s="167" t="s">
        <v>739</v>
      </c>
      <c r="Q896" s="167">
        <v>353</v>
      </c>
      <c r="R896" s="167" t="s">
        <v>3407</v>
      </c>
      <c r="S896" s="167" t="s">
        <v>2369</v>
      </c>
      <c r="T896" s="167">
        <v>3</v>
      </c>
      <c r="U896" s="167" t="s">
        <v>2370</v>
      </c>
      <c r="V896" s="167" t="s">
        <v>3409</v>
      </c>
      <c r="AB896" s="167" t="s">
        <v>1850</v>
      </c>
      <c r="AC896" s="167">
        <v>327</v>
      </c>
      <c r="AD896" s="203">
        <v>43074</v>
      </c>
      <c r="AE896" s="203">
        <v>43131</v>
      </c>
      <c r="AF896" s="167" t="s">
        <v>3470</v>
      </c>
    </row>
    <row r="897" spans="16:32" x14ac:dyDescent="0.25">
      <c r="P897" s="167" t="s">
        <v>739</v>
      </c>
      <c r="Q897" s="167">
        <v>353</v>
      </c>
      <c r="R897" s="167" t="s">
        <v>3407</v>
      </c>
      <c r="S897" s="167" t="s">
        <v>2369</v>
      </c>
      <c r="T897" s="167">
        <v>1</v>
      </c>
      <c r="U897" s="167" t="s">
        <v>2370</v>
      </c>
      <c r="V897" s="167" t="s">
        <v>3409</v>
      </c>
      <c r="AB897" s="167" t="s">
        <v>1851</v>
      </c>
      <c r="AC897" s="167">
        <v>327</v>
      </c>
      <c r="AD897" s="203">
        <v>43074</v>
      </c>
      <c r="AE897" s="203">
        <v>43131</v>
      </c>
      <c r="AF897" s="167" t="s">
        <v>3470</v>
      </c>
    </row>
    <row r="898" spans="16:32" x14ac:dyDescent="0.25">
      <c r="P898" s="167" t="s">
        <v>739</v>
      </c>
      <c r="Q898" s="167">
        <v>353</v>
      </c>
      <c r="R898" s="167" t="s">
        <v>3407</v>
      </c>
      <c r="S898" s="167" t="s">
        <v>2369</v>
      </c>
      <c r="T898" s="167">
        <v>1</v>
      </c>
      <c r="U898" s="167" t="s">
        <v>2370</v>
      </c>
      <c r="V898" s="167" t="s">
        <v>3409</v>
      </c>
      <c r="AB898" s="167" t="s">
        <v>1851</v>
      </c>
      <c r="AC898" s="167">
        <v>347</v>
      </c>
      <c r="AD898" s="203">
        <v>43118</v>
      </c>
      <c r="AE898" s="203">
        <v>43133</v>
      </c>
      <c r="AF898" s="167" t="s">
        <v>3470</v>
      </c>
    </row>
    <row r="899" spans="16:32" x14ac:dyDescent="0.25">
      <c r="P899" s="167" t="s">
        <v>739</v>
      </c>
      <c r="Q899" s="167">
        <v>353</v>
      </c>
      <c r="R899" s="167" t="s">
        <v>3407</v>
      </c>
      <c r="S899" s="167" t="s">
        <v>2371</v>
      </c>
      <c r="T899" s="167">
        <v>20</v>
      </c>
      <c r="U899" s="167" t="s">
        <v>2372</v>
      </c>
      <c r="V899" s="167" t="s">
        <v>3409</v>
      </c>
      <c r="AB899" s="167" t="s">
        <v>1851</v>
      </c>
      <c r="AC899" s="167">
        <v>340</v>
      </c>
      <c r="AD899" s="203">
        <v>43133</v>
      </c>
      <c r="AE899" s="203">
        <v>43168</v>
      </c>
      <c r="AF899" s="167" t="s">
        <v>3470</v>
      </c>
    </row>
    <row r="900" spans="16:32" x14ac:dyDescent="0.25">
      <c r="P900" s="167" t="s">
        <v>739</v>
      </c>
      <c r="Q900" s="167">
        <v>353</v>
      </c>
      <c r="R900" s="167" t="s">
        <v>3407</v>
      </c>
      <c r="S900" s="167" t="s">
        <v>2371</v>
      </c>
      <c r="T900" s="167">
        <v>13</v>
      </c>
      <c r="U900" s="167" t="s">
        <v>2372</v>
      </c>
      <c r="V900" s="167" t="s">
        <v>3409</v>
      </c>
      <c r="AB900" s="167" t="s">
        <v>1851</v>
      </c>
      <c r="AC900" s="167">
        <v>340</v>
      </c>
      <c r="AD900" s="203">
        <v>43133</v>
      </c>
      <c r="AE900" s="203">
        <v>43168</v>
      </c>
      <c r="AF900" s="167" t="s">
        <v>3470</v>
      </c>
    </row>
    <row r="901" spans="16:32" x14ac:dyDescent="0.25">
      <c r="P901" s="167" t="s">
        <v>739</v>
      </c>
      <c r="Q901" s="167">
        <v>353</v>
      </c>
      <c r="R901" s="167" t="s">
        <v>3407</v>
      </c>
      <c r="S901" s="167" t="s">
        <v>2371</v>
      </c>
      <c r="T901" s="167">
        <v>12</v>
      </c>
      <c r="U901" s="167" t="s">
        <v>2372</v>
      </c>
      <c r="V901" s="167" t="s">
        <v>3409</v>
      </c>
      <c r="AB901" s="167" t="s">
        <v>1851</v>
      </c>
      <c r="AC901" s="167">
        <v>357</v>
      </c>
      <c r="AD901" s="203">
        <v>43139</v>
      </c>
      <c r="AE901" s="203">
        <v>43164</v>
      </c>
      <c r="AF901" s="167" t="s">
        <v>3470</v>
      </c>
    </row>
    <row r="902" spans="16:32" x14ac:dyDescent="0.25">
      <c r="P902" s="167" t="s">
        <v>739</v>
      </c>
      <c r="Q902" s="167">
        <v>353</v>
      </c>
      <c r="R902" s="167" t="s">
        <v>3407</v>
      </c>
      <c r="S902" s="167" t="s">
        <v>2375</v>
      </c>
      <c r="T902" s="167">
        <v>3</v>
      </c>
      <c r="U902" s="167" t="s">
        <v>2376</v>
      </c>
      <c r="V902" s="167" t="s">
        <v>3409</v>
      </c>
      <c r="AB902" s="167" t="s">
        <v>1851</v>
      </c>
      <c r="AC902" s="167">
        <v>353</v>
      </c>
      <c r="AD902" s="203">
        <v>43180</v>
      </c>
      <c r="AE902" s="203">
        <v>0</v>
      </c>
      <c r="AF902" s="167" t="s">
        <v>3469</v>
      </c>
    </row>
    <row r="903" spans="16:32" x14ac:dyDescent="0.25">
      <c r="P903" s="167" t="s">
        <v>739</v>
      </c>
      <c r="Q903" s="167">
        <v>353</v>
      </c>
      <c r="R903" s="167" t="s">
        <v>3407</v>
      </c>
      <c r="S903" s="167" t="s">
        <v>2378</v>
      </c>
      <c r="T903" s="167">
        <v>3</v>
      </c>
      <c r="U903" s="167" t="s">
        <v>2379</v>
      </c>
      <c r="V903" s="167" t="s">
        <v>3409</v>
      </c>
      <c r="AB903" s="167" t="s">
        <v>1851</v>
      </c>
      <c r="AC903" s="167">
        <v>353</v>
      </c>
      <c r="AD903" s="203">
        <v>43180</v>
      </c>
      <c r="AE903" s="203">
        <v>0</v>
      </c>
      <c r="AF903" s="167" t="s">
        <v>3469</v>
      </c>
    </row>
    <row r="904" spans="16:32" x14ac:dyDescent="0.25">
      <c r="P904" s="167" t="s">
        <v>739</v>
      </c>
      <c r="Q904" s="167">
        <v>353</v>
      </c>
      <c r="R904" s="167" t="s">
        <v>3407</v>
      </c>
      <c r="S904" s="167" t="s">
        <v>2378</v>
      </c>
      <c r="T904" s="167">
        <v>22</v>
      </c>
      <c r="U904" s="167" t="s">
        <v>2379</v>
      </c>
      <c r="V904" s="167" t="s">
        <v>3409</v>
      </c>
      <c r="AB904" s="167" t="s">
        <v>1853</v>
      </c>
      <c r="AC904" s="167">
        <v>357</v>
      </c>
      <c r="AD904" s="203">
        <v>43139</v>
      </c>
      <c r="AE904" s="203">
        <v>43164</v>
      </c>
      <c r="AF904" s="167" t="s">
        <v>3470</v>
      </c>
    </row>
    <row r="905" spans="16:32" x14ac:dyDescent="0.25">
      <c r="P905" s="167" t="s">
        <v>739</v>
      </c>
      <c r="Q905" s="167">
        <v>353</v>
      </c>
      <c r="R905" s="167" t="s">
        <v>3407</v>
      </c>
      <c r="S905" s="167" t="s">
        <v>2381</v>
      </c>
      <c r="T905" s="167">
        <v>21</v>
      </c>
      <c r="U905" s="167" t="s">
        <v>2382</v>
      </c>
      <c r="V905" s="167" t="s">
        <v>3409</v>
      </c>
      <c r="AB905" s="167" t="s">
        <v>1853</v>
      </c>
      <c r="AC905" s="167">
        <v>353</v>
      </c>
      <c r="AD905" s="203">
        <v>43180</v>
      </c>
      <c r="AE905" s="203">
        <v>0</v>
      </c>
      <c r="AF905" s="167" t="s">
        <v>3469</v>
      </c>
    </row>
    <row r="906" spans="16:32" x14ac:dyDescent="0.25">
      <c r="P906" s="167" t="s">
        <v>739</v>
      </c>
      <c r="Q906" s="167">
        <v>353</v>
      </c>
      <c r="R906" s="167" t="s">
        <v>3407</v>
      </c>
      <c r="S906" s="167" t="s">
        <v>2385</v>
      </c>
      <c r="T906" s="167">
        <v>10</v>
      </c>
      <c r="U906" s="167" t="s">
        <v>2386</v>
      </c>
      <c r="V906" s="167" t="s">
        <v>3409</v>
      </c>
      <c r="AB906" s="167" t="s">
        <v>1853</v>
      </c>
      <c r="AC906" s="167">
        <v>353</v>
      </c>
      <c r="AD906" s="203">
        <v>43180</v>
      </c>
      <c r="AE906" s="203">
        <v>0</v>
      </c>
      <c r="AF906" s="167" t="s">
        <v>3469</v>
      </c>
    </row>
    <row r="907" spans="16:32" x14ac:dyDescent="0.25">
      <c r="P907" s="167" t="s">
        <v>739</v>
      </c>
      <c r="Q907" s="167">
        <v>353</v>
      </c>
      <c r="R907" s="167" t="s">
        <v>3407</v>
      </c>
      <c r="S907" s="167" t="s">
        <v>2385</v>
      </c>
      <c r="T907" s="167">
        <v>19</v>
      </c>
      <c r="U907" s="167" t="s">
        <v>2386</v>
      </c>
      <c r="V907" s="167" t="s">
        <v>3409</v>
      </c>
      <c r="AB907" s="167" t="s">
        <v>1855</v>
      </c>
      <c r="AC907" s="167">
        <v>364</v>
      </c>
      <c r="AD907" s="203">
        <v>43168</v>
      </c>
      <c r="AE907" s="203">
        <v>43179</v>
      </c>
      <c r="AF907" s="167" t="s">
        <v>3470</v>
      </c>
    </row>
    <row r="908" spans="16:32" x14ac:dyDescent="0.25">
      <c r="P908" s="167" t="s">
        <v>739</v>
      </c>
      <c r="Q908" s="167">
        <v>353</v>
      </c>
      <c r="R908" s="167" t="s">
        <v>3407</v>
      </c>
      <c r="S908" s="167" t="s">
        <v>2385</v>
      </c>
      <c r="T908" s="167">
        <v>20</v>
      </c>
      <c r="U908" s="167" t="s">
        <v>2386</v>
      </c>
      <c r="V908" s="167" t="s">
        <v>3409</v>
      </c>
      <c r="AB908" s="167" t="s">
        <v>1855</v>
      </c>
      <c r="AC908" s="167">
        <v>353</v>
      </c>
      <c r="AD908" s="203">
        <v>43180</v>
      </c>
      <c r="AE908" s="203">
        <v>0</v>
      </c>
      <c r="AF908" s="167" t="s">
        <v>3469</v>
      </c>
    </row>
    <row r="909" spans="16:32" x14ac:dyDescent="0.25">
      <c r="P909" s="167" t="s">
        <v>739</v>
      </c>
      <c r="Q909" s="167">
        <v>353</v>
      </c>
      <c r="R909" s="167" t="s">
        <v>3407</v>
      </c>
      <c r="S909" s="167" t="s">
        <v>2385</v>
      </c>
      <c r="T909" s="167">
        <v>5</v>
      </c>
      <c r="U909" s="167" t="s">
        <v>2386</v>
      </c>
      <c r="V909" s="167" t="s">
        <v>3409</v>
      </c>
      <c r="AB909" s="167" t="s">
        <v>1857</v>
      </c>
      <c r="AC909" s="167">
        <v>327</v>
      </c>
      <c r="AD909" s="203">
        <v>43074</v>
      </c>
      <c r="AE909" s="203">
        <v>43131</v>
      </c>
      <c r="AF909" s="167" t="s">
        <v>3470</v>
      </c>
    </row>
    <row r="910" spans="16:32" x14ac:dyDescent="0.25">
      <c r="P910" s="167" t="s">
        <v>739</v>
      </c>
      <c r="Q910" s="167">
        <v>353</v>
      </c>
      <c r="R910" s="167" t="s">
        <v>3407</v>
      </c>
      <c r="S910" s="167" t="s">
        <v>2387</v>
      </c>
      <c r="T910" s="167">
        <v>5</v>
      </c>
      <c r="U910" s="167" t="s">
        <v>2388</v>
      </c>
      <c r="V910" s="167" t="s">
        <v>3409</v>
      </c>
      <c r="AB910" s="167" t="s">
        <v>1857</v>
      </c>
      <c r="AC910" s="167">
        <v>347</v>
      </c>
      <c r="AD910" s="203">
        <v>43118</v>
      </c>
      <c r="AE910" s="203">
        <v>43133</v>
      </c>
      <c r="AF910" s="167" t="s">
        <v>3470</v>
      </c>
    </row>
    <row r="911" spans="16:32" x14ac:dyDescent="0.25">
      <c r="P911" s="167" t="s">
        <v>739</v>
      </c>
      <c r="Q911" s="167">
        <v>353</v>
      </c>
      <c r="R911" s="167" t="s">
        <v>3407</v>
      </c>
      <c r="S911" s="167" t="s">
        <v>2387</v>
      </c>
      <c r="T911" s="167">
        <v>3</v>
      </c>
      <c r="U911" s="167" t="s">
        <v>2388</v>
      </c>
      <c r="V911" s="167" t="s">
        <v>3409</v>
      </c>
      <c r="AB911" s="167" t="s">
        <v>1857</v>
      </c>
      <c r="AC911" s="167">
        <v>340</v>
      </c>
      <c r="AD911" s="203">
        <v>43133</v>
      </c>
      <c r="AE911" s="203">
        <v>43168</v>
      </c>
      <c r="AF911" s="167" t="s">
        <v>3470</v>
      </c>
    </row>
    <row r="912" spans="16:32" x14ac:dyDescent="0.25">
      <c r="P912" s="167" t="s">
        <v>739</v>
      </c>
      <c r="Q912" s="167">
        <v>353</v>
      </c>
      <c r="R912" s="167" t="s">
        <v>3407</v>
      </c>
      <c r="S912" s="167" t="s">
        <v>2387</v>
      </c>
      <c r="T912" s="167">
        <v>2</v>
      </c>
      <c r="U912" s="167" t="s">
        <v>2388</v>
      </c>
      <c r="V912" s="167" t="s">
        <v>3409</v>
      </c>
      <c r="AB912" s="167" t="s">
        <v>1857</v>
      </c>
      <c r="AC912" s="167">
        <v>340</v>
      </c>
      <c r="AD912" s="203">
        <v>43133</v>
      </c>
      <c r="AE912" s="203">
        <v>43168</v>
      </c>
      <c r="AF912" s="167" t="s">
        <v>3470</v>
      </c>
    </row>
    <row r="913" spans="16:32" x14ac:dyDescent="0.25">
      <c r="P913" s="167" t="s">
        <v>739</v>
      </c>
      <c r="Q913" s="167">
        <v>353</v>
      </c>
      <c r="R913" s="167" t="s">
        <v>3407</v>
      </c>
      <c r="S913" s="167" t="s">
        <v>2391</v>
      </c>
      <c r="T913" s="167">
        <v>14</v>
      </c>
      <c r="U913" s="167" t="s">
        <v>2392</v>
      </c>
      <c r="V913" s="167" t="s">
        <v>3409</v>
      </c>
      <c r="AB913" s="167" t="s">
        <v>1857</v>
      </c>
      <c r="AC913" s="167">
        <v>357</v>
      </c>
      <c r="AD913" s="203">
        <v>43139</v>
      </c>
      <c r="AE913" s="203">
        <v>43164</v>
      </c>
      <c r="AF913" s="167" t="s">
        <v>3470</v>
      </c>
    </row>
    <row r="914" spans="16:32" x14ac:dyDescent="0.25">
      <c r="P914" s="167" t="s">
        <v>739</v>
      </c>
      <c r="Q914" s="167">
        <v>353</v>
      </c>
      <c r="R914" s="167" t="s">
        <v>3407</v>
      </c>
      <c r="S914" s="167" t="s">
        <v>2391</v>
      </c>
      <c r="T914" s="167">
        <v>1</v>
      </c>
      <c r="U914" s="167" t="s">
        <v>2392</v>
      </c>
      <c r="V914" s="167" t="s">
        <v>3409</v>
      </c>
      <c r="AB914" s="167" t="s">
        <v>1857</v>
      </c>
      <c r="AC914" s="167">
        <v>353</v>
      </c>
      <c r="AD914" s="203">
        <v>43180</v>
      </c>
      <c r="AE914" s="203">
        <v>0</v>
      </c>
      <c r="AF914" s="167" t="s">
        <v>3469</v>
      </c>
    </row>
    <row r="915" spans="16:32" x14ac:dyDescent="0.25">
      <c r="P915" s="167" t="s">
        <v>739</v>
      </c>
      <c r="Q915" s="167">
        <v>353</v>
      </c>
      <c r="R915" s="167" t="s">
        <v>3407</v>
      </c>
      <c r="S915" s="167" t="s">
        <v>2393</v>
      </c>
      <c r="T915" s="167">
        <v>20</v>
      </c>
      <c r="U915" s="167" t="s">
        <v>2394</v>
      </c>
      <c r="V915" s="167" t="s">
        <v>3409</v>
      </c>
      <c r="AB915" s="167" t="s">
        <v>1859</v>
      </c>
      <c r="AC915" s="167">
        <v>340</v>
      </c>
      <c r="AD915" s="203">
        <v>43133</v>
      </c>
      <c r="AE915" s="203">
        <v>43168</v>
      </c>
      <c r="AF915" s="167" t="s">
        <v>3470</v>
      </c>
    </row>
    <row r="916" spans="16:32" x14ac:dyDescent="0.25">
      <c r="P916" s="167" t="s">
        <v>739</v>
      </c>
      <c r="Q916" s="167">
        <v>353</v>
      </c>
      <c r="R916" s="167" t="s">
        <v>3407</v>
      </c>
      <c r="S916" s="167" t="s">
        <v>2395</v>
      </c>
      <c r="T916" s="167">
        <v>1</v>
      </c>
      <c r="U916" s="167" t="s">
        <v>2396</v>
      </c>
      <c r="V916" s="167" t="s">
        <v>3409</v>
      </c>
      <c r="AB916" s="167" t="s">
        <v>1859</v>
      </c>
      <c r="AC916" s="167">
        <v>357</v>
      </c>
      <c r="AD916" s="203">
        <v>43139</v>
      </c>
      <c r="AE916" s="203">
        <v>43164</v>
      </c>
      <c r="AF916" s="167" t="s">
        <v>3470</v>
      </c>
    </row>
    <row r="917" spans="16:32" x14ac:dyDescent="0.25">
      <c r="P917" s="167" t="s">
        <v>739</v>
      </c>
      <c r="Q917" s="167">
        <v>353</v>
      </c>
      <c r="R917" s="167" t="s">
        <v>3407</v>
      </c>
      <c r="S917" s="167" t="s">
        <v>2395</v>
      </c>
      <c r="T917" s="167">
        <v>9</v>
      </c>
      <c r="U917" s="167" t="s">
        <v>2396</v>
      </c>
      <c r="V917" s="167" t="s">
        <v>3409</v>
      </c>
      <c r="AB917" s="167" t="s">
        <v>1859</v>
      </c>
      <c r="AC917" s="167">
        <v>353</v>
      </c>
      <c r="AD917" s="203">
        <v>43180</v>
      </c>
      <c r="AE917" s="203">
        <v>0</v>
      </c>
      <c r="AF917" s="167" t="s">
        <v>3469</v>
      </c>
    </row>
    <row r="918" spans="16:32" x14ac:dyDescent="0.25">
      <c r="P918" s="167" t="s">
        <v>739</v>
      </c>
      <c r="Q918" s="167">
        <v>353</v>
      </c>
      <c r="R918" s="167" t="s">
        <v>3407</v>
      </c>
      <c r="S918" s="167" t="s">
        <v>2398</v>
      </c>
      <c r="T918" s="167">
        <v>25</v>
      </c>
      <c r="U918" s="167" t="s">
        <v>2399</v>
      </c>
      <c r="V918" s="167" t="s">
        <v>3409</v>
      </c>
      <c r="AB918" s="167" t="s">
        <v>1861</v>
      </c>
      <c r="AC918" s="167">
        <v>364</v>
      </c>
      <c r="AD918" s="203">
        <v>43168</v>
      </c>
      <c r="AE918" s="203">
        <v>43179</v>
      </c>
      <c r="AF918" s="167" t="s">
        <v>3470</v>
      </c>
    </row>
    <row r="919" spans="16:32" x14ac:dyDescent="0.25">
      <c r="P919" s="167" t="s">
        <v>739</v>
      </c>
      <c r="Q919" s="167">
        <v>353</v>
      </c>
      <c r="R919" s="167" t="s">
        <v>3407</v>
      </c>
      <c r="S919" s="167" t="s">
        <v>2398</v>
      </c>
      <c r="T919" s="167">
        <v>12</v>
      </c>
      <c r="U919" s="167" t="s">
        <v>2399</v>
      </c>
      <c r="V919" s="167" t="s">
        <v>3409</v>
      </c>
      <c r="AB919" s="167" t="s">
        <v>1861</v>
      </c>
      <c r="AC919" s="167">
        <v>353</v>
      </c>
      <c r="AD919" s="203">
        <v>43180</v>
      </c>
      <c r="AE919" s="203">
        <v>0</v>
      </c>
      <c r="AF919" s="167" t="s">
        <v>3469</v>
      </c>
    </row>
    <row r="920" spans="16:32" x14ac:dyDescent="0.25">
      <c r="P920" s="167" t="s">
        <v>739</v>
      </c>
      <c r="Q920" s="167">
        <v>353</v>
      </c>
      <c r="R920" s="167" t="s">
        <v>3407</v>
      </c>
      <c r="S920" s="167" t="s">
        <v>955</v>
      </c>
      <c r="T920" s="167">
        <v>10</v>
      </c>
      <c r="U920" s="167" t="s">
        <v>2400</v>
      </c>
      <c r="V920" s="167" t="s">
        <v>3409</v>
      </c>
      <c r="AB920" s="167" t="s">
        <v>1863</v>
      </c>
      <c r="AC920" s="167">
        <v>323</v>
      </c>
      <c r="AD920" s="203">
        <v>43074</v>
      </c>
      <c r="AE920" s="203">
        <v>43111</v>
      </c>
      <c r="AF920" s="167" t="s">
        <v>3470</v>
      </c>
    </row>
    <row r="921" spans="16:32" x14ac:dyDescent="0.25">
      <c r="P921" s="167" t="s">
        <v>739</v>
      </c>
      <c r="Q921" s="167">
        <v>353</v>
      </c>
      <c r="R921" s="167" t="s">
        <v>3407</v>
      </c>
      <c r="S921" s="167" t="s">
        <v>955</v>
      </c>
      <c r="T921" s="167">
        <v>14</v>
      </c>
      <c r="U921" s="167" t="s">
        <v>2400</v>
      </c>
      <c r="V921" s="167" t="s">
        <v>3409</v>
      </c>
      <c r="AB921" s="167" t="s">
        <v>1863</v>
      </c>
      <c r="AC921" s="167">
        <v>347</v>
      </c>
      <c r="AD921" s="203">
        <v>43118</v>
      </c>
      <c r="AE921" s="203">
        <v>43133</v>
      </c>
      <c r="AF921" s="167" t="s">
        <v>3470</v>
      </c>
    </row>
    <row r="922" spans="16:32" x14ac:dyDescent="0.25">
      <c r="P922" s="167" t="s">
        <v>739</v>
      </c>
      <c r="Q922" s="167">
        <v>353</v>
      </c>
      <c r="R922" s="167" t="s">
        <v>3407</v>
      </c>
      <c r="S922" s="167" t="s">
        <v>2402</v>
      </c>
      <c r="T922" s="167">
        <v>10</v>
      </c>
      <c r="U922" s="167" t="s">
        <v>2403</v>
      </c>
      <c r="V922" s="167" t="s">
        <v>3409</v>
      </c>
      <c r="AB922" s="167" t="s">
        <v>1863</v>
      </c>
      <c r="AC922" s="167">
        <v>335</v>
      </c>
      <c r="AD922" s="203">
        <v>43133</v>
      </c>
      <c r="AE922" s="203">
        <v>43147</v>
      </c>
      <c r="AF922" s="167" t="s">
        <v>3470</v>
      </c>
    </row>
    <row r="923" spans="16:32" x14ac:dyDescent="0.25">
      <c r="P923" s="167" t="s">
        <v>739</v>
      </c>
      <c r="Q923" s="167">
        <v>353</v>
      </c>
      <c r="R923" s="167" t="s">
        <v>3407</v>
      </c>
      <c r="S923" s="167" t="s">
        <v>2404</v>
      </c>
      <c r="T923" s="167">
        <v>6</v>
      </c>
      <c r="U923" s="167" t="s">
        <v>2405</v>
      </c>
      <c r="V923" s="167" t="s">
        <v>3409</v>
      </c>
      <c r="AB923" s="167" t="s">
        <v>1863</v>
      </c>
      <c r="AC923" s="167">
        <v>340</v>
      </c>
      <c r="AD923" s="203">
        <v>43133</v>
      </c>
      <c r="AE923" s="203">
        <v>43168</v>
      </c>
      <c r="AF923" s="167" t="s">
        <v>3470</v>
      </c>
    </row>
    <row r="924" spans="16:32" x14ac:dyDescent="0.25">
      <c r="P924" s="167" t="s">
        <v>739</v>
      </c>
      <c r="Q924" s="167">
        <v>353</v>
      </c>
      <c r="R924" s="167" t="s">
        <v>3407</v>
      </c>
      <c r="S924" s="167" t="s">
        <v>2404</v>
      </c>
      <c r="T924" s="167">
        <v>10</v>
      </c>
      <c r="U924" s="167" t="s">
        <v>2405</v>
      </c>
      <c r="V924" s="167" t="s">
        <v>3409</v>
      </c>
      <c r="AB924" s="167" t="s">
        <v>1863</v>
      </c>
      <c r="AC924" s="167">
        <v>340</v>
      </c>
      <c r="AD924" s="203">
        <v>43133</v>
      </c>
      <c r="AE924" s="203">
        <v>43168</v>
      </c>
      <c r="AF924" s="167" t="s">
        <v>3470</v>
      </c>
    </row>
    <row r="925" spans="16:32" x14ac:dyDescent="0.25">
      <c r="P925" s="167" t="s">
        <v>739</v>
      </c>
      <c r="Q925" s="167">
        <v>353</v>
      </c>
      <c r="R925" s="167" t="s">
        <v>3407</v>
      </c>
      <c r="S925" s="167" t="s">
        <v>2406</v>
      </c>
      <c r="T925" s="167">
        <v>5</v>
      </c>
      <c r="U925" s="167" t="s">
        <v>2407</v>
      </c>
      <c r="V925" s="167" t="s">
        <v>3409</v>
      </c>
      <c r="AB925" s="167" t="s">
        <v>1863</v>
      </c>
      <c r="AC925" s="167">
        <v>374</v>
      </c>
      <c r="AD925" s="203">
        <v>43195</v>
      </c>
      <c r="AE925" s="203">
        <v>0</v>
      </c>
      <c r="AF925" s="167" t="s">
        <v>3469</v>
      </c>
    </row>
    <row r="926" spans="16:32" x14ac:dyDescent="0.25">
      <c r="P926" s="167" t="s">
        <v>739</v>
      </c>
      <c r="Q926" s="167">
        <v>353</v>
      </c>
      <c r="R926" s="167" t="s">
        <v>3407</v>
      </c>
      <c r="S926" s="167" t="s">
        <v>2406</v>
      </c>
      <c r="T926" s="167">
        <v>9</v>
      </c>
      <c r="U926" s="167" t="s">
        <v>2407</v>
      </c>
      <c r="V926" s="167" t="s">
        <v>3409</v>
      </c>
      <c r="AB926" s="167" t="s">
        <v>1864</v>
      </c>
      <c r="AC926" s="167">
        <v>340</v>
      </c>
      <c r="AD926" s="203">
        <v>43133</v>
      </c>
      <c r="AE926" s="203">
        <v>43168</v>
      </c>
      <c r="AF926" s="167" t="s">
        <v>3470</v>
      </c>
    </row>
    <row r="927" spans="16:32" x14ac:dyDescent="0.25">
      <c r="P927" s="167" t="s">
        <v>739</v>
      </c>
      <c r="Q927" s="167">
        <v>353</v>
      </c>
      <c r="R927" s="167" t="s">
        <v>3407</v>
      </c>
      <c r="S927" s="167" t="s">
        <v>2408</v>
      </c>
      <c r="T927" s="167">
        <v>3</v>
      </c>
      <c r="U927" s="167" t="s">
        <v>2409</v>
      </c>
      <c r="V927" s="167" t="s">
        <v>3409</v>
      </c>
      <c r="AB927" s="167" t="s">
        <v>1865</v>
      </c>
      <c r="AC927" s="167">
        <v>327</v>
      </c>
      <c r="AD927" s="203">
        <v>43074</v>
      </c>
      <c r="AE927" s="203">
        <v>43131</v>
      </c>
      <c r="AF927" s="167" t="s">
        <v>3470</v>
      </c>
    </row>
    <row r="928" spans="16:32" x14ac:dyDescent="0.25">
      <c r="P928" s="167" t="s">
        <v>739</v>
      </c>
      <c r="Q928" s="167">
        <v>353</v>
      </c>
      <c r="R928" s="167" t="s">
        <v>3407</v>
      </c>
      <c r="S928" s="167" t="s">
        <v>2410</v>
      </c>
      <c r="T928" s="167">
        <v>14</v>
      </c>
      <c r="U928" s="167" t="s">
        <v>2411</v>
      </c>
      <c r="V928" s="167" t="s">
        <v>3409</v>
      </c>
      <c r="AB928" s="167" t="s">
        <v>1866</v>
      </c>
      <c r="AC928" s="167">
        <v>327</v>
      </c>
      <c r="AD928" s="203">
        <v>43074</v>
      </c>
      <c r="AE928" s="203">
        <v>43131</v>
      </c>
      <c r="AF928" s="167" t="s">
        <v>3470</v>
      </c>
    </row>
    <row r="929" spans="16:32" x14ac:dyDescent="0.25">
      <c r="P929" s="167" t="s">
        <v>739</v>
      </c>
      <c r="Q929" s="167">
        <v>353</v>
      </c>
      <c r="R929" s="167" t="s">
        <v>3407</v>
      </c>
      <c r="S929" s="167" t="s">
        <v>2414</v>
      </c>
      <c r="T929" s="167">
        <v>3</v>
      </c>
      <c r="U929" s="167" t="s">
        <v>2415</v>
      </c>
      <c r="V929" s="167" t="s">
        <v>3409</v>
      </c>
      <c r="AB929" s="167" t="s">
        <v>1866</v>
      </c>
      <c r="AC929" s="167">
        <v>327</v>
      </c>
      <c r="AD929" s="203">
        <v>43074</v>
      </c>
      <c r="AE929" s="203">
        <v>43131</v>
      </c>
      <c r="AF929" s="167" t="s">
        <v>3470</v>
      </c>
    </row>
    <row r="930" spans="16:32" x14ac:dyDescent="0.25">
      <c r="P930" s="167" t="s">
        <v>739</v>
      </c>
      <c r="Q930" s="167">
        <v>353</v>
      </c>
      <c r="R930" s="167" t="s">
        <v>3407</v>
      </c>
      <c r="S930" s="167" t="s">
        <v>2414</v>
      </c>
      <c r="T930" s="167">
        <v>20</v>
      </c>
      <c r="U930" s="167" t="s">
        <v>2415</v>
      </c>
      <c r="V930" s="167" t="s">
        <v>3409</v>
      </c>
      <c r="AB930" s="167" t="s">
        <v>1866</v>
      </c>
      <c r="AC930" s="167">
        <v>347</v>
      </c>
      <c r="AD930" s="203">
        <v>43118</v>
      </c>
      <c r="AE930" s="203">
        <v>43133</v>
      </c>
      <c r="AF930" s="167" t="s">
        <v>3470</v>
      </c>
    </row>
    <row r="931" spans="16:32" x14ac:dyDescent="0.25">
      <c r="P931" s="167" t="s">
        <v>739</v>
      </c>
      <c r="Q931" s="167">
        <v>353</v>
      </c>
      <c r="R931" s="167" t="s">
        <v>3407</v>
      </c>
      <c r="S931" s="167" t="s">
        <v>2414</v>
      </c>
      <c r="T931" s="167">
        <v>7</v>
      </c>
      <c r="U931" s="167" t="s">
        <v>2415</v>
      </c>
      <c r="V931" s="167" t="s">
        <v>3409</v>
      </c>
      <c r="AB931" s="167" t="s">
        <v>1866</v>
      </c>
      <c r="AC931" s="167">
        <v>357</v>
      </c>
      <c r="AD931" s="203">
        <v>43139</v>
      </c>
      <c r="AE931" s="203">
        <v>43164</v>
      </c>
      <c r="AF931" s="167" t="s">
        <v>3470</v>
      </c>
    </row>
    <row r="932" spans="16:32" x14ac:dyDescent="0.25">
      <c r="P932" s="167" t="s">
        <v>739</v>
      </c>
      <c r="Q932" s="167">
        <v>353</v>
      </c>
      <c r="R932" s="167" t="s">
        <v>3407</v>
      </c>
      <c r="S932" s="167" t="s">
        <v>2416</v>
      </c>
      <c r="T932" s="167">
        <v>2</v>
      </c>
      <c r="U932" s="167" t="s">
        <v>2417</v>
      </c>
      <c r="V932" s="167" t="s">
        <v>3409</v>
      </c>
      <c r="AB932" s="167" t="s">
        <v>1866</v>
      </c>
      <c r="AC932" s="167">
        <v>364</v>
      </c>
      <c r="AD932" s="203">
        <v>43168</v>
      </c>
      <c r="AE932" s="203">
        <v>43179</v>
      </c>
      <c r="AF932" s="167" t="s">
        <v>3470</v>
      </c>
    </row>
    <row r="933" spans="16:32" x14ac:dyDescent="0.25">
      <c r="P933" s="167" t="s">
        <v>739</v>
      </c>
      <c r="Q933" s="167">
        <v>353</v>
      </c>
      <c r="R933" s="167" t="s">
        <v>3407</v>
      </c>
      <c r="S933" s="167" t="s">
        <v>2418</v>
      </c>
      <c r="T933" s="167">
        <v>5</v>
      </c>
      <c r="U933" s="167" t="s">
        <v>2419</v>
      </c>
      <c r="V933" s="167" t="s">
        <v>3409</v>
      </c>
      <c r="AB933" s="167" t="s">
        <v>1866</v>
      </c>
      <c r="AC933" s="167">
        <v>374</v>
      </c>
      <c r="AD933" s="203">
        <v>43195</v>
      </c>
      <c r="AE933" s="203">
        <v>0</v>
      </c>
      <c r="AF933" s="167" t="s">
        <v>3469</v>
      </c>
    </row>
    <row r="934" spans="16:32" x14ac:dyDescent="0.25">
      <c r="P934" s="167" t="s">
        <v>739</v>
      </c>
      <c r="Q934" s="167">
        <v>353</v>
      </c>
      <c r="R934" s="167" t="s">
        <v>3407</v>
      </c>
      <c r="S934" s="167" t="s">
        <v>2420</v>
      </c>
      <c r="T934" s="167">
        <v>5</v>
      </c>
      <c r="U934" s="167" t="s">
        <v>2421</v>
      </c>
      <c r="V934" s="167" t="s">
        <v>3409</v>
      </c>
      <c r="AB934" s="167" t="s">
        <v>1867</v>
      </c>
      <c r="AC934" s="167">
        <v>323</v>
      </c>
      <c r="AD934" s="203">
        <v>43074</v>
      </c>
      <c r="AE934" s="203">
        <v>43111</v>
      </c>
      <c r="AF934" s="167" t="s">
        <v>3470</v>
      </c>
    </row>
    <row r="935" spans="16:32" x14ac:dyDescent="0.25">
      <c r="P935" s="167" t="s">
        <v>739</v>
      </c>
      <c r="Q935" s="167">
        <v>353</v>
      </c>
      <c r="R935" s="167" t="s">
        <v>3407</v>
      </c>
      <c r="S935" s="167" t="s">
        <v>2420</v>
      </c>
      <c r="T935" s="167">
        <v>40</v>
      </c>
      <c r="U935" s="167" t="s">
        <v>2421</v>
      </c>
      <c r="V935" s="167" t="s">
        <v>3409</v>
      </c>
      <c r="AB935" s="167" t="s">
        <v>1867</v>
      </c>
      <c r="AC935" s="167">
        <v>347</v>
      </c>
      <c r="AD935" s="203">
        <v>43118</v>
      </c>
      <c r="AE935" s="203">
        <v>43133</v>
      </c>
      <c r="AF935" s="167" t="s">
        <v>3470</v>
      </c>
    </row>
    <row r="936" spans="16:32" x14ac:dyDescent="0.25">
      <c r="P936" s="167" t="s">
        <v>739</v>
      </c>
      <c r="Q936" s="167">
        <v>353</v>
      </c>
      <c r="R936" s="167" t="s">
        <v>3407</v>
      </c>
      <c r="S936" s="167" t="s">
        <v>2422</v>
      </c>
      <c r="T936" s="167">
        <v>7</v>
      </c>
      <c r="U936" s="167" t="s">
        <v>2423</v>
      </c>
      <c r="V936" s="167" t="s">
        <v>3409</v>
      </c>
      <c r="AB936" s="167" t="s">
        <v>1867</v>
      </c>
      <c r="AC936" s="167">
        <v>340</v>
      </c>
      <c r="AD936" s="203">
        <v>43133</v>
      </c>
      <c r="AE936" s="203">
        <v>43168</v>
      </c>
      <c r="AF936" s="167" t="s">
        <v>3470</v>
      </c>
    </row>
    <row r="937" spans="16:32" x14ac:dyDescent="0.25">
      <c r="P937" s="167" t="s">
        <v>739</v>
      </c>
      <c r="Q937" s="167">
        <v>353</v>
      </c>
      <c r="R937" s="167" t="s">
        <v>3407</v>
      </c>
      <c r="S937" s="167" t="s">
        <v>2425</v>
      </c>
      <c r="T937" s="167">
        <v>7</v>
      </c>
      <c r="U937" s="167" t="s">
        <v>2426</v>
      </c>
      <c r="V937" s="167" t="s">
        <v>3409</v>
      </c>
      <c r="AB937" s="167" t="s">
        <v>1867</v>
      </c>
      <c r="AC937" s="167">
        <v>340</v>
      </c>
      <c r="AD937" s="203">
        <v>43133</v>
      </c>
      <c r="AE937" s="203">
        <v>43168</v>
      </c>
      <c r="AF937" s="167" t="s">
        <v>3470</v>
      </c>
    </row>
    <row r="938" spans="16:32" x14ac:dyDescent="0.25">
      <c r="P938" s="167" t="s">
        <v>739</v>
      </c>
      <c r="Q938" s="167">
        <v>353</v>
      </c>
      <c r="R938" s="167" t="s">
        <v>3407</v>
      </c>
      <c r="S938" s="167" t="s">
        <v>2428</v>
      </c>
      <c r="T938" s="167">
        <v>12</v>
      </c>
      <c r="U938" s="167" t="s">
        <v>2429</v>
      </c>
      <c r="V938" s="167" t="s">
        <v>3409</v>
      </c>
      <c r="AB938" s="167" t="s">
        <v>3417</v>
      </c>
      <c r="AC938" s="167">
        <v>323</v>
      </c>
      <c r="AD938" s="203">
        <v>43074</v>
      </c>
      <c r="AE938" s="203">
        <v>43111</v>
      </c>
      <c r="AF938" s="167" t="s">
        <v>3470</v>
      </c>
    </row>
    <row r="939" spans="16:32" x14ac:dyDescent="0.25">
      <c r="P939" s="167" t="s">
        <v>739</v>
      </c>
      <c r="Q939" s="167">
        <v>353</v>
      </c>
      <c r="R939" s="167" t="s">
        <v>3407</v>
      </c>
      <c r="S939" s="167" t="s">
        <v>1067</v>
      </c>
      <c r="T939" s="167">
        <v>12</v>
      </c>
      <c r="U939" s="167" t="s">
        <v>2430</v>
      </c>
      <c r="V939" s="167" t="s">
        <v>3409</v>
      </c>
      <c r="AB939" s="167" t="s">
        <v>3417</v>
      </c>
      <c r="AC939" s="167">
        <v>323</v>
      </c>
      <c r="AD939" s="203">
        <v>43074</v>
      </c>
      <c r="AE939" s="203">
        <v>43111</v>
      </c>
      <c r="AF939" s="167" t="s">
        <v>3470</v>
      </c>
    </row>
    <row r="940" spans="16:32" x14ac:dyDescent="0.25">
      <c r="P940" s="167" t="s">
        <v>739</v>
      </c>
      <c r="Q940" s="167">
        <v>353</v>
      </c>
      <c r="R940" s="167" t="s">
        <v>3407</v>
      </c>
      <c r="S940" s="167" t="s">
        <v>1068</v>
      </c>
      <c r="T940" s="167">
        <v>60</v>
      </c>
      <c r="U940" s="167" t="s">
        <v>2431</v>
      </c>
      <c r="V940" s="167" t="s">
        <v>3409</v>
      </c>
      <c r="AB940" s="167" t="s">
        <v>3417</v>
      </c>
      <c r="AC940" s="167">
        <v>335</v>
      </c>
      <c r="AD940" s="203">
        <v>43133</v>
      </c>
      <c r="AE940" s="203">
        <v>43147</v>
      </c>
      <c r="AF940" s="167" t="s">
        <v>3470</v>
      </c>
    </row>
    <row r="941" spans="16:32" x14ac:dyDescent="0.25">
      <c r="P941" s="167" t="s">
        <v>739</v>
      </c>
      <c r="Q941" s="167">
        <v>353</v>
      </c>
      <c r="R941" s="167" t="s">
        <v>3407</v>
      </c>
      <c r="S941" s="167" t="s">
        <v>2432</v>
      </c>
      <c r="T941" s="167">
        <v>13</v>
      </c>
      <c r="U941" s="167" t="s">
        <v>2433</v>
      </c>
      <c r="V941" s="167" t="s">
        <v>3409</v>
      </c>
      <c r="AB941" s="167" t="s">
        <v>3417</v>
      </c>
      <c r="AC941" s="167">
        <v>364</v>
      </c>
      <c r="AD941" s="203">
        <v>43168</v>
      </c>
      <c r="AE941" s="203">
        <v>43179</v>
      </c>
      <c r="AF941" s="167" t="s">
        <v>3470</v>
      </c>
    </row>
    <row r="942" spans="16:32" x14ac:dyDescent="0.25">
      <c r="P942" s="167" t="s">
        <v>739</v>
      </c>
      <c r="Q942" s="167">
        <v>353</v>
      </c>
      <c r="R942" s="167" t="s">
        <v>3407</v>
      </c>
      <c r="S942" s="167" t="s">
        <v>2435</v>
      </c>
      <c r="T942" s="167">
        <v>6</v>
      </c>
      <c r="U942" s="167" t="s">
        <v>2436</v>
      </c>
      <c r="V942" s="167" t="s">
        <v>3409</v>
      </c>
      <c r="AB942" s="167" t="s">
        <v>3417</v>
      </c>
      <c r="AC942" s="167">
        <v>353</v>
      </c>
      <c r="AD942" s="203">
        <v>43180</v>
      </c>
      <c r="AE942" s="203">
        <v>0</v>
      </c>
      <c r="AF942" s="167" t="s">
        <v>3469</v>
      </c>
    </row>
    <row r="943" spans="16:32" x14ac:dyDescent="0.25">
      <c r="P943" s="167" t="s">
        <v>739</v>
      </c>
      <c r="Q943" s="167">
        <v>353</v>
      </c>
      <c r="R943" s="167" t="s">
        <v>3407</v>
      </c>
      <c r="S943" s="167" t="s">
        <v>1069</v>
      </c>
      <c r="T943" s="167">
        <v>204</v>
      </c>
      <c r="U943" s="167" t="s">
        <v>2439</v>
      </c>
      <c r="V943" s="167" t="s">
        <v>3409</v>
      </c>
      <c r="AB943" s="167" t="s">
        <v>3417</v>
      </c>
      <c r="AC943" s="167">
        <v>353</v>
      </c>
      <c r="AD943" s="203">
        <v>43180</v>
      </c>
      <c r="AE943" s="203">
        <v>0</v>
      </c>
      <c r="AF943" s="167" t="s">
        <v>3469</v>
      </c>
    </row>
    <row r="944" spans="16:32" x14ac:dyDescent="0.25">
      <c r="P944" s="167" t="s">
        <v>739</v>
      </c>
      <c r="Q944" s="167">
        <v>353</v>
      </c>
      <c r="R944" s="167" t="s">
        <v>3407</v>
      </c>
      <c r="S944" s="167" t="s">
        <v>956</v>
      </c>
      <c r="T944" s="167">
        <v>13</v>
      </c>
      <c r="U944" s="167" t="s">
        <v>2443</v>
      </c>
      <c r="V944" s="167" t="s">
        <v>3409</v>
      </c>
      <c r="AB944" s="167" t="s">
        <v>3417</v>
      </c>
      <c r="AC944" s="167">
        <v>353</v>
      </c>
      <c r="AD944" s="203">
        <v>43180</v>
      </c>
      <c r="AE944" s="203">
        <v>0</v>
      </c>
      <c r="AF944" s="167" t="s">
        <v>3469</v>
      </c>
    </row>
    <row r="945" spans="16:32" x14ac:dyDescent="0.25">
      <c r="P945" s="167" t="s">
        <v>739</v>
      </c>
      <c r="Q945" s="167">
        <v>353</v>
      </c>
      <c r="R945" s="167" t="s">
        <v>3407</v>
      </c>
      <c r="S945" s="167" t="s">
        <v>2444</v>
      </c>
      <c r="T945" s="167">
        <v>1</v>
      </c>
      <c r="U945" s="167" t="s">
        <v>2445</v>
      </c>
      <c r="V945" s="167" t="s">
        <v>3409</v>
      </c>
      <c r="AB945" s="167" t="s">
        <v>3417</v>
      </c>
      <c r="AC945" s="167">
        <v>353</v>
      </c>
      <c r="AD945" s="203">
        <v>43180</v>
      </c>
      <c r="AE945" s="203">
        <v>0</v>
      </c>
      <c r="AF945" s="167" t="s">
        <v>3469</v>
      </c>
    </row>
    <row r="946" spans="16:32" x14ac:dyDescent="0.25">
      <c r="P946" s="167" t="s">
        <v>739</v>
      </c>
      <c r="Q946" s="167">
        <v>353</v>
      </c>
      <c r="R946" s="167" t="s">
        <v>3407</v>
      </c>
      <c r="S946" s="167" t="s">
        <v>2444</v>
      </c>
      <c r="T946" s="167">
        <v>2</v>
      </c>
      <c r="U946" s="167" t="s">
        <v>2445</v>
      </c>
      <c r="V946" s="167" t="s">
        <v>3409</v>
      </c>
      <c r="AB946" s="167" t="s">
        <v>1869</v>
      </c>
      <c r="AC946" s="167">
        <v>327</v>
      </c>
      <c r="AD946" s="203">
        <v>43074</v>
      </c>
      <c r="AE946" s="203">
        <v>43131</v>
      </c>
      <c r="AF946" s="167" t="s">
        <v>3470</v>
      </c>
    </row>
    <row r="947" spans="16:32" x14ac:dyDescent="0.25">
      <c r="P947" s="167" t="s">
        <v>739</v>
      </c>
      <c r="Q947" s="167">
        <v>353</v>
      </c>
      <c r="R947" s="167" t="s">
        <v>3407</v>
      </c>
      <c r="S947" s="167" t="s">
        <v>2446</v>
      </c>
      <c r="T947" s="167">
        <v>3</v>
      </c>
      <c r="U947" s="167" t="s">
        <v>2447</v>
      </c>
      <c r="V947" s="167" t="s">
        <v>3409</v>
      </c>
      <c r="AB947" s="167" t="s">
        <v>1869</v>
      </c>
      <c r="AC947" s="167">
        <v>347</v>
      </c>
      <c r="AD947" s="203">
        <v>43118</v>
      </c>
      <c r="AE947" s="203">
        <v>43133</v>
      </c>
      <c r="AF947" s="167" t="s">
        <v>3470</v>
      </c>
    </row>
    <row r="948" spans="16:32" x14ac:dyDescent="0.25">
      <c r="P948" s="167" t="s">
        <v>739</v>
      </c>
      <c r="Q948" s="167">
        <v>353</v>
      </c>
      <c r="R948" s="167" t="s">
        <v>3407</v>
      </c>
      <c r="S948" s="167" t="s">
        <v>2450</v>
      </c>
      <c r="T948" s="167">
        <v>10</v>
      </c>
      <c r="U948" s="167" t="s">
        <v>2451</v>
      </c>
      <c r="V948" s="167" t="s">
        <v>3409</v>
      </c>
      <c r="AB948" s="167" t="s">
        <v>1869</v>
      </c>
      <c r="AC948" s="167">
        <v>340</v>
      </c>
      <c r="AD948" s="203">
        <v>43133</v>
      </c>
      <c r="AE948" s="203">
        <v>43168</v>
      </c>
      <c r="AF948" s="167" t="s">
        <v>3470</v>
      </c>
    </row>
    <row r="949" spans="16:32" x14ac:dyDescent="0.25">
      <c r="P949" s="167" t="s">
        <v>739</v>
      </c>
      <c r="Q949" s="167">
        <v>353</v>
      </c>
      <c r="R949" s="167" t="s">
        <v>3407</v>
      </c>
      <c r="S949" s="167" t="s">
        <v>2453</v>
      </c>
      <c r="T949" s="167">
        <v>6</v>
      </c>
      <c r="U949" s="167" t="s">
        <v>2454</v>
      </c>
      <c r="V949" s="167" t="s">
        <v>3409</v>
      </c>
      <c r="AB949" s="167" t="s">
        <v>1869</v>
      </c>
      <c r="AC949" s="167">
        <v>340</v>
      </c>
      <c r="AD949" s="203">
        <v>43133</v>
      </c>
      <c r="AE949" s="203">
        <v>43168</v>
      </c>
      <c r="AF949" s="167" t="s">
        <v>3470</v>
      </c>
    </row>
    <row r="950" spans="16:32" x14ac:dyDescent="0.25">
      <c r="P950" s="167" t="s">
        <v>739</v>
      </c>
      <c r="Q950" s="167">
        <v>353</v>
      </c>
      <c r="R950" s="167" t="s">
        <v>3407</v>
      </c>
      <c r="S950" s="167" t="s">
        <v>2453</v>
      </c>
      <c r="T950" s="167">
        <v>1</v>
      </c>
      <c r="U950" s="167" t="s">
        <v>2454</v>
      </c>
      <c r="V950" s="167" t="s">
        <v>3409</v>
      </c>
      <c r="AB950" s="167" t="s">
        <v>1869</v>
      </c>
      <c r="AC950" s="167">
        <v>357</v>
      </c>
      <c r="AD950" s="203">
        <v>43139</v>
      </c>
      <c r="AE950" s="203">
        <v>43164</v>
      </c>
      <c r="AF950" s="167" t="s">
        <v>3470</v>
      </c>
    </row>
    <row r="951" spans="16:32" x14ac:dyDescent="0.25">
      <c r="P951" s="167" t="s">
        <v>739</v>
      </c>
      <c r="Q951" s="167">
        <v>353</v>
      </c>
      <c r="R951" s="167" t="s">
        <v>3407</v>
      </c>
      <c r="S951" s="167" t="s">
        <v>2453</v>
      </c>
      <c r="T951" s="167">
        <v>2</v>
      </c>
      <c r="U951" s="167" t="s">
        <v>2454</v>
      </c>
      <c r="V951" s="167" t="s">
        <v>3409</v>
      </c>
      <c r="AB951" s="167" t="s">
        <v>1869</v>
      </c>
      <c r="AC951" s="167">
        <v>364</v>
      </c>
      <c r="AD951" s="203">
        <v>43168</v>
      </c>
      <c r="AE951" s="203">
        <v>43179</v>
      </c>
      <c r="AF951" s="167" t="s">
        <v>3470</v>
      </c>
    </row>
    <row r="952" spans="16:32" x14ac:dyDescent="0.25">
      <c r="P952" s="167" t="s">
        <v>739</v>
      </c>
      <c r="Q952" s="167">
        <v>353</v>
      </c>
      <c r="R952" s="167" t="s">
        <v>3407</v>
      </c>
      <c r="S952" s="167" t="s">
        <v>2453</v>
      </c>
      <c r="T952" s="167">
        <v>2</v>
      </c>
      <c r="U952" s="167" t="s">
        <v>2454</v>
      </c>
      <c r="V952" s="167" t="s">
        <v>3409</v>
      </c>
      <c r="AB952" s="167" t="s">
        <v>1869</v>
      </c>
      <c r="AC952" s="167">
        <v>353</v>
      </c>
      <c r="AD952" s="203">
        <v>43180</v>
      </c>
      <c r="AE952" s="203">
        <v>0</v>
      </c>
      <c r="AF952" s="167" t="s">
        <v>3469</v>
      </c>
    </row>
    <row r="953" spans="16:32" x14ac:dyDescent="0.25">
      <c r="P953" s="167" t="s">
        <v>739</v>
      </c>
      <c r="Q953" s="167">
        <v>353</v>
      </c>
      <c r="R953" s="167" t="s">
        <v>3407</v>
      </c>
      <c r="S953" s="167" t="s">
        <v>2453</v>
      </c>
      <c r="T953" s="167">
        <v>3</v>
      </c>
      <c r="U953" s="167" t="s">
        <v>2454</v>
      </c>
      <c r="V953" s="167" t="s">
        <v>3409</v>
      </c>
      <c r="AB953" s="167" t="s">
        <v>1869</v>
      </c>
      <c r="AC953" s="167">
        <v>353</v>
      </c>
      <c r="AD953" s="203">
        <v>43180</v>
      </c>
      <c r="AE953" s="203">
        <v>0</v>
      </c>
      <c r="AF953" s="167" t="s">
        <v>3469</v>
      </c>
    </row>
    <row r="954" spans="16:32" x14ac:dyDescent="0.25">
      <c r="P954" s="167" t="s">
        <v>739</v>
      </c>
      <c r="Q954" s="167">
        <v>353</v>
      </c>
      <c r="R954" s="167" t="s">
        <v>3407</v>
      </c>
      <c r="S954" s="167" t="s">
        <v>2455</v>
      </c>
      <c r="T954" s="167">
        <v>4</v>
      </c>
      <c r="U954" s="167" t="s">
        <v>2456</v>
      </c>
      <c r="V954" s="167" t="s">
        <v>3409</v>
      </c>
      <c r="AB954" s="167" t="s">
        <v>1870</v>
      </c>
      <c r="AC954" s="167">
        <v>327</v>
      </c>
      <c r="AD954" s="203">
        <v>43074</v>
      </c>
      <c r="AE954" s="203">
        <v>43131</v>
      </c>
      <c r="AF954" s="167" t="s">
        <v>3470</v>
      </c>
    </row>
    <row r="955" spans="16:32" x14ac:dyDescent="0.25">
      <c r="P955" s="167" t="s">
        <v>739</v>
      </c>
      <c r="Q955" s="167">
        <v>353</v>
      </c>
      <c r="R955" s="167" t="s">
        <v>3407</v>
      </c>
      <c r="S955" s="167" t="s">
        <v>2457</v>
      </c>
      <c r="T955" s="167">
        <v>10</v>
      </c>
      <c r="U955" s="167" t="s">
        <v>2458</v>
      </c>
      <c r="V955" s="167" t="s">
        <v>3409</v>
      </c>
      <c r="AB955" s="167" t="s">
        <v>1870</v>
      </c>
      <c r="AC955" s="167">
        <v>327</v>
      </c>
      <c r="AD955" s="203">
        <v>43074</v>
      </c>
      <c r="AE955" s="203">
        <v>43131</v>
      </c>
      <c r="AF955" s="167" t="s">
        <v>3470</v>
      </c>
    </row>
    <row r="956" spans="16:32" x14ac:dyDescent="0.25">
      <c r="P956" s="167" t="s">
        <v>739</v>
      </c>
      <c r="Q956" s="167">
        <v>353</v>
      </c>
      <c r="R956" s="167" t="s">
        <v>3407</v>
      </c>
      <c r="S956" s="167" t="s">
        <v>2459</v>
      </c>
      <c r="T956" s="167">
        <v>12</v>
      </c>
      <c r="U956" s="167" t="s">
        <v>2460</v>
      </c>
      <c r="V956" s="167" t="s">
        <v>3409</v>
      </c>
      <c r="AB956" s="167" t="s">
        <v>1870</v>
      </c>
      <c r="AC956" s="167">
        <v>327</v>
      </c>
      <c r="AD956" s="203">
        <v>43074</v>
      </c>
      <c r="AE956" s="203">
        <v>43131</v>
      </c>
      <c r="AF956" s="167" t="s">
        <v>3470</v>
      </c>
    </row>
    <row r="957" spans="16:32" x14ac:dyDescent="0.25">
      <c r="P957" s="167" t="s">
        <v>739</v>
      </c>
      <c r="Q957" s="167">
        <v>353</v>
      </c>
      <c r="R957" s="167" t="s">
        <v>3407</v>
      </c>
      <c r="S957" s="167" t="s">
        <v>2459</v>
      </c>
      <c r="T957" s="167">
        <v>35</v>
      </c>
      <c r="U957" s="167" t="s">
        <v>2460</v>
      </c>
      <c r="V957" s="167" t="s">
        <v>3409</v>
      </c>
      <c r="AB957" s="167" t="s">
        <v>1870</v>
      </c>
      <c r="AC957" s="167">
        <v>327</v>
      </c>
      <c r="AD957" s="203">
        <v>43074</v>
      </c>
      <c r="AE957" s="203">
        <v>43131</v>
      </c>
      <c r="AF957" s="167" t="s">
        <v>3470</v>
      </c>
    </row>
    <row r="958" spans="16:32" x14ac:dyDescent="0.25">
      <c r="P958" s="167" t="s">
        <v>739</v>
      </c>
      <c r="Q958" s="167">
        <v>353</v>
      </c>
      <c r="R958" s="167" t="s">
        <v>3407</v>
      </c>
      <c r="S958" s="167" t="s">
        <v>2463</v>
      </c>
      <c r="T958" s="167">
        <v>5</v>
      </c>
      <c r="U958" s="167" t="s">
        <v>2464</v>
      </c>
      <c r="V958" s="167" t="s">
        <v>3409</v>
      </c>
      <c r="AB958" s="167" t="s">
        <v>1870</v>
      </c>
      <c r="AC958" s="167">
        <v>327</v>
      </c>
      <c r="AD958" s="203">
        <v>43074</v>
      </c>
      <c r="AE958" s="203">
        <v>43131</v>
      </c>
      <c r="AF958" s="167" t="s">
        <v>3470</v>
      </c>
    </row>
    <row r="959" spans="16:32" x14ac:dyDescent="0.25">
      <c r="P959" s="167" t="s">
        <v>739</v>
      </c>
      <c r="Q959" s="167">
        <v>353</v>
      </c>
      <c r="R959" s="167" t="s">
        <v>3407</v>
      </c>
      <c r="S959" s="167" t="s">
        <v>2463</v>
      </c>
      <c r="T959" s="167">
        <v>15</v>
      </c>
      <c r="U959" s="167" t="s">
        <v>2464</v>
      </c>
      <c r="V959" s="167" t="s">
        <v>3409</v>
      </c>
      <c r="AB959" s="167" t="s">
        <v>1870</v>
      </c>
      <c r="AC959" s="167">
        <v>327</v>
      </c>
      <c r="AD959" s="203">
        <v>43074</v>
      </c>
      <c r="AE959" s="203">
        <v>43131</v>
      </c>
      <c r="AF959" s="167" t="s">
        <v>3470</v>
      </c>
    </row>
    <row r="960" spans="16:32" x14ac:dyDescent="0.25">
      <c r="P960" s="167" t="s">
        <v>739</v>
      </c>
      <c r="Q960" s="167">
        <v>353</v>
      </c>
      <c r="R960" s="167" t="s">
        <v>3407</v>
      </c>
      <c r="S960" s="167" t="s">
        <v>2463</v>
      </c>
      <c r="T960" s="167">
        <v>3</v>
      </c>
      <c r="U960" s="167" t="s">
        <v>2464</v>
      </c>
      <c r="V960" s="167" t="s">
        <v>3409</v>
      </c>
      <c r="AB960" s="167" t="s">
        <v>1870</v>
      </c>
      <c r="AC960" s="167">
        <v>339</v>
      </c>
      <c r="AD960" s="203">
        <v>43087</v>
      </c>
      <c r="AE960" s="203">
        <v>43111</v>
      </c>
      <c r="AF960" s="167" t="s">
        <v>3470</v>
      </c>
    </row>
    <row r="961" spans="16:32" x14ac:dyDescent="0.25">
      <c r="P961" s="167" t="s">
        <v>739</v>
      </c>
      <c r="Q961" s="167">
        <v>353</v>
      </c>
      <c r="R961" s="167" t="s">
        <v>3407</v>
      </c>
      <c r="S961" s="167" t="s">
        <v>2463</v>
      </c>
      <c r="T961" s="167">
        <v>10</v>
      </c>
      <c r="U961" s="167" t="s">
        <v>2464</v>
      </c>
      <c r="V961" s="167" t="s">
        <v>3409</v>
      </c>
      <c r="AB961" s="167" t="s">
        <v>1870</v>
      </c>
      <c r="AC961" s="167">
        <v>347</v>
      </c>
      <c r="AD961" s="203">
        <v>43118</v>
      </c>
      <c r="AE961" s="203">
        <v>43133</v>
      </c>
      <c r="AF961" s="167" t="s">
        <v>3470</v>
      </c>
    </row>
    <row r="962" spans="16:32" x14ac:dyDescent="0.25">
      <c r="P962" s="167" t="s">
        <v>739</v>
      </c>
      <c r="Q962" s="167">
        <v>353</v>
      </c>
      <c r="R962" s="167" t="s">
        <v>3407</v>
      </c>
      <c r="S962" s="167" t="s">
        <v>2463</v>
      </c>
      <c r="T962" s="167">
        <v>20</v>
      </c>
      <c r="U962" s="167" t="s">
        <v>2464</v>
      </c>
      <c r="V962" s="167" t="s">
        <v>3409</v>
      </c>
      <c r="AB962" s="167" t="s">
        <v>1870</v>
      </c>
      <c r="AC962" s="167">
        <v>352</v>
      </c>
      <c r="AD962" s="203">
        <v>43133</v>
      </c>
      <c r="AE962" s="203">
        <v>43179</v>
      </c>
      <c r="AF962" s="167" t="s">
        <v>3470</v>
      </c>
    </row>
    <row r="963" spans="16:32" x14ac:dyDescent="0.25">
      <c r="P963" s="167" t="s">
        <v>739</v>
      </c>
      <c r="Q963" s="167">
        <v>353</v>
      </c>
      <c r="R963" s="167" t="s">
        <v>3407</v>
      </c>
      <c r="S963" s="167" t="s">
        <v>2463</v>
      </c>
      <c r="T963" s="167">
        <v>5</v>
      </c>
      <c r="U963" s="167" t="s">
        <v>2464</v>
      </c>
      <c r="V963" s="167" t="s">
        <v>3409</v>
      </c>
      <c r="AB963" s="167" t="s">
        <v>1870</v>
      </c>
      <c r="AC963" s="167">
        <v>364</v>
      </c>
      <c r="AD963" s="203">
        <v>43168</v>
      </c>
      <c r="AE963" s="203">
        <v>43179</v>
      </c>
      <c r="AF963" s="167" t="s">
        <v>3470</v>
      </c>
    </row>
    <row r="964" spans="16:32" x14ac:dyDescent="0.25">
      <c r="P964" s="167" t="s">
        <v>739</v>
      </c>
      <c r="Q964" s="167">
        <v>353</v>
      </c>
      <c r="R964" s="167" t="s">
        <v>3407</v>
      </c>
      <c r="S964" s="167" t="s">
        <v>2466</v>
      </c>
      <c r="T964" s="167">
        <v>8</v>
      </c>
      <c r="U964" s="167" t="s">
        <v>2467</v>
      </c>
      <c r="V964" s="167" t="s">
        <v>3409</v>
      </c>
      <c r="AB964" s="167" t="s">
        <v>1870</v>
      </c>
      <c r="AC964" s="167">
        <v>374</v>
      </c>
      <c r="AD964" s="203">
        <v>43195</v>
      </c>
      <c r="AE964" s="203">
        <v>0</v>
      </c>
      <c r="AF964" s="167" t="s">
        <v>3469</v>
      </c>
    </row>
    <row r="965" spans="16:32" x14ac:dyDescent="0.25">
      <c r="P965" s="167" t="s">
        <v>739</v>
      </c>
      <c r="Q965" s="167">
        <v>353</v>
      </c>
      <c r="R965" s="167" t="s">
        <v>3407</v>
      </c>
      <c r="S965" s="167" t="s">
        <v>1072</v>
      </c>
      <c r="T965" s="167">
        <v>17</v>
      </c>
      <c r="U965" s="167" t="s">
        <v>2469</v>
      </c>
      <c r="V965" s="167" t="s">
        <v>3409</v>
      </c>
      <c r="AB965" s="167" t="s">
        <v>3452</v>
      </c>
      <c r="AC965" s="167">
        <v>327</v>
      </c>
      <c r="AD965" s="203">
        <v>43074</v>
      </c>
      <c r="AE965" s="203">
        <v>43131</v>
      </c>
      <c r="AF965" s="167" t="s">
        <v>3470</v>
      </c>
    </row>
    <row r="966" spans="16:32" x14ac:dyDescent="0.25">
      <c r="P966" s="167" t="s">
        <v>739</v>
      </c>
      <c r="Q966" s="167">
        <v>353</v>
      </c>
      <c r="R966" s="167" t="s">
        <v>3407</v>
      </c>
      <c r="S966" s="167" t="s">
        <v>2470</v>
      </c>
      <c r="T966" s="167">
        <v>4</v>
      </c>
      <c r="U966" s="167" t="s">
        <v>2471</v>
      </c>
      <c r="V966" s="167" t="s">
        <v>3409</v>
      </c>
      <c r="AB966" s="167" t="s">
        <v>3452</v>
      </c>
      <c r="AC966" s="167">
        <v>339</v>
      </c>
      <c r="AD966" s="203">
        <v>43087</v>
      </c>
      <c r="AE966" s="203">
        <v>43111</v>
      </c>
      <c r="AF966" s="167" t="s">
        <v>3470</v>
      </c>
    </row>
    <row r="967" spans="16:32" x14ac:dyDescent="0.25">
      <c r="P967" s="167" t="s">
        <v>739</v>
      </c>
      <c r="Q967" s="167">
        <v>353</v>
      </c>
      <c r="R967" s="167" t="s">
        <v>3407</v>
      </c>
      <c r="S967" s="167" t="s">
        <v>2472</v>
      </c>
      <c r="T967" s="167">
        <v>20</v>
      </c>
      <c r="U967" s="167" t="s">
        <v>2473</v>
      </c>
      <c r="V967" s="167" t="s">
        <v>3409</v>
      </c>
      <c r="AB967" s="167" t="s">
        <v>3452</v>
      </c>
      <c r="AC967" s="167">
        <v>347</v>
      </c>
      <c r="AD967" s="203">
        <v>43118</v>
      </c>
      <c r="AE967" s="203">
        <v>43133</v>
      </c>
      <c r="AF967" s="167" t="s">
        <v>3470</v>
      </c>
    </row>
    <row r="968" spans="16:32" x14ac:dyDescent="0.25">
      <c r="P968" s="167" t="s">
        <v>739</v>
      </c>
      <c r="Q968" s="167">
        <v>353</v>
      </c>
      <c r="R968" s="167" t="s">
        <v>3407</v>
      </c>
      <c r="S968" s="167" t="s">
        <v>2472</v>
      </c>
      <c r="T968" s="167">
        <v>20</v>
      </c>
      <c r="U968" s="167" t="s">
        <v>2473</v>
      </c>
      <c r="V968" s="167" t="s">
        <v>3409</v>
      </c>
      <c r="AB968" s="167" t="s">
        <v>3452</v>
      </c>
      <c r="AC968" s="167">
        <v>352</v>
      </c>
      <c r="AD968" s="203">
        <v>43133</v>
      </c>
      <c r="AE968" s="203">
        <v>43179</v>
      </c>
      <c r="AF968" s="167" t="s">
        <v>3470</v>
      </c>
    </row>
    <row r="969" spans="16:32" x14ac:dyDescent="0.25">
      <c r="P969" s="167" t="s">
        <v>739</v>
      </c>
      <c r="Q969" s="167">
        <v>353</v>
      </c>
      <c r="R969" s="167" t="s">
        <v>3407</v>
      </c>
      <c r="S969" s="167" t="s">
        <v>2475</v>
      </c>
      <c r="T969" s="167">
        <v>6</v>
      </c>
      <c r="U969" s="167" t="s">
        <v>2476</v>
      </c>
      <c r="V969" s="167" t="s">
        <v>3409</v>
      </c>
      <c r="AB969" s="167" t="s">
        <v>3452</v>
      </c>
      <c r="AC969" s="167">
        <v>357</v>
      </c>
      <c r="AD969" s="203">
        <v>43139</v>
      </c>
      <c r="AE969" s="203">
        <v>43164</v>
      </c>
      <c r="AF969" s="167" t="s">
        <v>3470</v>
      </c>
    </row>
    <row r="970" spans="16:32" x14ac:dyDescent="0.25">
      <c r="P970" s="167" t="s">
        <v>739</v>
      </c>
      <c r="Q970" s="167">
        <v>353</v>
      </c>
      <c r="R970" s="167" t="s">
        <v>3407</v>
      </c>
      <c r="S970" s="167" t="s">
        <v>2475</v>
      </c>
      <c r="T970" s="167">
        <v>1</v>
      </c>
      <c r="U970" s="167" t="s">
        <v>2476</v>
      </c>
      <c r="V970" s="167" t="s">
        <v>3409</v>
      </c>
      <c r="AB970" s="167" t="s">
        <v>3452</v>
      </c>
      <c r="AC970" s="167">
        <v>364</v>
      </c>
      <c r="AD970" s="203">
        <v>43168</v>
      </c>
      <c r="AE970" s="203">
        <v>43179</v>
      </c>
      <c r="AF970" s="167" t="s">
        <v>3470</v>
      </c>
    </row>
    <row r="971" spans="16:32" x14ac:dyDescent="0.25">
      <c r="P971" s="167" t="s">
        <v>739</v>
      </c>
      <c r="Q971" s="167">
        <v>353</v>
      </c>
      <c r="R971" s="167" t="s">
        <v>3407</v>
      </c>
      <c r="S971" s="167" t="s">
        <v>2475</v>
      </c>
      <c r="T971" s="167">
        <v>3</v>
      </c>
      <c r="U971" s="167" t="s">
        <v>2476</v>
      </c>
      <c r="V971" s="167" t="s">
        <v>3409</v>
      </c>
      <c r="AB971" s="167" t="s">
        <v>3452</v>
      </c>
      <c r="AC971" s="167">
        <v>374</v>
      </c>
      <c r="AD971" s="203">
        <v>43195</v>
      </c>
      <c r="AE971" s="203">
        <v>0</v>
      </c>
      <c r="AF971" s="167" t="s">
        <v>3469</v>
      </c>
    </row>
    <row r="972" spans="16:32" x14ac:dyDescent="0.25">
      <c r="P972" s="167" t="s">
        <v>739</v>
      </c>
      <c r="Q972" s="167">
        <v>353</v>
      </c>
      <c r="R972" s="167" t="s">
        <v>3407</v>
      </c>
      <c r="S972" s="167" t="s">
        <v>2477</v>
      </c>
      <c r="T972" s="167">
        <v>5</v>
      </c>
      <c r="U972" s="167" t="s">
        <v>2478</v>
      </c>
      <c r="V972" s="167" t="s">
        <v>3409</v>
      </c>
      <c r="AB972" s="167" t="s">
        <v>3453</v>
      </c>
      <c r="AC972" s="167">
        <v>327</v>
      </c>
      <c r="AD972" s="203">
        <v>43074</v>
      </c>
      <c r="AE972" s="203">
        <v>43131</v>
      </c>
      <c r="AF972" s="167" t="s">
        <v>3470</v>
      </c>
    </row>
    <row r="973" spans="16:32" x14ac:dyDescent="0.25">
      <c r="P973" s="167" t="s">
        <v>739</v>
      </c>
      <c r="Q973" s="167">
        <v>353</v>
      </c>
      <c r="R973" s="167" t="s">
        <v>3407</v>
      </c>
      <c r="S973" s="167" t="s">
        <v>2477</v>
      </c>
      <c r="T973" s="167">
        <v>4</v>
      </c>
      <c r="U973" s="167" t="s">
        <v>2478</v>
      </c>
      <c r="V973" s="167" t="s">
        <v>3409</v>
      </c>
      <c r="AB973" s="167" t="s">
        <v>3453</v>
      </c>
      <c r="AC973" s="167">
        <v>339</v>
      </c>
      <c r="AD973" s="203">
        <v>43087</v>
      </c>
      <c r="AE973" s="203">
        <v>43111</v>
      </c>
      <c r="AF973" s="167" t="s">
        <v>3470</v>
      </c>
    </row>
    <row r="974" spans="16:32" x14ac:dyDescent="0.25">
      <c r="P974" s="167" t="s">
        <v>739</v>
      </c>
      <c r="Q974" s="167">
        <v>353</v>
      </c>
      <c r="R974" s="167" t="s">
        <v>3407</v>
      </c>
      <c r="S974" s="167" t="s">
        <v>2477</v>
      </c>
      <c r="T974" s="167">
        <v>15</v>
      </c>
      <c r="U974" s="167" t="s">
        <v>2478</v>
      </c>
      <c r="V974" s="167" t="s">
        <v>3409</v>
      </c>
      <c r="AB974" s="167" t="s">
        <v>3453</v>
      </c>
      <c r="AC974" s="167">
        <v>347</v>
      </c>
      <c r="AD974" s="203">
        <v>43118</v>
      </c>
      <c r="AE974" s="203">
        <v>43133</v>
      </c>
      <c r="AF974" s="167" t="s">
        <v>3470</v>
      </c>
    </row>
    <row r="975" spans="16:32" x14ac:dyDescent="0.25">
      <c r="P975" s="167" t="s">
        <v>739</v>
      </c>
      <c r="Q975" s="167">
        <v>353</v>
      </c>
      <c r="R975" s="167" t="s">
        <v>3407</v>
      </c>
      <c r="S975" s="167" t="s">
        <v>2477</v>
      </c>
      <c r="T975" s="167">
        <v>5</v>
      </c>
      <c r="U975" s="167" t="s">
        <v>2478</v>
      </c>
      <c r="V975" s="167" t="s">
        <v>3409</v>
      </c>
      <c r="AB975" s="167" t="s">
        <v>3453</v>
      </c>
      <c r="AC975" s="167">
        <v>352</v>
      </c>
      <c r="AD975" s="203">
        <v>43133</v>
      </c>
      <c r="AE975" s="203">
        <v>43179</v>
      </c>
      <c r="AF975" s="167" t="s">
        <v>3470</v>
      </c>
    </row>
    <row r="976" spans="16:32" x14ac:dyDescent="0.25">
      <c r="P976" s="167" t="s">
        <v>739</v>
      </c>
      <c r="Q976" s="167">
        <v>353</v>
      </c>
      <c r="R976" s="167" t="s">
        <v>3407</v>
      </c>
      <c r="S976" s="167" t="s">
        <v>2479</v>
      </c>
      <c r="T976" s="167">
        <v>1</v>
      </c>
      <c r="U976" s="167" t="s">
        <v>2480</v>
      </c>
      <c r="V976" s="167" t="s">
        <v>3409</v>
      </c>
      <c r="AB976" s="167" t="s">
        <v>3453</v>
      </c>
      <c r="AC976" s="167">
        <v>364</v>
      </c>
      <c r="AD976" s="203">
        <v>43168</v>
      </c>
      <c r="AE976" s="203">
        <v>43179</v>
      </c>
      <c r="AF976" s="167" t="s">
        <v>3470</v>
      </c>
    </row>
    <row r="977" spans="16:32" x14ac:dyDescent="0.25">
      <c r="P977" s="167" t="s">
        <v>739</v>
      </c>
      <c r="Q977" s="167">
        <v>353</v>
      </c>
      <c r="R977" s="167" t="s">
        <v>3407</v>
      </c>
      <c r="S977" s="167" t="s">
        <v>2481</v>
      </c>
      <c r="T977" s="167">
        <v>6</v>
      </c>
      <c r="U977" s="167" t="s">
        <v>2482</v>
      </c>
      <c r="V977" s="167" t="s">
        <v>3409</v>
      </c>
      <c r="AB977" s="167" t="s">
        <v>3453</v>
      </c>
      <c r="AC977" s="167">
        <v>374</v>
      </c>
      <c r="AD977" s="203">
        <v>43195</v>
      </c>
      <c r="AE977" s="203">
        <v>0</v>
      </c>
      <c r="AF977" s="167" t="s">
        <v>3469</v>
      </c>
    </row>
    <row r="978" spans="16:32" x14ac:dyDescent="0.25">
      <c r="P978" s="167" t="s">
        <v>739</v>
      </c>
      <c r="Q978" s="167">
        <v>353</v>
      </c>
      <c r="R978" s="167" t="s">
        <v>3407</v>
      </c>
      <c r="S978" s="167" t="s">
        <v>2483</v>
      </c>
      <c r="T978" s="167">
        <v>7</v>
      </c>
      <c r="U978" s="167" t="s">
        <v>2484</v>
      </c>
      <c r="V978" s="167" t="s">
        <v>3409</v>
      </c>
      <c r="AB978" s="167" t="s">
        <v>1871</v>
      </c>
      <c r="AC978" s="167">
        <v>327</v>
      </c>
      <c r="AD978" s="203">
        <v>43074</v>
      </c>
      <c r="AE978" s="203">
        <v>43131</v>
      </c>
      <c r="AF978" s="167" t="s">
        <v>3470</v>
      </c>
    </row>
    <row r="979" spans="16:32" x14ac:dyDescent="0.25">
      <c r="P979" s="167" t="s">
        <v>739</v>
      </c>
      <c r="Q979" s="167">
        <v>353</v>
      </c>
      <c r="R979" s="167" t="s">
        <v>3407</v>
      </c>
      <c r="S979" s="167" t="s">
        <v>2483</v>
      </c>
      <c r="T979" s="167">
        <v>10</v>
      </c>
      <c r="U979" s="167" t="s">
        <v>2484</v>
      </c>
      <c r="V979" s="167" t="s">
        <v>3409</v>
      </c>
      <c r="AB979" s="167" t="s">
        <v>1871</v>
      </c>
      <c r="AC979" s="167">
        <v>347</v>
      </c>
      <c r="AD979" s="203">
        <v>43118</v>
      </c>
      <c r="AE979" s="203">
        <v>43133</v>
      </c>
      <c r="AF979" s="167" t="s">
        <v>3470</v>
      </c>
    </row>
    <row r="980" spans="16:32" x14ac:dyDescent="0.25">
      <c r="P980" s="167" t="s">
        <v>739</v>
      </c>
      <c r="Q980" s="167">
        <v>353</v>
      </c>
      <c r="R980" s="167" t="s">
        <v>3407</v>
      </c>
      <c r="S980" s="167" t="s">
        <v>1073</v>
      </c>
      <c r="T980" s="167">
        <v>15</v>
      </c>
      <c r="U980" s="167" t="s">
        <v>2485</v>
      </c>
      <c r="V980" s="167" t="s">
        <v>3409</v>
      </c>
      <c r="AB980" s="167" t="s">
        <v>1871</v>
      </c>
      <c r="AC980" s="167">
        <v>357</v>
      </c>
      <c r="AD980" s="203">
        <v>43139</v>
      </c>
      <c r="AE980" s="203">
        <v>43164</v>
      </c>
      <c r="AF980" s="167" t="s">
        <v>3470</v>
      </c>
    </row>
    <row r="981" spans="16:32" x14ac:dyDescent="0.25">
      <c r="P981" s="167" t="s">
        <v>739</v>
      </c>
      <c r="Q981" s="167">
        <v>353</v>
      </c>
      <c r="R981" s="167" t="s">
        <v>3407</v>
      </c>
      <c r="S981" s="167" t="s">
        <v>2488</v>
      </c>
      <c r="T981" s="167">
        <v>2</v>
      </c>
      <c r="U981" s="167" t="s">
        <v>2489</v>
      </c>
      <c r="V981" s="167" t="s">
        <v>3409</v>
      </c>
      <c r="AB981" s="167" t="s">
        <v>1871</v>
      </c>
      <c r="AC981" s="167">
        <v>364</v>
      </c>
      <c r="AD981" s="203">
        <v>43168</v>
      </c>
      <c r="AE981" s="203">
        <v>43179</v>
      </c>
      <c r="AF981" s="167" t="s">
        <v>3470</v>
      </c>
    </row>
    <row r="982" spans="16:32" x14ac:dyDescent="0.25">
      <c r="P982" s="167" t="s">
        <v>739</v>
      </c>
      <c r="Q982" s="167">
        <v>353</v>
      </c>
      <c r="R982" s="167" t="s">
        <v>3407</v>
      </c>
      <c r="S982" s="167" t="s">
        <v>2488</v>
      </c>
      <c r="T982" s="167">
        <v>5</v>
      </c>
      <c r="U982" s="167" t="s">
        <v>2489</v>
      </c>
      <c r="V982" s="167" t="s">
        <v>3409</v>
      </c>
      <c r="AB982" s="167" t="s">
        <v>1871</v>
      </c>
      <c r="AC982" s="167">
        <v>374</v>
      </c>
      <c r="AD982" s="203">
        <v>43195</v>
      </c>
      <c r="AE982" s="203">
        <v>0</v>
      </c>
      <c r="AF982" s="167" t="s">
        <v>3469</v>
      </c>
    </row>
    <row r="983" spans="16:32" x14ac:dyDescent="0.25">
      <c r="P983" s="167" t="s">
        <v>739</v>
      </c>
      <c r="Q983" s="167">
        <v>353</v>
      </c>
      <c r="R983" s="167" t="s">
        <v>3407</v>
      </c>
      <c r="S983" s="167" t="s">
        <v>2488</v>
      </c>
      <c r="T983" s="167">
        <v>4</v>
      </c>
      <c r="U983" s="167" t="s">
        <v>2489</v>
      </c>
      <c r="V983" s="167" t="s">
        <v>3409</v>
      </c>
      <c r="AB983" s="167" t="s">
        <v>1872</v>
      </c>
      <c r="AC983" s="167">
        <v>327</v>
      </c>
      <c r="AD983" s="203">
        <v>43074</v>
      </c>
      <c r="AE983" s="203">
        <v>43131</v>
      </c>
      <c r="AF983" s="167" t="s">
        <v>3470</v>
      </c>
    </row>
    <row r="984" spans="16:32" x14ac:dyDescent="0.25">
      <c r="P984" s="167" t="s">
        <v>739</v>
      </c>
      <c r="Q984" s="167">
        <v>353</v>
      </c>
      <c r="R984" s="167" t="s">
        <v>3407</v>
      </c>
      <c r="S984" s="167" t="s">
        <v>2488</v>
      </c>
      <c r="T984" s="167">
        <v>10</v>
      </c>
      <c r="U984" s="167" t="s">
        <v>2489</v>
      </c>
      <c r="V984" s="167" t="s">
        <v>3409</v>
      </c>
      <c r="AB984" s="167" t="s">
        <v>1872</v>
      </c>
      <c r="AC984" s="167">
        <v>339</v>
      </c>
      <c r="AD984" s="203">
        <v>43087</v>
      </c>
      <c r="AE984" s="203">
        <v>43111</v>
      </c>
      <c r="AF984" s="167" t="s">
        <v>3470</v>
      </c>
    </row>
    <row r="985" spans="16:32" x14ac:dyDescent="0.25">
      <c r="P985" s="167" t="s">
        <v>739</v>
      </c>
      <c r="Q985" s="167">
        <v>353</v>
      </c>
      <c r="R985" s="167" t="s">
        <v>3407</v>
      </c>
      <c r="S985" s="167" t="s">
        <v>2488</v>
      </c>
      <c r="T985" s="167">
        <v>2</v>
      </c>
      <c r="U985" s="167" t="s">
        <v>2489</v>
      </c>
      <c r="V985" s="167" t="s">
        <v>3409</v>
      </c>
      <c r="AB985" s="167" t="s">
        <v>1872</v>
      </c>
      <c r="AC985" s="167">
        <v>347</v>
      </c>
      <c r="AD985" s="203">
        <v>43118</v>
      </c>
      <c r="AE985" s="203">
        <v>43133</v>
      </c>
      <c r="AF985" s="167" t="s">
        <v>3470</v>
      </c>
    </row>
    <row r="986" spans="16:32" x14ac:dyDescent="0.25">
      <c r="P986" s="167" t="s">
        <v>739</v>
      </c>
      <c r="Q986" s="167">
        <v>353</v>
      </c>
      <c r="R986" s="167" t="s">
        <v>3407</v>
      </c>
      <c r="S986" s="167" t="s">
        <v>2488</v>
      </c>
      <c r="T986" s="167">
        <v>3</v>
      </c>
      <c r="U986" s="167" t="s">
        <v>2489</v>
      </c>
      <c r="V986" s="167" t="s">
        <v>3409</v>
      </c>
      <c r="AB986" s="167" t="s">
        <v>1872</v>
      </c>
      <c r="AC986" s="167">
        <v>352</v>
      </c>
      <c r="AD986" s="203">
        <v>43133</v>
      </c>
      <c r="AE986" s="203">
        <v>43179</v>
      </c>
      <c r="AF986" s="167" t="s">
        <v>3470</v>
      </c>
    </row>
    <row r="987" spans="16:32" x14ac:dyDescent="0.25">
      <c r="P987" s="167" t="s">
        <v>739</v>
      </c>
      <c r="Q987" s="167">
        <v>353</v>
      </c>
      <c r="R987" s="167" t="s">
        <v>3407</v>
      </c>
      <c r="S987" s="167" t="s">
        <v>2488</v>
      </c>
      <c r="T987" s="167">
        <v>7</v>
      </c>
      <c r="U987" s="167" t="s">
        <v>2489</v>
      </c>
      <c r="V987" s="167" t="s">
        <v>3409</v>
      </c>
      <c r="AB987" s="167" t="s">
        <v>1873</v>
      </c>
      <c r="AC987" s="167">
        <v>327</v>
      </c>
      <c r="AD987" s="203">
        <v>43074</v>
      </c>
      <c r="AE987" s="203">
        <v>43131</v>
      </c>
      <c r="AF987" s="167" t="s">
        <v>3470</v>
      </c>
    </row>
    <row r="988" spans="16:32" x14ac:dyDescent="0.25">
      <c r="P988" s="167" t="s">
        <v>739</v>
      </c>
      <c r="Q988" s="167">
        <v>353</v>
      </c>
      <c r="R988" s="167" t="s">
        <v>3407</v>
      </c>
      <c r="S988" s="167" t="s">
        <v>2490</v>
      </c>
      <c r="T988" s="167">
        <v>3</v>
      </c>
      <c r="U988" s="167" t="s">
        <v>2491</v>
      </c>
      <c r="V988" s="167" t="s">
        <v>3409</v>
      </c>
      <c r="AB988" s="167" t="s">
        <v>1873</v>
      </c>
      <c r="AC988" s="167">
        <v>347</v>
      </c>
      <c r="AD988" s="203">
        <v>43118</v>
      </c>
      <c r="AE988" s="203">
        <v>43133</v>
      </c>
      <c r="AF988" s="167" t="s">
        <v>3470</v>
      </c>
    </row>
    <row r="989" spans="16:32" x14ac:dyDescent="0.25">
      <c r="P989" s="167" t="s">
        <v>739</v>
      </c>
      <c r="Q989" s="167">
        <v>353</v>
      </c>
      <c r="R989" s="167" t="s">
        <v>3407</v>
      </c>
      <c r="S989" s="167" t="s">
        <v>2495</v>
      </c>
      <c r="T989" s="167">
        <v>2</v>
      </c>
      <c r="U989" s="167" t="s">
        <v>2496</v>
      </c>
      <c r="V989" s="167" t="s">
        <v>3409</v>
      </c>
      <c r="AB989" s="167" t="s">
        <v>1873</v>
      </c>
      <c r="AC989" s="167">
        <v>357</v>
      </c>
      <c r="AD989" s="203">
        <v>43139</v>
      </c>
      <c r="AE989" s="203">
        <v>43164</v>
      </c>
      <c r="AF989" s="167" t="s">
        <v>3470</v>
      </c>
    </row>
    <row r="990" spans="16:32" x14ac:dyDescent="0.25">
      <c r="P990" s="167" t="s">
        <v>739</v>
      </c>
      <c r="Q990" s="167">
        <v>353</v>
      </c>
      <c r="R990" s="167" t="s">
        <v>3407</v>
      </c>
      <c r="S990" s="167" t="s">
        <v>2495</v>
      </c>
      <c r="T990" s="167">
        <v>2</v>
      </c>
      <c r="U990" s="167" t="s">
        <v>2496</v>
      </c>
      <c r="V990" s="167" t="s">
        <v>3409</v>
      </c>
      <c r="AB990" s="167" t="s">
        <v>1873</v>
      </c>
      <c r="AC990" s="167">
        <v>364</v>
      </c>
      <c r="AD990" s="203">
        <v>43168</v>
      </c>
      <c r="AE990" s="203">
        <v>43179</v>
      </c>
      <c r="AF990" s="167" t="s">
        <v>3470</v>
      </c>
    </row>
    <row r="991" spans="16:32" x14ac:dyDescent="0.25">
      <c r="P991" s="167" t="s">
        <v>739</v>
      </c>
      <c r="Q991" s="167">
        <v>353</v>
      </c>
      <c r="R991" s="167" t="s">
        <v>3407</v>
      </c>
      <c r="S991" s="167" t="s">
        <v>2500</v>
      </c>
      <c r="T991" s="167">
        <v>8</v>
      </c>
      <c r="U991" s="167" t="s">
        <v>2501</v>
      </c>
      <c r="V991" s="167" t="s">
        <v>3409</v>
      </c>
      <c r="AB991" s="167" t="s">
        <v>1873</v>
      </c>
      <c r="AC991" s="167">
        <v>374</v>
      </c>
      <c r="AD991" s="203">
        <v>43195</v>
      </c>
      <c r="AE991" s="203">
        <v>0</v>
      </c>
      <c r="AF991" s="167" t="s">
        <v>3469</v>
      </c>
    </row>
    <row r="992" spans="16:32" x14ac:dyDescent="0.25">
      <c r="P992" s="167" t="s">
        <v>739</v>
      </c>
      <c r="Q992" s="167">
        <v>353</v>
      </c>
      <c r="R992" s="167" t="s">
        <v>3407</v>
      </c>
      <c r="S992" s="167" t="s">
        <v>2502</v>
      </c>
      <c r="T992" s="167">
        <v>3</v>
      </c>
      <c r="U992" s="167" t="s">
        <v>2503</v>
      </c>
      <c r="V992" s="167" t="s">
        <v>3409</v>
      </c>
      <c r="AB992" s="167" t="s">
        <v>1874</v>
      </c>
      <c r="AC992" s="167">
        <v>327</v>
      </c>
      <c r="AD992" s="203">
        <v>43074</v>
      </c>
      <c r="AE992" s="203">
        <v>43131</v>
      </c>
      <c r="AF992" s="167" t="s">
        <v>3470</v>
      </c>
    </row>
    <row r="993" spans="16:32" x14ac:dyDescent="0.25">
      <c r="P993" s="167" t="s">
        <v>739</v>
      </c>
      <c r="Q993" s="167">
        <v>353</v>
      </c>
      <c r="R993" s="167" t="s">
        <v>3407</v>
      </c>
      <c r="S993" s="167" t="s">
        <v>2502</v>
      </c>
      <c r="T993" s="167">
        <v>5</v>
      </c>
      <c r="U993" s="167" t="s">
        <v>2503</v>
      </c>
      <c r="V993" s="167" t="s">
        <v>3409</v>
      </c>
      <c r="AB993" s="167" t="s">
        <v>1874</v>
      </c>
      <c r="AC993" s="167">
        <v>347</v>
      </c>
      <c r="AD993" s="203">
        <v>43118</v>
      </c>
      <c r="AE993" s="203">
        <v>43133</v>
      </c>
      <c r="AF993" s="167" t="s">
        <v>3470</v>
      </c>
    </row>
    <row r="994" spans="16:32" x14ac:dyDescent="0.25">
      <c r="P994" s="167" t="s">
        <v>739</v>
      </c>
      <c r="Q994" s="167">
        <v>353</v>
      </c>
      <c r="R994" s="167" t="s">
        <v>3407</v>
      </c>
      <c r="S994" s="167" t="s">
        <v>2504</v>
      </c>
      <c r="T994" s="167">
        <v>27</v>
      </c>
      <c r="U994" s="167" t="s">
        <v>2505</v>
      </c>
      <c r="V994" s="167" t="s">
        <v>3409</v>
      </c>
      <c r="AB994" s="167" t="s">
        <v>1874</v>
      </c>
      <c r="AC994" s="167">
        <v>357</v>
      </c>
      <c r="AD994" s="203">
        <v>43139</v>
      </c>
      <c r="AE994" s="203">
        <v>43164</v>
      </c>
      <c r="AF994" s="167" t="s">
        <v>3470</v>
      </c>
    </row>
    <row r="995" spans="16:32" x14ac:dyDescent="0.25">
      <c r="P995" s="167" t="s">
        <v>739</v>
      </c>
      <c r="Q995" s="167">
        <v>353</v>
      </c>
      <c r="R995" s="167" t="s">
        <v>3407</v>
      </c>
      <c r="S995" s="167" t="s">
        <v>2504</v>
      </c>
      <c r="T995" s="167">
        <v>8</v>
      </c>
      <c r="U995" s="167" t="s">
        <v>2505</v>
      </c>
      <c r="V995" s="167" t="s">
        <v>3409</v>
      </c>
      <c r="AB995" s="167" t="s">
        <v>1874</v>
      </c>
      <c r="AC995" s="167">
        <v>364</v>
      </c>
      <c r="AD995" s="203">
        <v>43168</v>
      </c>
      <c r="AE995" s="203">
        <v>43179</v>
      </c>
      <c r="AF995" s="167" t="s">
        <v>3470</v>
      </c>
    </row>
    <row r="996" spans="16:32" x14ac:dyDescent="0.25">
      <c r="P996" s="167" t="s">
        <v>739</v>
      </c>
      <c r="Q996" s="167">
        <v>353</v>
      </c>
      <c r="R996" s="167" t="s">
        <v>3407</v>
      </c>
      <c r="S996" s="167" t="s">
        <v>2506</v>
      </c>
      <c r="T996" s="167">
        <v>6</v>
      </c>
      <c r="U996" s="167" t="s">
        <v>2507</v>
      </c>
      <c r="V996" s="167" t="s">
        <v>3409</v>
      </c>
      <c r="AB996" s="167" t="s">
        <v>1875</v>
      </c>
      <c r="AC996" s="167">
        <v>339</v>
      </c>
      <c r="AD996" s="203">
        <v>43087</v>
      </c>
      <c r="AE996" s="203">
        <v>43111</v>
      </c>
      <c r="AF996" s="167" t="s">
        <v>3470</v>
      </c>
    </row>
    <row r="997" spans="16:32" x14ac:dyDescent="0.25">
      <c r="P997" s="167" t="s">
        <v>739</v>
      </c>
      <c r="Q997" s="167">
        <v>353</v>
      </c>
      <c r="R997" s="167" t="s">
        <v>3407</v>
      </c>
      <c r="S997" s="167" t="s">
        <v>2508</v>
      </c>
      <c r="T997" s="167">
        <v>2</v>
      </c>
      <c r="U997" s="167" t="s">
        <v>2509</v>
      </c>
      <c r="V997" s="167" t="s">
        <v>3409</v>
      </c>
      <c r="AB997" s="167" t="s">
        <v>1875</v>
      </c>
      <c r="AC997" s="167">
        <v>347</v>
      </c>
      <c r="AD997" s="203">
        <v>43118</v>
      </c>
      <c r="AE997" s="203">
        <v>43133</v>
      </c>
      <c r="AF997" s="167" t="s">
        <v>3470</v>
      </c>
    </row>
    <row r="998" spans="16:32" x14ac:dyDescent="0.25">
      <c r="P998" s="167" t="s">
        <v>739</v>
      </c>
      <c r="Q998" s="167">
        <v>353</v>
      </c>
      <c r="R998" s="167" t="s">
        <v>3407</v>
      </c>
      <c r="S998" s="167" t="s">
        <v>2512</v>
      </c>
      <c r="T998" s="167">
        <v>26</v>
      </c>
      <c r="U998" s="167" t="s">
        <v>2513</v>
      </c>
      <c r="V998" s="167" t="s">
        <v>3409</v>
      </c>
      <c r="AB998" s="167" t="s">
        <v>1875</v>
      </c>
      <c r="AC998" s="167">
        <v>352</v>
      </c>
      <c r="AD998" s="203">
        <v>43133</v>
      </c>
      <c r="AE998" s="203">
        <v>43179</v>
      </c>
      <c r="AF998" s="167" t="s">
        <v>3470</v>
      </c>
    </row>
    <row r="999" spans="16:32" x14ac:dyDescent="0.25">
      <c r="P999" s="167" t="s">
        <v>739</v>
      </c>
      <c r="Q999" s="167">
        <v>353</v>
      </c>
      <c r="R999" s="167" t="s">
        <v>3407</v>
      </c>
      <c r="S999" s="167" t="s">
        <v>2512</v>
      </c>
      <c r="T999" s="167">
        <v>10</v>
      </c>
      <c r="U999" s="167" t="s">
        <v>2513</v>
      </c>
      <c r="V999" s="167" t="s">
        <v>3409</v>
      </c>
      <c r="AB999" s="167" t="s">
        <v>1875</v>
      </c>
      <c r="AC999" s="167">
        <v>364</v>
      </c>
      <c r="AD999" s="203">
        <v>43168</v>
      </c>
      <c r="AE999" s="203">
        <v>43179</v>
      </c>
      <c r="AF999" s="167" t="s">
        <v>3470</v>
      </c>
    </row>
    <row r="1000" spans="16:32" x14ac:dyDescent="0.25">
      <c r="P1000" s="167" t="s">
        <v>739</v>
      </c>
      <c r="Q1000" s="167">
        <v>353</v>
      </c>
      <c r="R1000" s="167" t="s">
        <v>3407</v>
      </c>
      <c r="S1000" s="167" t="s">
        <v>2517</v>
      </c>
      <c r="T1000" s="167">
        <v>2</v>
      </c>
      <c r="U1000" s="167" t="s">
        <v>2518</v>
      </c>
      <c r="V1000" s="167" t="s">
        <v>3409</v>
      </c>
      <c r="AB1000" s="167" t="s">
        <v>1875</v>
      </c>
      <c r="AC1000" s="167">
        <v>374</v>
      </c>
      <c r="AD1000" s="203">
        <v>43195</v>
      </c>
      <c r="AE1000" s="203">
        <v>0</v>
      </c>
      <c r="AF1000" s="167" t="s">
        <v>3469</v>
      </c>
    </row>
    <row r="1001" spans="16:32" x14ac:dyDescent="0.25">
      <c r="P1001" s="167" t="s">
        <v>739</v>
      </c>
      <c r="Q1001" s="167">
        <v>353</v>
      </c>
      <c r="R1001" s="167" t="s">
        <v>3407</v>
      </c>
      <c r="S1001" s="167" t="s">
        <v>2519</v>
      </c>
      <c r="T1001" s="167">
        <v>12</v>
      </c>
      <c r="U1001" s="167" t="s">
        <v>2520</v>
      </c>
      <c r="V1001" s="167" t="s">
        <v>3409</v>
      </c>
      <c r="AB1001" s="167" t="s">
        <v>1876</v>
      </c>
      <c r="AC1001" s="167">
        <v>327</v>
      </c>
      <c r="AD1001" s="203">
        <v>43074</v>
      </c>
      <c r="AE1001" s="203">
        <v>43131</v>
      </c>
      <c r="AF1001" s="167" t="s">
        <v>3470</v>
      </c>
    </row>
    <row r="1002" spans="16:32" x14ac:dyDescent="0.25">
      <c r="P1002" s="167" t="s">
        <v>739</v>
      </c>
      <c r="Q1002" s="167">
        <v>353</v>
      </c>
      <c r="R1002" s="167" t="s">
        <v>3407</v>
      </c>
      <c r="S1002" s="167" t="s">
        <v>2521</v>
      </c>
      <c r="T1002" s="167">
        <v>4</v>
      </c>
      <c r="U1002" s="167" t="s">
        <v>2522</v>
      </c>
      <c r="V1002" s="167" t="s">
        <v>3409</v>
      </c>
      <c r="AB1002" s="167" t="s">
        <v>1876</v>
      </c>
      <c r="AC1002" s="167">
        <v>347</v>
      </c>
      <c r="AD1002" s="203">
        <v>43118</v>
      </c>
      <c r="AE1002" s="203">
        <v>43133</v>
      </c>
      <c r="AF1002" s="167" t="s">
        <v>3470</v>
      </c>
    </row>
    <row r="1003" spans="16:32" x14ac:dyDescent="0.25">
      <c r="P1003" s="167" t="s">
        <v>739</v>
      </c>
      <c r="Q1003" s="167">
        <v>353</v>
      </c>
      <c r="R1003" s="167" t="s">
        <v>3407</v>
      </c>
      <c r="S1003" s="167" t="s">
        <v>3360</v>
      </c>
      <c r="T1003" s="167">
        <v>15</v>
      </c>
      <c r="U1003" s="167" t="s">
        <v>3425</v>
      </c>
      <c r="V1003" s="167" t="s">
        <v>3409</v>
      </c>
      <c r="AB1003" s="167" t="s">
        <v>1876</v>
      </c>
      <c r="AC1003" s="167">
        <v>357</v>
      </c>
      <c r="AD1003" s="203">
        <v>43139</v>
      </c>
      <c r="AE1003" s="203">
        <v>43164</v>
      </c>
      <c r="AF1003" s="167" t="s">
        <v>3470</v>
      </c>
    </row>
    <row r="1004" spans="16:32" x14ac:dyDescent="0.25">
      <c r="P1004" s="167" t="s">
        <v>739</v>
      </c>
      <c r="Q1004" s="167">
        <v>353</v>
      </c>
      <c r="R1004" s="167" t="s">
        <v>3407</v>
      </c>
      <c r="S1004" s="167" t="s">
        <v>2526</v>
      </c>
      <c r="T1004" s="167">
        <v>36</v>
      </c>
      <c r="U1004" s="167" t="s">
        <v>2527</v>
      </c>
      <c r="V1004" s="167" t="s">
        <v>3409</v>
      </c>
      <c r="AB1004" s="167" t="s">
        <v>1876</v>
      </c>
      <c r="AC1004" s="167">
        <v>364</v>
      </c>
      <c r="AD1004" s="203">
        <v>43168</v>
      </c>
      <c r="AE1004" s="203">
        <v>43179</v>
      </c>
      <c r="AF1004" s="167" t="s">
        <v>3470</v>
      </c>
    </row>
    <row r="1005" spans="16:32" x14ac:dyDescent="0.25">
      <c r="P1005" s="167" t="s">
        <v>739</v>
      </c>
      <c r="Q1005" s="167">
        <v>353</v>
      </c>
      <c r="R1005" s="167" t="s">
        <v>3407</v>
      </c>
      <c r="S1005" s="167" t="s">
        <v>1074</v>
      </c>
      <c r="T1005" s="167">
        <v>5</v>
      </c>
      <c r="U1005" s="167" t="s">
        <v>2528</v>
      </c>
      <c r="V1005" s="167" t="s">
        <v>3409</v>
      </c>
      <c r="AB1005" s="167" t="s">
        <v>1876</v>
      </c>
      <c r="AC1005" s="167">
        <v>374</v>
      </c>
      <c r="AD1005" s="203">
        <v>43195</v>
      </c>
      <c r="AE1005" s="203">
        <v>0</v>
      </c>
      <c r="AF1005" s="167" t="s">
        <v>3469</v>
      </c>
    </row>
    <row r="1006" spans="16:32" x14ac:dyDescent="0.25">
      <c r="P1006" s="167" t="s">
        <v>739</v>
      </c>
      <c r="Q1006" s="167">
        <v>353</v>
      </c>
      <c r="R1006" s="167" t="s">
        <v>3407</v>
      </c>
      <c r="S1006" s="167" t="s">
        <v>1075</v>
      </c>
      <c r="T1006" s="167">
        <v>4</v>
      </c>
      <c r="U1006" s="167" t="s">
        <v>2529</v>
      </c>
      <c r="V1006" s="167" t="s">
        <v>3409</v>
      </c>
      <c r="AB1006" s="167" t="s">
        <v>1878</v>
      </c>
      <c r="AC1006" s="167">
        <v>356</v>
      </c>
      <c r="AD1006" s="203">
        <v>43139</v>
      </c>
      <c r="AE1006" s="203">
        <v>0</v>
      </c>
      <c r="AF1006" s="167" t="s">
        <v>3469</v>
      </c>
    </row>
    <row r="1007" spans="16:32" x14ac:dyDescent="0.25">
      <c r="P1007" s="167" t="s">
        <v>739</v>
      </c>
      <c r="Q1007" s="167">
        <v>353</v>
      </c>
      <c r="R1007" s="167" t="s">
        <v>3407</v>
      </c>
      <c r="S1007" s="167" t="s">
        <v>2530</v>
      </c>
      <c r="T1007" s="167">
        <v>4</v>
      </c>
      <c r="U1007" s="167" t="s">
        <v>2531</v>
      </c>
      <c r="V1007" s="167" t="s">
        <v>3409</v>
      </c>
      <c r="AB1007" s="167" t="s">
        <v>1880</v>
      </c>
      <c r="AC1007" s="167">
        <v>356</v>
      </c>
      <c r="AD1007" s="203">
        <v>43139</v>
      </c>
      <c r="AE1007" s="203">
        <v>0</v>
      </c>
      <c r="AF1007" s="167" t="s">
        <v>3469</v>
      </c>
    </row>
    <row r="1008" spans="16:32" x14ac:dyDescent="0.25">
      <c r="P1008" s="167" t="s">
        <v>739</v>
      </c>
      <c r="Q1008" s="167">
        <v>353</v>
      </c>
      <c r="R1008" s="167" t="s">
        <v>3407</v>
      </c>
      <c r="S1008" s="167" t="s">
        <v>2530</v>
      </c>
      <c r="T1008" s="167">
        <v>6</v>
      </c>
      <c r="U1008" s="167" t="s">
        <v>2531</v>
      </c>
      <c r="V1008" s="167" t="s">
        <v>3409</v>
      </c>
      <c r="AB1008" s="167" t="s">
        <v>1882</v>
      </c>
      <c r="AC1008" s="167">
        <v>356</v>
      </c>
      <c r="AD1008" s="203">
        <v>43139</v>
      </c>
      <c r="AE1008" s="203">
        <v>0</v>
      </c>
      <c r="AF1008" s="167" t="s">
        <v>3469</v>
      </c>
    </row>
    <row r="1009" spans="16:32" x14ac:dyDescent="0.25">
      <c r="P1009" s="167" t="s">
        <v>739</v>
      </c>
      <c r="Q1009" s="167">
        <v>353</v>
      </c>
      <c r="R1009" s="167" t="s">
        <v>3407</v>
      </c>
      <c r="S1009" s="167" t="s">
        <v>2530</v>
      </c>
      <c r="T1009" s="167">
        <v>6</v>
      </c>
      <c r="U1009" s="167" t="s">
        <v>2531</v>
      </c>
      <c r="V1009" s="167" t="s">
        <v>3409</v>
      </c>
      <c r="AB1009" s="167" t="s">
        <v>1883</v>
      </c>
      <c r="AC1009" s="167">
        <v>327</v>
      </c>
      <c r="AD1009" s="203">
        <v>43074</v>
      </c>
      <c r="AE1009" s="203">
        <v>43131</v>
      </c>
      <c r="AF1009" s="167" t="s">
        <v>3470</v>
      </c>
    </row>
    <row r="1010" spans="16:32" x14ac:dyDescent="0.25">
      <c r="P1010" s="167" t="s">
        <v>739</v>
      </c>
      <c r="Q1010" s="167">
        <v>353</v>
      </c>
      <c r="R1010" s="167" t="s">
        <v>3407</v>
      </c>
      <c r="S1010" s="167" t="s">
        <v>2536</v>
      </c>
      <c r="T1010" s="167">
        <v>9</v>
      </c>
      <c r="U1010" s="167" t="s">
        <v>2537</v>
      </c>
      <c r="V1010" s="167" t="s">
        <v>3409</v>
      </c>
      <c r="AB1010" s="167" t="s">
        <v>1883</v>
      </c>
      <c r="AC1010" s="167">
        <v>364</v>
      </c>
      <c r="AD1010" s="203">
        <v>43168</v>
      </c>
      <c r="AE1010" s="203">
        <v>43179</v>
      </c>
      <c r="AF1010" s="167" t="s">
        <v>3470</v>
      </c>
    </row>
    <row r="1011" spans="16:32" x14ac:dyDescent="0.25">
      <c r="P1011" s="167" t="s">
        <v>739</v>
      </c>
      <c r="Q1011" s="167">
        <v>353</v>
      </c>
      <c r="R1011" s="167" t="s">
        <v>3407</v>
      </c>
      <c r="S1011" s="167" t="s">
        <v>2538</v>
      </c>
      <c r="T1011" s="167">
        <v>1</v>
      </c>
      <c r="U1011" s="167" t="s">
        <v>2539</v>
      </c>
      <c r="V1011" s="167" t="s">
        <v>3409</v>
      </c>
      <c r="AB1011" s="167" t="s">
        <v>1883</v>
      </c>
      <c r="AC1011" s="167">
        <v>374</v>
      </c>
      <c r="AD1011" s="203">
        <v>43195</v>
      </c>
      <c r="AE1011" s="203">
        <v>0</v>
      </c>
      <c r="AF1011" s="167" t="s">
        <v>3469</v>
      </c>
    </row>
    <row r="1012" spans="16:32" x14ac:dyDescent="0.25">
      <c r="P1012" s="167" t="s">
        <v>739</v>
      </c>
      <c r="Q1012" s="167">
        <v>353</v>
      </c>
      <c r="R1012" s="167" t="s">
        <v>3407</v>
      </c>
      <c r="S1012" s="167" t="s">
        <v>2538</v>
      </c>
      <c r="T1012" s="167">
        <v>1</v>
      </c>
      <c r="U1012" s="167" t="s">
        <v>2539</v>
      </c>
      <c r="V1012" s="167" t="s">
        <v>3409</v>
      </c>
      <c r="AB1012" s="167" t="s">
        <v>1884</v>
      </c>
      <c r="AC1012" s="167">
        <v>327</v>
      </c>
      <c r="AD1012" s="203">
        <v>43074</v>
      </c>
      <c r="AE1012" s="203">
        <v>43131</v>
      </c>
      <c r="AF1012" s="167" t="s">
        <v>3470</v>
      </c>
    </row>
    <row r="1013" spans="16:32" x14ac:dyDescent="0.25">
      <c r="P1013" s="167" t="s">
        <v>739</v>
      </c>
      <c r="Q1013" s="167">
        <v>353</v>
      </c>
      <c r="R1013" s="167" t="s">
        <v>3407</v>
      </c>
      <c r="S1013" s="167" t="s">
        <v>1076</v>
      </c>
      <c r="T1013" s="167">
        <v>240</v>
      </c>
      <c r="U1013" s="167" t="s">
        <v>2543</v>
      </c>
      <c r="V1013" s="167" t="s">
        <v>3409</v>
      </c>
      <c r="AB1013" s="167" t="s">
        <v>1884</v>
      </c>
      <c r="AC1013" s="167">
        <v>327</v>
      </c>
      <c r="AD1013" s="203">
        <v>43074</v>
      </c>
      <c r="AE1013" s="203">
        <v>43131</v>
      </c>
      <c r="AF1013" s="167" t="s">
        <v>3470</v>
      </c>
    </row>
    <row r="1014" spans="16:32" x14ac:dyDescent="0.25">
      <c r="P1014" s="167" t="s">
        <v>739</v>
      </c>
      <c r="Q1014" s="167">
        <v>353</v>
      </c>
      <c r="R1014" s="167" t="s">
        <v>3407</v>
      </c>
      <c r="S1014" s="167" t="s">
        <v>2546</v>
      </c>
      <c r="T1014" s="167">
        <v>8</v>
      </c>
      <c r="U1014" s="167" t="s">
        <v>2547</v>
      </c>
      <c r="V1014" s="167" t="s">
        <v>3409</v>
      </c>
      <c r="AB1014" s="167" t="s">
        <v>1884</v>
      </c>
      <c r="AC1014" s="167">
        <v>327</v>
      </c>
      <c r="AD1014" s="203">
        <v>43074</v>
      </c>
      <c r="AE1014" s="203">
        <v>43131</v>
      </c>
      <c r="AF1014" s="167" t="s">
        <v>3470</v>
      </c>
    </row>
    <row r="1015" spans="16:32" x14ac:dyDescent="0.25">
      <c r="P1015" s="167" t="s">
        <v>739</v>
      </c>
      <c r="Q1015" s="167">
        <v>353</v>
      </c>
      <c r="R1015" s="167" t="s">
        <v>3407</v>
      </c>
      <c r="S1015" s="167" t="s">
        <v>2549</v>
      </c>
      <c r="T1015" s="167">
        <v>4</v>
      </c>
      <c r="U1015" s="167" t="s">
        <v>2550</v>
      </c>
      <c r="V1015" s="167" t="s">
        <v>3409</v>
      </c>
      <c r="AB1015" s="167" t="s">
        <v>1884</v>
      </c>
      <c r="AC1015" s="167">
        <v>327</v>
      </c>
      <c r="AD1015" s="203">
        <v>43074</v>
      </c>
      <c r="AE1015" s="203">
        <v>43131</v>
      </c>
      <c r="AF1015" s="167" t="s">
        <v>3470</v>
      </c>
    </row>
    <row r="1016" spans="16:32" x14ac:dyDescent="0.25">
      <c r="P1016" s="167" t="s">
        <v>739</v>
      </c>
      <c r="Q1016" s="167">
        <v>353</v>
      </c>
      <c r="R1016" s="167" t="s">
        <v>3407</v>
      </c>
      <c r="S1016" s="167" t="s">
        <v>2549</v>
      </c>
      <c r="T1016" s="167">
        <v>2</v>
      </c>
      <c r="U1016" s="167" t="s">
        <v>2550</v>
      </c>
      <c r="V1016" s="167" t="s">
        <v>3409</v>
      </c>
      <c r="AB1016" s="167" t="s">
        <v>1884</v>
      </c>
      <c r="AC1016" s="167">
        <v>347</v>
      </c>
      <c r="AD1016" s="203">
        <v>43118</v>
      </c>
      <c r="AE1016" s="203">
        <v>43133</v>
      </c>
      <c r="AF1016" s="167" t="s">
        <v>3470</v>
      </c>
    </row>
    <row r="1017" spans="16:32" x14ac:dyDescent="0.25">
      <c r="P1017" s="167" t="s">
        <v>739</v>
      </c>
      <c r="Q1017" s="167">
        <v>353</v>
      </c>
      <c r="R1017" s="167" t="s">
        <v>3407</v>
      </c>
      <c r="S1017" s="167" t="s">
        <v>2549</v>
      </c>
      <c r="T1017" s="167">
        <v>3</v>
      </c>
      <c r="U1017" s="167" t="s">
        <v>2550</v>
      </c>
      <c r="V1017" s="167" t="s">
        <v>3409</v>
      </c>
      <c r="AB1017" s="167" t="s">
        <v>1884</v>
      </c>
      <c r="AC1017" s="167">
        <v>374</v>
      </c>
      <c r="AD1017" s="203">
        <v>43195</v>
      </c>
      <c r="AE1017" s="203">
        <v>0</v>
      </c>
      <c r="AF1017" s="167" t="s">
        <v>3469</v>
      </c>
    </row>
    <row r="1018" spans="16:32" x14ac:dyDescent="0.25">
      <c r="P1018" s="167" t="s">
        <v>739</v>
      </c>
      <c r="Q1018" s="167">
        <v>353</v>
      </c>
      <c r="R1018" s="167" t="s">
        <v>3407</v>
      </c>
      <c r="S1018" s="167" t="s">
        <v>2551</v>
      </c>
      <c r="T1018" s="167">
        <v>1</v>
      </c>
      <c r="U1018" s="167" t="s">
        <v>2552</v>
      </c>
      <c r="V1018" s="167" t="s">
        <v>3409</v>
      </c>
      <c r="AB1018" s="167" t="s">
        <v>3418</v>
      </c>
      <c r="AC1018" s="167">
        <v>357</v>
      </c>
      <c r="AD1018" s="203">
        <v>43139</v>
      </c>
      <c r="AE1018" s="203">
        <v>43164</v>
      </c>
      <c r="AF1018" s="167" t="s">
        <v>3470</v>
      </c>
    </row>
    <row r="1019" spans="16:32" x14ac:dyDescent="0.25">
      <c r="P1019" s="167" t="s">
        <v>739</v>
      </c>
      <c r="Q1019" s="167">
        <v>353</v>
      </c>
      <c r="R1019" s="167" t="s">
        <v>3407</v>
      </c>
      <c r="S1019" s="167" t="s">
        <v>2555</v>
      </c>
      <c r="T1019" s="167">
        <v>5</v>
      </c>
      <c r="U1019" s="167" t="s">
        <v>2556</v>
      </c>
      <c r="V1019" s="167" t="s">
        <v>3409</v>
      </c>
      <c r="AB1019" s="167" t="s">
        <v>3418</v>
      </c>
      <c r="AC1019" s="167">
        <v>353</v>
      </c>
      <c r="AD1019" s="203">
        <v>43180</v>
      </c>
      <c r="AE1019" s="203">
        <v>0</v>
      </c>
      <c r="AF1019" s="167" t="s">
        <v>3469</v>
      </c>
    </row>
    <row r="1020" spans="16:32" x14ac:dyDescent="0.25">
      <c r="P1020" s="167" t="s">
        <v>739</v>
      </c>
      <c r="Q1020" s="167">
        <v>353</v>
      </c>
      <c r="R1020" s="167" t="s">
        <v>3407</v>
      </c>
      <c r="S1020" s="167" t="s">
        <v>1077</v>
      </c>
      <c r="T1020" s="167">
        <v>4</v>
      </c>
      <c r="U1020" s="167" t="s">
        <v>2557</v>
      </c>
      <c r="V1020" s="167" t="s">
        <v>3409</v>
      </c>
      <c r="AB1020" s="167" t="s">
        <v>1885</v>
      </c>
      <c r="AC1020" s="167">
        <v>327</v>
      </c>
      <c r="AD1020" s="203">
        <v>43074</v>
      </c>
      <c r="AE1020" s="203">
        <v>43131</v>
      </c>
      <c r="AF1020" s="167" t="s">
        <v>3470</v>
      </c>
    </row>
    <row r="1021" spans="16:32" x14ac:dyDescent="0.25">
      <c r="P1021" s="167" t="s">
        <v>739</v>
      </c>
      <c r="Q1021" s="167">
        <v>353</v>
      </c>
      <c r="R1021" s="167" t="s">
        <v>3407</v>
      </c>
      <c r="S1021" s="167" t="s">
        <v>1077</v>
      </c>
      <c r="T1021" s="167">
        <v>20</v>
      </c>
      <c r="U1021" s="167" t="s">
        <v>2557</v>
      </c>
      <c r="V1021" s="167" t="s">
        <v>3409</v>
      </c>
      <c r="AB1021" s="167" t="s">
        <v>1885</v>
      </c>
      <c r="AC1021" s="167">
        <v>347</v>
      </c>
      <c r="AD1021" s="203">
        <v>43118</v>
      </c>
      <c r="AE1021" s="203">
        <v>43133</v>
      </c>
      <c r="AF1021" s="167" t="s">
        <v>3470</v>
      </c>
    </row>
    <row r="1022" spans="16:32" x14ac:dyDescent="0.25">
      <c r="P1022" s="167" t="s">
        <v>739</v>
      </c>
      <c r="Q1022" s="167">
        <v>353</v>
      </c>
      <c r="R1022" s="167" t="s">
        <v>3407</v>
      </c>
      <c r="S1022" s="167" t="s">
        <v>2558</v>
      </c>
      <c r="T1022" s="167">
        <v>3</v>
      </c>
      <c r="U1022" s="167" t="s">
        <v>2559</v>
      </c>
      <c r="V1022" s="167" t="s">
        <v>3409</v>
      </c>
      <c r="AB1022" s="167" t="s">
        <v>1885</v>
      </c>
      <c r="AC1022" s="167">
        <v>340</v>
      </c>
      <c r="AD1022" s="203">
        <v>43133</v>
      </c>
      <c r="AE1022" s="203">
        <v>43168</v>
      </c>
      <c r="AF1022" s="167" t="s">
        <v>3470</v>
      </c>
    </row>
    <row r="1023" spans="16:32" x14ac:dyDescent="0.25">
      <c r="P1023" s="167" t="s">
        <v>739</v>
      </c>
      <c r="Q1023" s="167">
        <v>353</v>
      </c>
      <c r="R1023" s="167" t="s">
        <v>3407</v>
      </c>
      <c r="S1023" s="167" t="s">
        <v>2558</v>
      </c>
      <c r="T1023" s="167">
        <v>3</v>
      </c>
      <c r="U1023" s="167" t="s">
        <v>2559</v>
      </c>
      <c r="V1023" s="167" t="s">
        <v>3409</v>
      </c>
      <c r="AB1023" s="167" t="s">
        <v>1885</v>
      </c>
      <c r="AC1023" s="167">
        <v>340</v>
      </c>
      <c r="AD1023" s="203">
        <v>43133</v>
      </c>
      <c r="AE1023" s="203">
        <v>43168</v>
      </c>
      <c r="AF1023" s="167" t="s">
        <v>3470</v>
      </c>
    </row>
    <row r="1024" spans="16:32" x14ac:dyDescent="0.25">
      <c r="P1024" s="167" t="s">
        <v>739</v>
      </c>
      <c r="Q1024" s="167">
        <v>353</v>
      </c>
      <c r="R1024" s="167" t="s">
        <v>3407</v>
      </c>
      <c r="S1024" s="167" t="s">
        <v>2558</v>
      </c>
      <c r="T1024" s="167">
        <v>2</v>
      </c>
      <c r="U1024" s="167" t="s">
        <v>2559</v>
      </c>
      <c r="V1024" s="167" t="s">
        <v>3409</v>
      </c>
      <c r="AB1024" s="167" t="s">
        <v>1885</v>
      </c>
      <c r="AC1024" s="167">
        <v>357</v>
      </c>
      <c r="AD1024" s="203">
        <v>43139</v>
      </c>
      <c r="AE1024" s="203">
        <v>43164</v>
      </c>
      <c r="AF1024" s="167" t="s">
        <v>3470</v>
      </c>
    </row>
    <row r="1025" spans="16:32" x14ac:dyDescent="0.25">
      <c r="P1025" s="167" t="s">
        <v>739</v>
      </c>
      <c r="Q1025" s="167">
        <v>353</v>
      </c>
      <c r="R1025" s="167" t="s">
        <v>3407</v>
      </c>
      <c r="S1025" s="167" t="s">
        <v>2558</v>
      </c>
      <c r="T1025" s="167">
        <v>3</v>
      </c>
      <c r="U1025" s="167" t="s">
        <v>2559</v>
      </c>
      <c r="V1025" s="167" t="s">
        <v>3409</v>
      </c>
      <c r="AB1025" s="167" t="s">
        <v>1885</v>
      </c>
      <c r="AC1025" s="167">
        <v>353</v>
      </c>
      <c r="AD1025" s="203">
        <v>43180</v>
      </c>
      <c r="AE1025" s="203">
        <v>0</v>
      </c>
      <c r="AF1025" s="167" t="s">
        <v>3469</v>
      </c>
    </row>
    <row r="1026" spans="16:32" x14ac:dyDescent="0.25">
      <c r="P1026" s="167" t="s">
        <v>739</v>
      </c>
      <c r="Q1026" s="167">
        <v>353</v>
      </c>
      <c r="R1026" s="167" t="s">
        <v>3407</v>
      </c>
      <c r="S1026" s="167" t="s">
        <v>2558</v>
      </c>
      <c r="T1026" s="167">
        <v>9</v>
      </c>
      <c r="U1026" s="167" t="s">
        <v>2559</v>
      </c>
      <c r="V1026" s="167" t="s">
        <v>3409</v>
      </c>
      <c r="AB1026" s="167" t="s">
        <v>1885</v>
      </c>
      <c r="AC1026" s="167">
        <v>353</v>
      </c>
      <c r="AD1026" s="203">
        <v>43180</v>
      </c>
      <c r="AE1026" s="203">
        <v>0</v>
      </c>
      <c r="AF1026" s="167" t="s">
        <v>3469</v>
      </c>
    </row>
    <row r="1027" spans="16:32" x14ac:dyDescent="0.25">
      <c r="P1027" s="167" t="s">
        <v>739</v>
      </c>
      <c r="Q1027" s="167">
        <v>353</v>
      </c>
      <c r="R1027" s="167" t="s">
        <v>3407</v>
      </c>
      <c r="S1027" s="167" t="s">
        <v>2560</v>
      </c>
      <c r="T1027" s="167">
        <v>2</v>
      </c>
      <c r="U1027" s="167" t="s">
        <v>2561</v>
      </c>
      <c r="V1027" s="167" t="s">
        <v>3409</v>
      </c>
      <c r="AB1027" s="167" t="s">
        <v>1887</v>
      </c>
      <c r="AC1027" s="167">
        <v>323</v>
      </c>
      <c r="AD1027" s="203">
        <v>43074</v>
      </c>
      <c r="AE1027" s="203">
        <v>43111</v>
      </c>
      <c r="AF1027" s="167" t="s">
        <v>3470</v>
      </c>
    </row>
    <row r="1028" spans="16:32" x14ac:dyDescent="0.25">
      <c r="P1028" s="167" t="s">
        <v>739</v>
      </c>
      <c r="Q1028" s="167">
        <v>353</v>
      </c>
      <c r="R1028" s="167" t="s">
        <v>3407</v>
      </c>
      <c r="S1028" s="167" t="s">
        <v>2562</v>
      </c>
      <c r="T1028" s="167">
        <v>3</v>
      </c>
      <c r="U1028" s="167" t="s">
        <v>2563</v>
      </c>
      <c r="V1028" s="167" t="s">
        <v>3409</v>
      </c>
      <c r="AB1028" s="167" t="s">
        <v>1887</v>
      </c>
      <c r="AC1028" s="167">
        <v>340</v>
      </c>
      <c r="AD1028" s="203">
        <v>43133</v>
      </c>
      <c r="AE1028" s="203">
        <v>43168</v>
      </c>
      <c r="AF1028" s="167" t="s">
        <v>3470</v>
      </c>
    </row>
    <row r="1029" spans="16:32" x14ac:dyDescent="0.25">
      <c r="P1029" s="167" t="s">
        <v>739</v>
      </c>
      <c r="Q1029" s="167">
        <v>353</v>
      </c>
      <c r="R1029" s="167" t="s">
        <v>3407</v>
      </c>
      <c r="S1029" s="167" t="s">
        <v>2562</v>
      </c>
      <c r="T1029" s="167">
        <v>6</v>
      </c>
      <c r="U1029" s="167" t="s">
        <v>2563</v>
      </c>
      <c r="V1029" s="167" t="s">
        <v>3409</v>
      </c>
      <c r="AB1029" s="167" t="s">
        <v>1887</v>
      </c>
      <c r="AC1029" s="167">
        <v>353</v>
      </c>
      <c r="AD1029" s="203">
        <v>43180</v>
      </c>
      <c r="AE1029" s="203">
        <v>0</v>
      </c>
      <c r="AF1029" s="167" t="s">
        <v>3469</v>
      </c>
    </row>
    <row r="1030" spans="16:32" x14ac:dyDescent="0.25">
      <c r="P1030" s="167" t="s">
        <v>739</v>
      </c>
      <c r="Q1030" s="167">
        <v>353</v>
      </c>
      <c r="R1030" s="167" t="s">
        <v>3407</v>
      </c>
      <c r="S1030" s="167" t="s">
        <v>2564</v>
      </c>
      <c r="T1030" s="167">
        <v>4</v>
      </c>
      <c r="U1030" s="167" t="s">
        <v>2565</v>
      </c>
      <c r="V1030" s="167" t="s">
        <v>3409</v>
      </c>
      <c r="AB1030" s="167" t="s">
        <v>1887</v>
      </c>
      <c r="AC1030" s="167">
        <v>353</v>
      </c>
      <c r="AD1030" s="203">
        <v>43180</v>
      </c>
      <c r="AE1030" s="203">
        <v>0</v>
      </c>
      <c r="AF1030" s="167" t="s">
        <v>3469</v>
      </c>
    </row>
    <row r="1031" spans="16:32" x14ac:dyDescent="0.25">
      <c r="P1031" s="167" t="s">
        <v>739</v>
      </c>
      <c r="Q1031" s="167">
        <v>353</v>
      </c>
      <c r="R1031" s="167" t="s">
        <v>3407</v>
      </c>
      <c r="S1031" s="167" t="s">
        <v>2568</v>
      </c>
      <c r="T1031" s="167">
        <v>43</v>
      </c>
      <c r="U1031" s="167" t="s">
        <v>2569</v>
      </c>
      <c r="V1031" s="167" t="s">
        <v>3409</v>
      </c>
      <c r="AB1031" s="167" t="s">
        <v>1889</v>
      </c>
      <c r="AC1031" s="167">
        <v>340</v>
      </c>
      <c r="AD1031" s="203">
        <v>43133</v>
      </c>
      <c r="AE1031" s="203">
        <v>43168</v>
      </c>
      <c r="AF1031" s="167" t="s">
        <v>3470</v>
      </c>
    </row>
    <row r="1032" spans="16:32" x14ac:dyDescent="0.25">
      <c r="P1032" s="167" t="s">
        <v>739</v>
      </c>
      <c r="Q1032" s="167">
        <v>353</v>
      </c>
      <c r="R1032" s="167" t="s">
        <v>3407</v>
      </c>
      <c r="S1032" s="167" t="s">
        <v>2573</v>
      </c>
      <c r="T1032" s="167">
        <v>1</v>
      </c>
      <c r="U1032" s="167" t="s">
        <v>2574</v>
      </c>
      <c r="V1032" s="167" t="s">
        <v>3409</v>
      </c>
      <c r="AB1032" s="167" t="s">
        <v>1889</v>
      </c>
      <c r="AC1032" s="167">
        <v>353</v>
      </c>
      <c r="AD1032" s="203">
        <v>43180</v>
      </c>
      <c r="AE1032" s="203">
        <v>0</v>
      </c>
      <c r="AF1032" s="167" t="s">
        <v>3469</v>
      </c>
    </row>
    <row r="1033" spans="16:32" x14ac:dyDescent="0.25">
      <c r="P1033" s="167" t="s">
        <v>739</v>
      </c>
      <c r="Q1033" s="167">
        <v>353</v>
      </c>
      <c r="R1033" s="167" t="s">
        <v>3407</v>
      </c>
      <c r="S1033" s="167" t="s">
        <v>2575</v>
      </c>
      <c r="T1033" s="167">
        <v>1</v>
      </c>
      <c r="U1033" s="167" t="s">
        <v>2576</v>
      </c>
      <c r="V1033" s="167" t="s">
        <v>3409</v>
      </c>
      <c r="AB1033" s="167" t="s">
        <v>1889</v>
      </c>
      <c r="AC1033" s="167">
        <v>353</v>
      </c>
      <c r="AD1033" s="203">
        <v>43180</v>
      </c>
      <c r="AE1033" s="203">
        <v>0</v>
      </c>
      <c r="AF1033" s="167" t="s">
        <v>3469</v>
      </c>
    </row>
    <row r="1034" spans="16:32" x14ac:dyDescent="0.25">
      <c r="P1034" s="167" t="s">
        <v>739</v>
      </c>
      <c r="Q1034" s="167">
        <v>353</v>
      </c>
      <c r="R1034" s="167" t="s">
        <v>3407</v>
      </c>
      <c r="S1034" s="167" t="s">
        <v>2577</v>
      </c>
      <c r="T1034" s="167">
        <v>33</v>
      </c>
      <c r="U1034" s="167" t="s">
        <v>2578</v>
      </c>
      <c r="V1034" s="167" t="s">
        <v>3409</v>
      </c>
      <c r="AB1034" s="167" t="s">
        <v>1889</v>
      </c>
      <c r="AC1034" s="167">
        <v>353</v>
      </c>
      <c r="AD1034" s="203">
        <v>43180</v>
      </c>
      <c r="AE1034" s="203">
        <v>0</v>
      </c>
      <c r="AF1034" s="167" t="s">
        <v>3469</v>
      </c>
    </row>
    <row r="1035" spans="16:32" x14ac:dyDescent="0.25">
      <c r="P1035" s="167" t="s">
        <v>739</v>
      </c>
      <c r="Q1035" s="167">
        <v>353</v>
      </c>
      <c r="R1035" s="167" t="s">
        <v>3407</v>
      </c>
      <c r="S1035" s="167" t="s">
        <v>2577</v>
      </c>
      <c r="T1035" s="167">
        <v>96</v>
      </c>
      <c r="U1035" s="167" t="s">
        <v>2578</v>
      </c>
      <c r="V1035" s="167" t="s">
        <v>3409</v>
      </c>
      <c r="AB1035" s="167" t="s">
        <v>1890</v>
      </c>
      <c r="AC1035" s="167">
        <v>323</v>
      </c>
      <c r="AD1035" s="203">
        <v>43074</v>
      </c>
      <c r="AE1035" s="203">
        <v>43111</v>
      </c>
      <c r="AF1035" s="167" t="s">
        <v>3470</v>
      </c>
    </row>
    <row r="1036" spans="16:32" x14ac:dyDescent="0.25">
      <c r="P1036" s="167" t="s">
        <v>739</v>
      </c>
      <c r="Q1036" s="167">
        <v>353</v>
      </c>
      <c r="R1036" s="167" t="s">
        <v>3407</v>
      </c>
      <c r="S1036" s="167" t="s">
        <v>2579</v>
      </c>
      <c r="T1036" s="167">
        <v>7</v>
      </c>
      <c r="U1036" s="167" t="s">
        <v>2580</v>
      </c>
      <c r="V1036" s="167" t="s">
        <v>3409</v>
      </c>
      <c r="AB1036" s="167" t="s">
        <v>1890</v>
      </c>
      <c r="AC1036" s="167">
        <v>327</v>
      </c>
      <c r="AD1036" s="203">
        <v>43074</v>
      </c>
      <c r="AE1036" s="203">
        <v>43131</v>
      </c>
      <c r="AF1036" s="167" t="s">
        <v>3470</v>
      </c>
    </row>
    <row r="1037" spans="16:32" x14ac:dyDescent="0.25">
      <c r="P1037" s="167" t="s">
        <v>739</v>
      </c>
      <c r="Q1037" s="167">
        <v>353</v>
      </c>
      <c r="R1037" s="167" t="s">
        <v>3407</v>
      </c>
      <c r="S1037" s="167" t="s">
        <v>2579</v>
      </c>
      <c r="T1037" s="167">
        <v>7</v>
      </c>
      <c r="U1037" s="167" t="s">
        <v>2580</v>
      </c>
      <c r="V1037" s="167" t="s">
        <v>3409</v>
      </c>
      <c r="AB1037" s="167" t="s">
        <v>1890</v>
      </c>
      <c r="AC1037" s="167">
        <v>347</v>
      </c>
      <c r="AD1037" s="203">
        <v>43118</v>
      </c>
      <c r="AE1037" s="203">
        <v>43133</v>
      </c>
      <c r="AF1037" s="167" t="s">
        <v>3470</v>
      </c>
    </row>
    <row r="1038" spans="16:32" x14ac:dyDescent="0.25">
      <c r="P1038" s="167" t="s">
        <v>739</v>
      </c>
      <c r="Q1038" s="167">
        <v>353</v>
      </c>
      <c r="R1038" s="167" t="s">
        <v>3407</v>
      </c>
      <c r="S1038" s="167" t="s">
        <v>1078</v>
      </c>
      <c r="T1038" s="167">
        <v>152</v>
      </c>
      <c r="U1038" s="167" t="s">
        <v>3426</v>
      </c>
      <c r="V1038" s="167" t="s">
        <v>3409</v>
      </c>
      <c r="AB1038" s="167" t="s">
        <v>1890</v>
      </c>
      <c r="AC1038" s="167">
        <v>340</v>
      </c>
      <c r="AD1038" s="203">
        <v>43133</v>
      </c>
      <c r="AE1038" s="203">
        <v>43168</v>
      </c>
      <c r="AF1038" s="167" t="s">
        <v>3470</v>
      </c>
    </row>
    <row r="1039" spans="16:32" x14ac:dyDescent="0.25">
      <c r="P1039" s="167" t="s">
        <v>739</v>
      </c>
      <c r="Q1039" s="167">
        <v>353</v>
      </c>
      <c r="R1039" s="167" t="s">
        <v>3407</v>
      </c>
      <c r="S1039" s="167" t="s">
        <v>3361</v>
      </c>
      <c r="T1039" s="167">
        <v>8</v>
      </c>
      <c r="U1039" s="167" t="s">
        <v>3427</v>
      </c>
      <c r="V1039" s="167" t="s">
        <v>3409</v>
      </c>
      <c r="AB1039" s="167" t="s">
        <v>1890</v>
      </c>
      <c r="AC1039" s="167">
        <v>340</v>
      </c>
      <c r="AD1039" s="203">
        <v>43133</v>
      </c>
      <c r="AE1039" s="203">
        <v>43168</v>
      </c>
      <c r="AF1039" s="167" t="s">
        <v>3470</v>
      </c>
    </row>
    <row r="1040" spans="16:32" x14ac:dyDescent="0.25">
      <c r="P1040" s="167" t="s">
        <v>739</v>
      </c>
      <c r="Q1040" s="167">
        <v>353</v>
      </c>
      <c r="R1040" s="167" t="s">
        <v>3407</v>
      </c>
      <c r="S1040" s="167" t="s">
        <v>3361</v>
      </c>
      <c r="T1040" s="167">
        <v>9</v>
      </c>
      <c r="U1040" s="167" t="s">
        <v>3427</v>
      </c>
      <c r="V1040" s="167" t="s">
        <v>3409</v>
      </c>
      <c r="AB1040" s="167" t="s">
        <v>1890</v>
      </c>
      <c r="AC1040" s="167">
        <v>353</v>
      </c>
      <c r="AD1040" s="203">
        <v>43180</v>
      </c>
      <c r="AE1040" s="203">
        <v>0</v>
      </c>
      <c r="AF1040" s="167" t="s">
        <v>3469</v>
      </c>
    </row>
    <row r="1041" spans="16:32" x14ac:dyDescent="0.25">
      <c r="P1041" s="167" t="s">
        <v>739</v>
      </c>
      <c r="Q1041" s="167">
        <v>353</v>
      </c>
      <c r="R1041" s="167" t="s">
        <v>3407</v>
      </c>
      <c r="S1041" s="167" t="s">
        <v>3361</v>
      </c>
      <c r="T1041" s="167">
        <v>4</v>
      </c>
      <c r="U1041" s="167" t="s">
        <v>3427</v>
      </c>
      <c r="V1041" s="167" t="s">
        <v>3409</v>
      </c>
      <c r="AB1041" s="167" t="s">
        <v>3419</v>
      </c>
      <c r="AC1041" s="167">
        <v>357</v>
      </c>
      <c r="AD1041" s="203">
        <v>43139</v>
      </c>
      <c r="AE1041" s="203">
        <v>43164</v>
      </c>
      <c r="AF1041" s="167" t="s">
        <v>3470</v>
      </c>
    </row>
    <row r="1042" spans="16:32" x14ac:dyDescent="0.25">
      <c r="P1042" s="167" t="s">
        <v>739</v>
      </c>
      <c r="Q1042" s="167">
        <v>353</v>
      </c>
      <c r="R1042" s="167" t="s">
        <v>3407</v>
      </c>
      <c r="S1042" s="167" t="s">
        <v>3361</v>
      </c>
      <c r="T1042" s="167">
        <v>8</v>
      </c>
      <c r="U1042" s="167" t="s">
        <v>3427</v>
      </c>
      <c r="V1042" s="167" t="s">
        <v>3409</v>
      </c>
      <c r="AB1042" s="167" t="s">
        <v>3419</v>
      </c>
      <c r="AC1042" s="167">
        <v>353</v>
      </c>
      <c r="AD1042" s="203">
        <v>43180</v>
      </c>
      <c r="AE1042" s="203">
        <v>0</v>
      </c>
      <c r="AF1042" s="167" t="s">
        <v>3469</v>
      </c>
    </row>
    <row r="1043" spans="16:32" x14ac:dyDescent="0.25">
      <c r="P1043" s="167" t="s">
        <v>739</v>
      </c>
      <c r="Q1043" s="167">
        <v>353</v>
      </c>
      <c r="R1043" s="167" t="s">
        <v>3407</v>
      </c>
      <c r="S1043" s="167" t="s">
        <v>2585</v>
      </c>
      <c r="T1043" s="167">
        <v>5</v>
      </c>
      <c r="U1043" s="167" t="s">
        <v>2586</v>
      </c>
      <c r="V1043" s="167" t="s">
        <v>3409</v>
      </c>
      <c r="AB1043" s="167" t="s">
        <v>1892</v>
      </c>
      <c r="AC1043" s="167">
        <v>357</v>
      </c>
      <c r="AD1043" s="203">
        <v>43139</v>
      </c>
      <c r="AE1043" s="203">
        <v>43164</v>
      </c>
      <c r="AF1043" s="167" t="s">
        <v>3470</v>
      </c>
    </row>
    <row r="1044" spans="16:32" x14ac:dyDescent="0.25">
      <c r="P1044" s="167" t="s">
        <v>739</v>
      </c>
      <c r="Q1044" s="167">
        <v>353</v>
      </c>
      <c r="R1044" s="167" t="s">
        <v>3407</v>
      </c>
      <c r="S1044" s="167" t="s">
        <v>2585</v>
      </c>
      <c r="T1044" s="167">
        <v>1</v>
      </c>
      <c r="U1044" s="167" t="s">
        <v>2586</v>
      </c>
      <c r="V1044" s="167" t="s">
        <v>3409</v>
      </c>
      <c r="AB1044" s="167" t="s">
        <v>1892</v>
      </c>
      <c r="AC1044" s="167">
        <v>353</v>
      </c>
      <c r="AD1044" s="203">
        <v>43180</v>
      </c>
      <c r="AE1044" s="203">
        <v>0</v>
      </c>
      <c r="AF1044" s="167" t="s">
        <v>3469</v>
      </c>
    </row>
    <row r="1045" spans="16:32" x14ac:dyDescent="0.25">
      <c r="P1045" s="167" t="s">
        <v>739</v>
      </c>
      <c r="Q1045" s="167">
        <v>353</v>
      </c>
      <c r="R1045" s="167" t="s">
        <v>3407</v>
      </c>
      <c r="S1045" s="167" t="s">
        <v>2585</v>
      </c>
      <c r="T1045" s="167">
        <v>10</v>
      </c>
      <c r="U1045" s="167" t="s">
        <v>2586</v>
      </c>
      <c r="V1045" s="167" t="s">
        <v>3409</v>
      </c>
      <c r="AB1045" s="167" t="s">
        <v>1892</v>
      </c>
      <c r="AC1045" s="167">
        <v>353</v>
      </c>
      <c r="AD1045" s="203">
        <v>43180</v>
      </c>
      <c r="AE1045" s="203">
        <v>0</v>
      </c>
      <c r="AF1045" s="167" t="s">
        <v>3469</v>
      </c>
    </row>
    <row r="1046" spans="16:32" x14ac:dyDescent="0.25">
      <c r="P1046" s="167" t="s">
        <v>739</v>
      </c>
      <c r="Q1046" s="167">
        <v>353</v>
      </c>
      <c r="R1046" s="167" t="s">
        <v>3407</v>
      </c>
      <c r="S1046" s="167" t="s">
        <v>1079</v>
      </c>
      <c r="T1046" s="167">
        <v>26</v>
      </c>
      <c r="U1046" s="167" t="s">
        <v>2590</v>
      </c>
      <c r="V1046" s="167" t="s">
        <v>3409</v>
      </c>
      <c r="AB1046" s="167" t="s">
        <v>3477</v>
      </c>
      <c r="AC1046" s="167">
        <v>327</v>
      </c>
      <c r="AD1046" s="203">
        <v>43074</v>
      </c>
      <c r="AE1046" s="203">
        <v>43131</v>
      </c>
      <c r="AF1046" s="167" t="s">
        <v>3470</v>
      </c>
    </row>
    <row r="1047" spans="16:32" x14ac:dyDescent="0.25">
      <c r="P1047" s="167" t="s">
        <v>739</v>
      </c>
      <c r="Q1047" s="167">
        <v>353</v>
      </c>
      <c r="R1047" s="167" t="s">
        <v>3407</v>
      </c>
      <c r="S1047" s="167" t="s">
        <v>2591</v>
      </c>
      <c r="T1047" s="167">
        <v>10</v>
      </c>
      <c r="U1047" s="167" t="s">
        <v>2592</v>
      </c>
      <c r="V1047" s="167" t="s">
        <v>3409</v>
      </c>
      <c r="AB1047" s="167" t="s">
        <v>3477</v>
      </c>
      <c r="AC1047" s="167">
        <v>347</v>
      </c>
      <c r="AD1047" s="203">
        <v>43118</v>
      </c>
      <c r="AE1047" s="203">
        <v>43133</v>
      </c>
      <c r="AF1047" s="167" t="s">
        <v>3470</v>
      </c>
    </row>
    <row r="1048" spans="16:32" x14ac:dyDescent="0.25">
      <c r="P1048" s="167" t="s">
        <v>739</v>
      </c>
      <c r="Q1048" s="167">
        <v>353</v>
      </c>
      <c r="R1048" s="167" t="s">
        <v>3407</v>
      </c>
      <c r="S1048" s="167" t="s">
        <v>2593</v>
      </c>
      <c r="T1048" s="167">
        <v>1</v>
      </c>
      <c r="U1048" s="167" t="s">
        <v>2594</v>
      </c>
      <c r="V1048" s="167" t="s">
        <v>3409</v>
      </c>
      <c r="AB1048" s="167" t="s">
        <v>3477</v>
      </c>
      <c r="AC1048" s="167">
        <v>340</v>
      </c>
      <c r="AD1048" s="203">
        <v>43133</v>
      </c>
      <c r="AE1048" s="203">
        <v>43168</v>
      </c>
      <c r="AF1048" s="167" t="s">
        <v>3470</v>
      </c>
    </row>
    <row r="1049" spans="16:32" x14ac:dyDescent="0.25">
      <c r="P1049" s="167" t="s">
        <v>739</v>
      </c>
      <c r="Q1049" s="167">
        <v>353</v>
      </c>
      <c r="R1049" s="167" t="s">
        <v>3407</v>
      </c>
      <c r="S1049" s="167" t="s">
        <v>2595</v>
      </c>
      <c r="T1049" s="167">
        <v>1</v>
      </c>
      <c r="U1049" s="167" t="s">
        <v>2596</v>
      </c>
      <c r="V1049" s="167" t="s">
        <v>3409</v>
      </c>
      <c r="AB1049" s="167" t="s">
        <v>3477</v>
      </c>
      <c r="AC1049" s="167">
        <v>340</v>
      </c>
      <c r="AD1049" s="203">
        <v>43133</v>
      </c>
      <c r="AE1049" s="203">
        <v>43168</v>
      </c>
      <c r="AF1049" s="167" t="s">
        <v>3470</v>
      </c>
    </row>
    <row r="1050" spans="16:32" x14ac:dyDescent="0.25">
      <c r="P1050" s="167" t="s">
        <v>739</v>
      </c>
      <c r="Q1050" s="167">
        <v>353</v>
      </c>
      <c r="R1050" s="167" t="s">
        <v>3407</v>
      </c>
      <c r="S1050" s="167" t="s">
        <v>1080</v>
      </c>
      <c r="T1050" s="167">
        <v>4</v>
      </c>
      <c r="U1050" s="167" t="s">
        <v>2597</v>
      </c>
      <c r="V1050" s="167" t="s">
        <v>3409</v>
      </c>
      <c r="AB1050" s="167" t="s">
        <v>3477</v>
      </c>
      <c r="AC1050" s="167">
        <v>357</v>
      </c>
      <c r="AD1050" s="203">
        <v>43139</v>
      </c>
      <c r="AE1050" s="203">
        <v>43164</v>
      </c>
      <c r="AF1050" s="167" t="s">
        <v>3470</v>
      </c>
    </row>
    <row r="1051" spans="16:32" x14ac:dyDescent="0.25">
      <c r="P1051" s="167" t="s">
        <v>739</v>
      </c>
      <c r="Q1051" s="167">
        <v>353</v>
      </c>
      <c r="R1051" s="167" t="s">
        <v>3407</v>
      </c>
      <c r="S1051" s="167" t="s">
        <v>1080</v>
      </c>
      <c r="T1051" s="167">
        <v>25</v>
      </c>
      <c r="U1051" s="167" t="s">
        <v>2597</v>
      </c>
      <c r="V1051" s="167" t="s">
        <v>3409</v>
      </c>
      <c r="AB1051" s="167" t="s">
        <v>3477</v>
      </c>
      <c r="AC1051" s="167">
        <v>364</v>
      </c>
      <c r="AD1051" s="203">
        <v>43168</v>
      </c>
      <c r="AE1051" s="203">
        <v>43179</v>
      </c>
      <c r="AF1051" s="167" t="s">
        <v>3470</v>
      </c>
    </row>
    <row r="1052" spans="16:32" x14ac:dyDescent="0.25">
      <c r="P1052" s="167" t="s">
        <v>739</v>
      </c>
      <c r="Q1052" s="167">
        <v>353</v>
      </c>
      <c r="R1052" s="167" t="s">
        <v>3407</v>
      </c>
      <c r="S1052" s="167" t="s">
        <v>1081</v>
      </c>
      <c r="T1052" s="167">
        <v>2</v>
      </c>
      <c r="U1052" s="167" t="s">
        <v>2599</v>
      </c>
      <c r="V1052" s="167" t="s">
        <v>3409</v>
      </c>
      <c r="AB1052" s="167" t="s">
        <v>1893</v>
      </c>
      <c r="AC1052" s="167">
        <v>340</v>
      </c>
      <c r="AD1052" s="203">
        <v>43133</v>
      </c>
      <c r="AE1052" s="203">
        <v>43168</v>
      </c>
      <c r="AF1052" s="167" t="s">
        <v>3470</v>
      </c>
    </row>
    <row r="1053" spans="16:32" x14ac:dyDescent="0.25">
      <c r="P1053" s="167" t="s">
        <v>739</v>
      </c>
      <c r="Q1053" s="167">
        <v>353</v>
      </c>
      <c r="R1053" s="167" t="s">
        <v>3407</v>
      </c>
      <c r="S1053" s="167" t="s">
        <v>1082</v>
      </c>
      <c r="T1053" s="167">
        <v>4</v>
      </c>
      <c r="U1053" s="167" t="s">
        <v>2600</v>
      </c>
      <c r="V1053" s="167" t="s">
        <v>3409</v>
      </c>
      <c r="AB1053" s="167" t="s">
        <v>1894</v>
      </c>
      <c r="AC1053" s="167">
        <v>323</v>
      </c>
      <c r="AD1053" s="203">
        <v>43074</v>
      </c>
      <c r="AE1053" s="203">
        <v>43111</v>
      </c>
      <c r="AF1053" s="167" t="s">
        <v>3470</v>
      </c>
    </row>
    <row r="1054" spans="16:32" x14ac:dyDescent="0.25">
      <c r="P1054" s="167" t="s">
        <v>739</v>
      </c>
      <c r="Q1054" s="167">
        <v>353</v>
      </c>
      <c r="R1054" s="167" t="s">
        <v>3407</v>
      </c>
      <c r="S1054" s="167" t="s">
        <v>1082</v>
      </c>
      <c r="T1054" s="167">
        <v>24</v>
      </c>
      <c r="U1054" s="167" t="s">
        <v>2600</v>
      </c>
      <c r="V1054" s="167" t="s">
        <v>3409</v>
      </c>
      <c r="AB1054" s="167" t="s">
        <v>1894</v>
      </c>
      <c r="AC1054" s="167">
        <v>327</v>
      </c>
      <c r="AD1054" s="203">
        <v>43074</v>
      </c>
      <c r="AE1054" s="203">
        <v>43131</v>
      </c>
      <c r="AF1054" s="167" t="s">
        <v>3470</v>
      </c>
    </row>
    <row r="1055" spans="16:32" x14ac:dyDescent="0.25">
      <c r="P1055" s="167" t="s">
        <v>739</v>
      </c>
      <c r="Q1055" s="167">
        <v>353</v>
      </c>
      <c r="R1055" s="167" t="s">
        <v>3407</v>
      </c>
      <c r="S1055" s="167" t="s">
        <v>1082</v>
      </c>
      <c r="T1055" s="167">
        <v>15</v>
      </c>
      <c r="U1055" s="167" t="s">
        <v>2600</v>
      </c>
      <c r="V1055" s="167" t="s">
        <v>3409</v>
      </c>
      <c r="AB1055" s="167" t="s">
        <v>1894</v>
      </c>
      <c r="AC1055" s="167">
        <v>347</v>
      </c>
      <c r="AD1055" s="203">
        <v>43118</v>
      </c>
      <c r="AE1055" s="203">
        <v>43133</v>
      </c>
      <c r="AF1055" s="167" t="s">
        <v>3470</v>
      </c>
    </row>
    <row r="1056" spans="16:32" x14ac:dyDescent="0.25">
      <c r="P1056" s="167" t="s">
        <v>739</v>
      </c>
      <c r="Q1056" s="167">
        <v>353</v>
      </c>
      <c r="R1056" s="167" t="s">
        <v>3407</v>
      </c>
      <c r="S1056" s="167" t="s">
        <v>1082</v>
      </c>
      <c r="T1056" s="167">
        <v>4</v>
      </c>
      <c r="U1056" s="167" t="s">
        <v>2600</v>
      </c>
      <c r="V1056" s="167" t="s">
        <v>3409</v>
      </c>
      <c r="AB1056" s="167" t="s">
        <v>1894</v>
      </c>
      <c r="AC1056" s="167">
        <v>335</v>
      </c>
      <c r="AD1056" s="203">
        <v>43133</v>
      </c>
      <c r="AE1056" s="203">
        <v>43147</v>
      </c>
      <c r="AF1056" s="167" t="s">
        <v>3470</v>
      </c>
    </row>
    <row r="1057" spans="16:32" x14ac:dyDescent="0.25">
      <c r="P1057" s="167" t="s">
        <v>739</v>
      </c>
      <c r="Q1057" s="167">
        <v>353</v>
      </c>
      <c r="R1057" s="167" t="s">
        <v>3407</v>
      </c>
      <c r="S1057" s="167" t="s">
        <v>1083</v>
      </c>
      <c r="T1057" s="167">
        <v>5</v>
      </c>
      <c r="U1057" s="167" t="s">
        <v>2601</v>
      </c>
      <c r="V1057" s="167" t="s">
        <v>3409</v>
      </c>
      <c r="AB1057" s="167" t="s">
        <v>1894</v>
      </c>
      <c r="AC1057" s="167">
        <v>340</v>
      </c>
      <c r="AD1057" s="203">
        <v>43133</v>
      </c>
      <c r="AE1057" s="203">
        <v>43168</v>
      </c>
      <c r="AF1057" s="167" t="s">
        <v>3470</v>
      </c>
    </row>
    <row r="1058" spans="16:32" x14ac:dyDescent="0.25">
      <c r="P1058" s="167" t="s">
        <v>739</v>
      </c>
      <c r="Q1058" s="167">
        <v>353</v>
      </c>
      <c r="R1058" s="167" t="s">
        <v>3407</v>
      </c>
      <c r="S1058" s="167" t="s">
        <v>1083</v>
      </c>
      <c r="T1058" s="167">
        <v>4</v>
      </c>
      <c r="U1058" s="167" t="s">
        <v>2601</v>
      </c>
      <c r="V1058" s="167" t="s">
        <v>3409</v>
      </c>
      <c r="AB1058" s="167" t="s">
        <v>1894</v>
      </c>
      <c r="AC1058" s="167">
        <v>340</v>
      </c>
      <c r="AD1058" s="203">
        <v>43133</v>
      </c>
      <c r="AE1058" s="203">
        <v>43168</v>
      </c>
      <c r="AF1058" s="167" t="s">
        <v>3470</v>
      </c>
    </row>
    <row r="1059" spans="16:32" x14ac:dyDescent="0.25">
      <c r="P1059" s="167" t="s">
        <v>739</v>
      </c>
      <c r="Q1059" s="167">
        <v>353</v>
      </c>
      <c r="R1059" s="167" t="s">
        <v>3407</v>
      </c>
      <c r="S1059" s="167" t="s">
        <v>1083</v>
      </c>
      <c r="T1059" s="167">
        <v>4</v>
      </c>
      <c r="U1059" s="167" t="s">
        <v>2601</v>
      </c>
      <c r="V1059" s="167" t="s">
        <v>3409</v>
      </c>
      <c r="AB1059" s="167" t="s">
        <v>1894</v>
      </c>
      <c r="AC1059" s="167">
        <v>374</v>
      </c>
      <c r="AD1059" s="203">
        <v>43195</v>
      </c>
      <c r="AE1059" s="203">
        <v>0</v>
      </c>
      <c r="AF1059" s="167" t="s">
        <v>3469</v>
      </c>
    </row>
    <row r="1060" spans="16:32" x14ac:dyDescent="0.25">
      <c r="P1060" s="167" t="s">
        <v>739</v>
      </c>
      <c r="Q1060" s="167">
        <v>353</v>
      </c>
      <c r="R1060" s="167" t="s">
        <v>3407</v>
      </c>
      <c r="S1060" s="167" t="s">
        <v>1083</v>
      </c>
      <c r="T1060" s="167">
        <v>3</v>
      </c>
      <c r="U1060" s="167" t="s">
        <v>2601</v>
      </c>
      <c r="V1060" s="167" t="s">
        <v>3409</v>
      </c>
      <c r="AB1060" s="167" t="s">
        <v>1896</v>
      </c>
      <c r="AC1060" s="167">
        <v>327</v>
      </c>
      <c r="AD1060" s="203">
        <v>43074</v>
      </c>
      <c r="AE1060" s="203">
        <v>43131</v>
      </c>
      <c r="AF1060" s="167" t="s">
        <v>3470</v>
      </c>
    </row>
    <row r="1061" spans="16:32" x14ac:dyDescent="0.25">
      <c r="P1061" s="167" t="s">
        <v>739</v>
      </c>
      <c r="Q1061" s="167">
        <v>353</v>
      </c>
      <c r="R1061" s="167" t="s">
        <v>3407</v>
      </c>
      <c r="S1061" s="167" t="s">
        <v>1083</v>
      </c>
      <c r="T1061" s="167">
        <v>14</v>
      </c>
      <c r="U1061" s="167" t="s">
        <v>2601</v>
      </c>
      <c r="V1061" s="167" t="s">
        <v>3409</v>
      </c>
      <c r="AB1061" s="167" t="s">
        <v>1896</v>
      </c>
      <c r="AC1061" s="167">
        <v>347</v>
      </c>
      <c r="AD1061" s="203">
        <v>43118</v>
      </c>
      <c r="AE1061" s="203">
        <v>43133</v>
      </c>
      <c r="AF1061" s="167" t="s">
        <v>3470</v>
      </c>
    </row>
    <row r="1062" spans="16:32" x14ac:dyDescent="0.25">
      <c r="P1062" s="167" t="s">
        <v>739</v>
      </c>
      <c r="Q1062" s="167">
        <v>353</v>
      </c>
      <c r="R1062" s="167" t="s">
        <v>3407</v>
      </c>
      <c r="S1062" s="167" t="s">
        <v>2602</v>
      </c>
      <c r="T1062" s="167">
        <v>4</v>
      </c>
      <c r="U1062" s="167" t="s">
        <v>2603</v>
      </c>
      <c r="V1062" s="167" t="s">
        <v>3409</v>
      </c>
      <c r="AB1062" s="167" t="s">
        <v>1896</v>
      </c>
      <c r="AC1062" s="167">
        <v>340</v>
      </c>
      <c r="AD1062" s="203">
        <v>43133</v>
      </c>
      <c r="AE1062" s="203">
        <v>43168</v>
      </c>
      <c r="AF1062" s="167" t="s">
        <v>3470</v>
      </c>
    </row>
    <row r="1063" spans="16:32" x14ac:dyDescent="0.25">
      <c r="P1063" s="167" t="s">
        <v>739</v>
      </c>
      <c r="Q1063" s="167">
        <v>353</v>
      </c>
      <c r="R1063" s="167" t="s">
        <v>3407</v>
      </c>
      <c r="S1063" s="167" t="s">
        <v>2604</v>
      </c>
      <c r="T1063" s="167">
        <v>1</v>
      </c>
      <c r="U1063" s="167" t="s">
        <v>2605</v>
      </c>
      <c r="V1063" s="167" t="s">
        <v>3409</v>
      </c>
      <c r="AB1063" s="167" t="s">
        <v>1896</v>
      </c>
      <c r="AC1063" s="167">
        <v>340</v>
      </c>
      <c r="AD1063" s="203">
        <v>43133</v>
      </c>
      <c r="AE1063" s="203">
        <v>43168</v>
      </c>
      <c r="AF1063" s="167" t="s">
        <v>3470</v>
      </c>
    </row>
    <row r="1064" spans="16:32" x14ac:dyDescent="0.25">
      <c r="P1064" s="167" t="s">
        <v>739</v>
      </c>
      <c r="Q1064" s="167">
        <v>353</v>
      </c>
      <c r="R1064" s="167" t="s">
        <v>3407</v>
      </c>
      <c r="S1064" s="167" t="s">
        <v>2606</v>
      </c>
      <c r="T1064" s="167">
        <v>4</v>
      </c>
      <c r="U1064" s="167" t="s">
        <v>2607</v>
      </c>
      <c r="V1064" s="167" t="s">
        <v>3409</v>
      </c>
      <c r="AB1064" s="167" t="s">
        <v>1896</v>
      </c>
      <c r="AC1064" s="167">
        <v>357</v>
      </c>
      <c r="AD1064" s="203">
        <v>43139</v>
      </c>
      <c r="AE1064" s="203">
        <v>43164</v>
      </c>
      <c r="AF1064" s="167" t="s">
        <v>3470</v>
      </c>
    </row>
    <row r="1065" spans="16:32" x14ac:dyDescent="0.25">
      <c r="P1065" s="167" t="s">
        <v>739</v>
      </c>
      <c r="Q1065" s="167">
        <v>353</v>
      </c>
      <c r="R1065" s="167" t="s">
        <v>3407</v>
      </c>
      <c r="S1065" s="167" t="s">
        <v>2608</v>
      </c>
      <c r="T1065" s="167">
        <v>4</v>
      </c>
      <c r="U1065" s="167" t="s">
        <v>2609</v>
      </c>
      <c r="V1065" s="167" t="s">
        <v>3409</v>
      </c>
      <c r="AB1065" s="167" t="s">
        <v>1896</v>
      </c>
      <c r="AC1065" s="167">
        <v>353</v>
      </c>
      <c r="AD1065" s="203">
        <v>43180</v>
      </c>
      <c r="AE1065" s="203">
        <v>0</v>
      </c>
      <c r="AF1065" s="167" t="s">
        <v>3469</v>
      </c>
    </row>
    <row r="1066" spans="16:32" x14ac:dyDescent="0.25">
      <c r="P1066" s="167" t="s">
        <v>739</v>
      </c>
      <c r="Q1066" s="167">
        <v>353</v>
      </c>
      <c r="R1066" s="167" t="s">
        <v>3407</v>
      </c>
      <c r="S1066" s="167" t="s">
        <v>2608</v>
      </c>
      <c r="T1066" s="167">
        <v>10</v>
      </c>
      <c r="U1066" s="167" t="s">
        <v>2609</v>
      </c>
      <c r="V1066" s="167" t="s">
        <v>3409</v>
      </c>
      <c r="AB1066" s="167" t="s">
        <v>1896</v>
      </c>
      <c r="AC1066" s="167">
        <v>353</v>
      </c>
      <c r="AD1066" s="203">
        <v>43180</v>
      </c>
      <c r="AE1066" s="203">
        <v>0</v>
      </c>
      <c r="AF1066" s="167" t="s">
        <v>3469</v>
      </c>
    </row>
    <row r="1067" spans="16:32" x14ac:dyDescent="0.25">
      <c r="P1067" s="167" t="s">
        <v>739</v>
      </c>
      <c r="Q1067" s="167">
        <v>353</v>
      </c>
      <c r="R1067" s="167" t="s">
        <v>3407</v>
      </c>
      <c r="S1067" s="167" t="s">
        <v>2610</v>
      </c>
      <c r="T1067" s="167">
        <v>10</v>
      </c>
      <c r="U1067" s="167" t="s">
        <v>2611</v>
      </c>
      <c r="V1067" s="167" t="s">
        <v>3409</v>
      </c>
      <c r="AB1067" s="167" t="s">
        <v>1897</v>
      </c>
      <c r="AC1067" s="167">
        <v>323</v>
      </c>
      <c r="AD1067" s="203">
        <v>43074</v>
      </c>
      <c r="AE1067" s="203">
        <v>43111</v>
      </c>
      <c r="AF1067" s="167" t="s">
        <v>3470</v>
      </c>
    </row>
    <row r="1068" spans="16:32" x14ac:dyDescent="0.25">
      <c r="P1068" s="167" t="s">
        <v>739</v>
      </c>
      <c r="Q1068" s="167">
        <v>353</v>
      </c>
      <c r="R1068" s="167" t="s">
        <v>3407</v>
      </c>
      <c r="S1068" s="167" t="s">
        <v>2610</v>
      </c>
      <c r="T1068" s="167">
        <v>2</v>
      </c>
      <c r="U1068" s="167" t="s">
        <v>2611</v>
      </c>
      <c r="V1068" s="167" t="s">
        <v>3409</v>
      </c>
      <c r="AB1068" s="167" t="s">
        <v>1897</v>
      </c>
      <c r="AC1068" s="167">
        <v>340</v>
      </c>
      <c r="AD1068" s="203">
        <v>43133</v>
      </c>
      <c r="AE1068" s="203">
        <v>43168</v>
      </c>
      <c r="AF1068" s="167" t="s">
        <v>3470</v>
      </c>
    </row>
    <row r="1069" spans="16:32" x14ac:dyDescent="0.25">
      <c r="P1069" s="167" t="s">
        <v>739</v>
      </c>
      <c r="Q1069" s="167">
        <v>353</v>
      </c>
      <c r="R1069" s="167" t="s">
        <v>3407</v>
      </c>
      <c r="S1069" s="167" t="s">
        <v>1084</v>
      </c>
      <c r="T1069" s="167">
        <v>8</v>
      </c>
      <c r="U1069" s="167" t="s">
        <v>2612</v>
      </c>
      <c r="V1069" s="167" t="s">
        <v>3409</v>
      </c>
      <c r="AB1069" s="167" t="s">
        <v>1897</v>
      </c>
      <c r="AC1069" s="167">
        <v>357</v>
      </c>
      <c r="AD1069" s="203">
        <v>43139</v>
      </c>
      <c r="AE1069" s="203">
        <v>43164</v>
      </c>
      <c r="AF1069" s="167" t="s">
        <v>3470</v>
      </c>
    </row>
    <row r="1070" spans="16:32" x14ac:dyDescent="0.25">
      <c r="P1070" s="167" t="s">
        <v>739</v>
      </c>
      <c r="Q1070" s="167">
        <v>353</v>
      </c>
      <c r="R1070" s="167" t="s">
        <v>3407</v>
      </c>
      <c r="S1070" s="167" t="s">
        <v>1084</v>
      </c>
      <c r="T1070" s="167">
        <v>3</v>
      </c>
      <c r="U1070" s="167" t="s">
        <v>2612</v>
      </c>
      <c r="V1070" s="167" t="s">
        <v>3409</v>
      </c>
      <c r="AB1070" s="167" t="s">
        <v>1897</v>
      </c>
      <c r="AC1070" s="167">
        <v>364</v>
      </c>
      <c r="AD1070" s="203">
        <v>43168</v>
      </c>
      <c r="AE1070" s="203">
        <v>43179</v>
      </c>
      <c r="AF1070" s="167" t="s">
        <v>3470</v>
      </c>
    </row>
    <row r="1071" spans="16:32" x14ac:dyDescent="0.25">
      <c r="P1071" s="167" t="s">
        <v>739</v>
      </c>
      <c r="Q1071" s="167">
        <v>353</v>
      </c>
      <c r="R1071" s="167" t="s">
        <v>3407</v>
      </c>
      <c r="S1071" s="167" t="s">
        <v>3362</v>
      </c>
      <c r="T1071" s="167">
        <v>2</v>
      </c>
      <c r="U1071" s="167" t="s">
        <v>3428</v>
      </c>
      <c r="V1071" s="167" t="s">
        <v>3409</v>
      </c>
      <c r="AB1071" s="167" t="s">
        <v>1897</v>
      </c>
      <c r="AC1071" s="167">
        <v>353</v>
      </c>
      <c r="AD1071" s="203">
        <v>43180</v>
      </c>
      <c r="AE1071" s="203">
        <v>0</v>
      </c>
      <c r="AF1071" s="167" t="s">
        <v>3469</v>
      </c>
    </row>
    <row r="1072" spans="16:32" x14ac:dyDescent="0.25">
      <c r="P1072" s="167" t="s">
        <v>739</v>
      </c>
      <c r="Q1072" s="167">
        <v>353</v>
      </c>
      <c r="R1072" s="167" t="s">
        <v>3407</v>
      </c>
      <c r="S1072" s="167" t="s">
        <v>2614</v>
      </c>
      <c r="T1072" s="167">
        <v>7</v>
      </c>
      <c r="U1072" s="167" t="s">
        <v>2615</v>
      </c>
      <c r="V1072" s="167" t="s">
        <v>3409</v>
      </c>
      <c r="AB1072" s="167" t="s">
        <v>1897</v>
      </c>
      <c r="AC1072" s="167">
        <v>353</v>
      </c>
      <c r="AD1072" s="203">
        <v>43180</v>
      </c>
      <c r="AE1072" s="203">
        <v>0</v>
      </c>
      <c r="AF1072" s="167" t="s">
        <v>3469</v>
      </c>
    </row>
    <row r="1073" spans="16:32" x14ac:dyDescent="0.25">
      <c r="P1073" s="167" t="s">
        <v>739</v>
      </c>
      <c r="Q1073" s="167">
        <v>353</v>
      </c>
      <c r="R1073" s="167" t="s">
        <v>3407</v>
      </c>
      <c r="S1073" s="167" t="s">
        <v>2616</v>
      </c>
      <c r="T1073" s="167">
        <v>1</v>
      </c>
      <c r="U1073" s="167" t="s">
        <v>2617</v>
      </c>
      <c r="V1073" s="167" t="s">
        <v>3409</v>
      </c>
      <c r="AB1073" s="167" t="s">
        <v>1897</v>
      </c>
      <c r="AC1073" s="167">
        <v>353</v>
      </c>
      <c r="AD1073" s="203">
        <v>43180</v>
      </c>
      <c r="AE1073" s="203">
        <v>0</v>
      </c>
      <c r="AF1073" s="167" t="s">
        <v>3469</v>
      </c>
    </row>
    <row r="1074" spans="16:32" x14ac:dyDescent="0.25">
      <c r="P1074" s="167" t="s">
        <v>739</v>
      </c>
      <c r="Q1074" s="167">
        <v>353</v>
      </c>
      <c r="R1074" s="167" t="s">
        <v>3407</v>
      </c>
      <c r="S1074" s="167" t="s">
        <v>2616</v>
      </c>
      <c r="T1074" s="167">
        <v>12</v>
      </c>
      <c r="U1074" s="167" t="s">
        <v>2617</v>
      </c>
      <c r="V1074" s="167" t="s">
        <v>3409</v>
      </c>
      <c r="AB1074" s="167" t="s">
        <v>1899</v>
      </c>
      <c r="AC1074" s="167">
        <v>347</v>
      </c>
      <c r="AD1074" s="203">
        <v>43118</v>
      </c>
      <c r="AE1074" s="203">
        <v>43133</v>
      </c>
      <c r="AF1074" s="167" t="s">
        <v>3470</v>
      </c>
    </row>
    <row r="1075" spans="16:32" x14ac:dyDescent="0.25">
      <c r="P1075" s="167" t="s">
        <v>739</v>
      </c>
      <c r="Q1075" s="167">
        <v>353</v>
      </c>
      <c r="R1075" s="167" t="s">
        <v>3407</v>
      </c>
      <c r="S1075" s="167" t="s">
        <v>2616</v>
      </c>
      <c r="T1075" s="167">
        <v>7</v>
      </c>
      <c r="U1075" s="167" t="s">
        <v>2617</v>
      </c>
      <c r="V1075" s="167" t="s">
        <v>3409</v>
      </c>
      <c r="AB1075" s="167" t="s">
        <v>1899</v>
      </c>
      <c r="AC1075" s="167">
        <v>340</v>
      </c>
      <c r="AD1075" s="203">
        <v>43133</v>
      </c>
      <c r="AE1075" s="203">
        <v>43168</v>
      </c>
      <c r="AF1075" s="167" t="s">
        <v>3470</v>
      </c>
    </row>
    <row r="1076" spans="16:32" x14ac:dyDescent="0.25">
      <c r="P1076" s="167" t="s">
        <v>739</v>
      </c>
      <c r="Q1076" s="167">
        <v>353</v>
      </c>
      <c r="R1076" s="167" t="s">
        <v>3407</v>
      </c>
      <c r="S1076" s="167" t="s">
        <v>2616</v>
      </c>
      <c r="T1076" s="167">
        <v>16</v>
      </c>
      <c r="U1076" s="167" t="s">
        <v>2617</v>
      </c>
      <c r="V1076" s="167" t="s">
        <v>3409</v>
      </c>
      <c r="AB1076" s="167" t="s">
        <v>1899</v>
      </c>
      <c r="AC1076" s="167">
        <v>353</v>
      </c>
      <c r="AD1076" s="203">
        <v>43180</v>
      </c>
      <c r="AE1076" s="203">
        <v>0</v>
      </c>
      <c r="AF1076" s="167" t="s">
        <v>3469</v>
      </c>
    </row>
    <row r="1077" spans="16:32" x14ac:dyDescent="0.25">
      <c r="P1077" s="167" t="s">
        <v>739</v>
      </c>
      <c r="Q1077" s="167">
        <v>353</v>
      </c>
      <c r="R1077" s="167" t="s">
        <v>3407</v>
      </c>
      <c r="S1077" s="167" t="s">
        <v>2618</v>
      </c>
      <c r="T1077" s="167">
        <v>15</v>
      </c>
      <c r="U1077" s="167" t="s">
        <v>2619</v>
      </c>
      <c r="V1077" s="167" t="s">
        <v>3409</v>
      </c>
      <c r="AB1077" s="167" t="s">
        <v>1901</v>
      </c>
      <c r="AC1077" s="167">
        <v>347</v>
      </c>
      <c r="AD1077" s="203">
        <v>43118</v>
      </c>
      <c r="AE1077" s="203">
        <v>43133</v>
      </c>
      <c r="AF1077" s="167" t="s">
        <v>3470</v>
      </c>
    </row>
    <row r="1078" spans="16:32" x14ac:dyDescent="0.25">
      <c r="P1078" s="167" t="s">
        <v>739</v>
      </c>
      <c r="Q1078" s="167">
        <v>353</v>
      </c>
      <c r="R1078" s="167" t="s">
        <v>3407</v>
      </c>
      <c r="S1078" s="167" t="s">
        <v>2618</v>
      </c>
      <c r="T1078" s="167">
        <v>15</v>
      </c>
      <c r="U1078" s="167" t="s">
        <v>2619</v>
      </c>
      <c r="V1078" s="167" t="s">
        <v>3409</v>
      </c>
      <c r="AB1078" s="167" t="s">
        <v>1901</v>
      </c>
      <c r="AC1078" s="167">
        <v>335</v>
      </c>
      <c r="AD1078" s="203">
        <v>43133</v>
      </c>
      <c r="AE1078" s="203">
        <v>43147</v>
      </c>
      <c r="AF1078" s="167" t="s">
        <v>3470</v>
      </c>
    </row>
    <row r="1079" spans="16:32" x14ac:dyDescent="0.25">
      <c r="P1079" s="167" t="s">
        <v>739</v>
      </c>
      <c r="Q1079" s="167">
        <v>353</v>
      </c>
      <c r="R1079" s="167" t="s">
        <v>3407</v>
      </c>
      <c r="S1079" s="167" t="s">
        <v>2618</v>
      </c>
      <c r="T1079" s="167">
        <v>21</v>
      </c>
      <c r="U1079" s="167" t="s">
        <v>2619</v>
      </c>
      <c r="V1079" s="167" t="s">
        <v>3409</v>
      </c>
      <c r="AB1079" s="167" t="s">
        <v>1901</v>
      </c>
      <c r="AC1079" s="167">
        <v>340</v>
      </c>
      <c r="AD1079" s="203">
        <v>43133</v>
      </c>
      <c r="AE1079" s="203">
        <v>43168</v>
      </c>
      <c r="AF1079" s="167" t="s">
        <v>3470</v>
      </c>
    </row>
    <row r="1080" spans="16:32" x14ac:dyDescent="0.25">
      <c r="P1080" s="167" t="s">
        <v>739</v>
      </c>
      <c r="Q1080" s="167">
        <v>353</v>
      </c>
      <c r="R1080" s="167" t="s">
        <v>3407</v>
      </c>
      <c r="S1080" s="167" t="s">
        <v>2621</v>
      </c>
      <c r="T1080" s="167">
        <v>27</v>
      </c>
      <c r="U1080" s="167" t="s">
        <v>2622</v>
      </c>
      <c r="V1080" s="167" t="s">
        <v>3409</v>
      </c>
      <c r="AB1080" s="167" t="s">
        <v>1901</v>
      </c>
      <c r="AC1080" s="167">
        <v>353</v>
      </c>
      <c r="AD1080" s="203">
        <v>43180</v>
      </c>
      <c r="AE1080" s="203">
        <v>0</v>
      </c>
      <c r="AF1080" s="167" t="s">
        <v>3469</v>
      </c>
    </row>
    <row r="1081" spans="16:32" x14ac:dyDescent="0.25">
      <c r="P1081" s="167" t="s">
        <v>739</v>
      </c>
      <c r="Q1081" s="167">
        <v>353</v>
      </c>
      <c r="R1081" s="167" t="s">
        <v>3407</v>
      </c>
      <c r="S1081" s="167" t="s">
        <v>2621</v>
      </c>
      <c r="T1081" s="167">
        <v>20</v>
      </c>
      <c r="U1081" s="167" t="s">
        <v>2622</v>
      </c>
      <c r="V1081" s="167" t="s">
        <v>3409</v>
      </c>
      <c r="AB1081" s="167" t="s">
        <v>1901</v>
      </c>
      <c r="AC1081" s="167">
        <v>353</v>
      </c>
      <c r="AD1081" s="203">
        <v>43180</v>
      </c>
      <c r="AE1081" s="203">
        <v>0</v>
      </c>
      <c r="AF1081" s="167" t="s">
        <v>3469</v>
      </c>
    </row>
    <row r="1082" spans="16:32" x14ac:dyDescent="0.25">
      <c r="P1082" s="167" t="s">
        <v>739</v>
      </c>
      <c r="Q1082" s="167">
        <v>353</v>
      </c>
      <c r="R1082" s="167" t="s">
        <v>3407</v>
      </c>
      <c r="S1082" s="167" t="s">
        <v>2621</v>
      </c>
      <c r="T1082" s="167">
        <v>4</v>
      </c>
      <c r="U1082" s="167" t="s">
        <v>2622</v>
      </c>
      <c r="V1082" s="167" t="s">
        <v>3409</v>
      </c>
      <c r="AB1082" s="167" t="s">
        <v>1901</v>
      </c>
      <c r="AC1082" s="167">
        <v>353</v>
      </c>
      <c r="AD1082" s="203">
        <v>43180</v>
      </c>
      <c r="AE1082" s="203">
        <v>0</v>
      </c>
      <c r="AF1082" s="167" t="s">
        <v>3469</v>
      </c>
    </row>
    <row r="1083" spans="16:32" x14ac:dyDescent="0.25">
      <c r="P1083" s="167" t="s">
        <v>739</v>
      </c>
      <c r="Q1083" s="167">
        <v>353</v>
      </c>
      <c r="R1083" s="167" t="s">
        <v>3407</v>
      </c>
      <c r="S1083" s="167" t="s">
        <v>2621</v>
      </c>
      <c r="T1083" s="167">
        <v>5</v>
      </c>
      <c r="U1083" s="167" t="s">
        <v>2622</v>
      </c>
      <c r="V1083" s="167" t="s">
        <v>3409</v>
      </c>
      <c r="AB1083" s="167" t="s">
        <v>1901</v>
      </c>
      <c r="AC1083" s="167">
        <v>353</v>
      </c>
      <c r="AD1083" s="203">
        <v>43180</v>
      </c>
      <c r="AE1083" s="203">
        <v>0</v>
      </c>
      <c r="AF1083" s="167" t="s">
        <v>3469</v>
      </c>
    </row>
    <row r="1084" spans="16:32" x14ac:dyDescent="0.25">
      <c r="P1084" s="167" t="s">
        <v>739</v>
      </c>
      <c r="Q1084" s="167">
        <v>353</v>
      </c>
      <c r="R1084" s="167" t="s">
        <v>3407</v>
      </c>
      <c r="S1084" s="167" t="s">
        <v>2621</v>
      </c>
      <c r="T1084" s="167">
        <v>4</v>
      </c>
      <c r="U1084" s="167" t="s">
        <v>2622</v>
      </c>
      <c r="V1084" s="167" t="s">
        <v>3409</v>
      </c>
      <c r="AB1084" s="167" t="s">
        <v>1901</v>
      </c>
      <c r="AC1084" s="167">
        <v>353</v>
      </c>
      <c r="AD1084" s="203">
        <v>43180</v>
      </c>
      <c r="AE1084" s="203">
        <v>0</v>
      </c>
      <c r="AF1084" s="167" t="s">
        <v>3469</v>
      </c>
    </row>
    <row r="1085" spans="16:32" x14ac:dyDescent="0.25">
      <c r="P1085" s="167" t="s">
        <v>739</v>
      </c>
      <c r="Q1085" s="167">
        <v>353</v>
      </c>
      <c r="R1085" s="167" t="s">
        <v>3407</v>
      </c>
      <c r="S1085" s="167" t="s">
        <v>2621</v>
      </c>
      <c r="T1085" s="167">
        <v>5</v>
      </c>
      <c r="U1085" s="167" t="s">
        <v>2622</v>
      </c>
      <c r="V1085" s="167" t="s">
        <v>3409</v>
      </c>
      <c r="AB1085" s="167" t="s">
        <v>1903</v>
      </c>
      <c r="AC1085" s="167">
        <v>327</v>
      </c>
      <c r="AD1085" s="203">
        <v>43074</v>
      </c>
      <c r="AE1085" s="203">
        <v>43131</v>
      </c>
      <c r="AF1085" s="167" t="s">
        <v>3470</v>
      </c>
    </row>
    <row r="1086" spans="16:32" x14ac:dyDescent="0.25">
      <c r="P1086" s="167" t="s">
        <v>739</v>
      </c>
      <c r="Q1086" s="167">
        <v>353</v>
      </c>
      <c r="R1086" s="167" t="s">
        <v>3407</v>
      </c>
      <c r="S1086" s="167" t="s">
        <v>2621</v>
      </c>
      <c r="T1086" s="167">
        <v>5</v>
      </c>
      <c r="U1086" s="167" t="s">
        <v>2622</v>
      </c>
      <c r="V1086" s="167" t="s">
        <v>3409</v>
      </c>
      <c r="AB1086" s="167" t="s">
        <v>1903</v>
      </c>
      <c r="AC1086" s="167">
        <v>340</v>
      </c>
      <c r="AD1086" s="203">
        <v>43133</v>
      </c>
      <c r="AE1086" s="203">
        <v>43168</v>
      </c>
      <c r="AF1086" s="167" t="s">
        <v>3470</v>
      </c>
    </row>
    <row r="1087" spans="16:32" x14ac:dyDescent="0.25">
      <c r="P1087" s="167" t="s">
        <v>739</v>
      </c>
      <c r="Q1087" s="167">
        <v>353</v>
      </c>
      <c r="R1087" s="167" t="s">
        <v>3407</v>
      </c>
      <c r="S1087" s="167" t="s">
        <v>2623</v>
      </c>
      <c r="T1087" s="167">
        <v>13</v>
      </c>
      <c r="U1087" s="167" t="s">
        <v>2624</v>
      </c>
      <c r="V1087" s="167" t="s">
        <v>3409</v>
      </c>
      <c r="AB1087" s="167" t="s">
        <v>1903</v>
      </c>
      <c r="AC1087" s="167">
        <v>374</v>
      </c>
      <c r="AD1087" s="203">
        <v>43195</v>
      </c>
      <c r="AE1087" s="203">
        <v>0</v>
      </c>
      <c r="AF1087" s="167" t="s">
        <v>3469</v>
      </c>
    </row>
    <row r="1088" spans="16:32" x14ac:dyDescent="0.25">
      <c r="P1088" s="167" t="s">
        <v>739</v>
      </c>
      <c r="Q1088" s="167">
        <v>353</v>
      </c>
      <c r="R1088" s="167" t="s">
        <v>3407</v>
      </c>
      <c r="S1088" s="167" t="s">
        <v>2625</v>
      </c>
      <c r="T1088" s="167">
        <v>8</v>
      </c>
      <c r="U1088" s="167" t="s">
        <v>2626</v>
      </c>
      <c r="V1088" s="167" t="s">
        <v>3409</v>
      </c>
      <c r="AB1088" s="167" t="s">
        <v>1905</v>
      </c>
      <c r="AC1088" s="167">
        <v>340</v>
      </c>
      <c r="AD1088" s="203">
        <v>43133</v>
      </c>
      <c r="AE1088" s="203">
        <v>43168</v>
      </c>
      <c r="AF1088" s="167" t="s">
        <v>3470</v>
      </c>
    </row>
    <row r="1089" spans="16:32" x14ac:dyDescent="0.25">
      <c r="P1089" s="167" t="s">
        <v>739</v>
      </c>
      <c r="Q1089" s="167">
        <v>353</v>
      </c>
      <c r="R1089" s="167" t="s">
        <v>3407</v>
      </c>
      <c r="S1089" s="167" t="s">
        <v>2625</v>
      </c>
      <c r="T1089" s="167">
        <v>3</v>
      </c>
      <c r="U1089" s="167" t="s">
        <v>2626</v>
      </c>
      <c r="V1089" s="167" t="s">
        <v>3409</v>
      </c>
      <c r="AB1089" s="167" t="s">
        <v>1905</v>
      </c>
      <c r="AC1089" s="167">
        <v>357</v>
      </c>
      <c r="AD1089" s="203">
        <v>43139</v>
      </c>
      <c r="AE1089" s="203">
        <v>43164</v>
      </c>
      <c r="AF1089" s="167" t="s">
        <v>3470</v>
      </c>
    </row>
    <row r="1090" spans="16:32" x14ac:dyDescent="0.25">
      <c r="P1090" s="167" t="s">
        <v>739</v>
      </c>
      <c r="Q1090" s="167">
        <v>353</v>
      </c>
      <c r="R1090" s="167" t="s">
        <v>3407</v>
      </c>
      <c r="S1090" s="167" t="s">
        <v>2628</v>
      </c>
      <c r="T1090" s="167">
        <v>3</v>
      </c>
      <c r="U1090" s="167" t="s">
        <v>2629</v>
      </c>
      <c r="V1090" s="167" t="s">
        <v>3409</v>
      </c>
      <c r="AB1090" s="167" t="s">
        <v>1905</v>
      </c>
      <c r="AC1090" s="167">
        <v>353</v>
      </c>
      <c r="AD1090" s="203">
        <v>43180</v>
      </c>
      <c r="AE1090" s="203">
        <v>0</v>
      </c>
      <c r="AF1090" s="167" t="s">
        <v>3469</v>
      </c>
    </row>
    <row r="1091" spans="16:32" x14ac:dyDescent="0.25">
      <c r="P1091" s="167" t="s">
        <v>739</v>
      </c>
      <c r="Q1091" s="167">
        <v>353</v>
      </c>
      <c r="R1091" s="167" t="s">
        <v>3407</v>
      </c>
      <c r="S1091" s="167" t="s">
        <v>3363</v>
      </c>
      <c r="T1091" s="167">
        <v>1</v>
      </c>
      <c r="U1091" s="167" t="s">
        <v>3429</v>
      </c>
      <c r="V1091" s="167" t="s">
        <v>3409</v>
      </c>
      <c r="AB1091" s="167" t="s">
        <v>1905</v>
      </c>
      <c r="AC1091" s="167">
        <v>353</v>
      </c>
      <c r="AD1091" s="203">
        <v>43180</v>
      </c>
      <c r="AE1091" s="203">
        <v>0</v>
      </c>
      <c r="AF1091" s="167" t="s">
        <v>3469</v>
      </c>
    </row>
    <row r="1092" spans="16:32" x14ac:dyDescent="0.25">
      <c r="P1092" s="167" t="s">
        <v>739</v>
      </c>
      <c r="Q1092" s="167">
        <v>353</v>
      </c>
      <c r="R1092" s="167" t="s">
        <v>3407</v>
      </c>
      <c r="S1092" s="167" t="s">
        <v>3363</v>
      </c>
      <c r="T1092" s="167">
        <v>2</v>
      </c>
      <c r="U1092" s="167" t="s">
        <v>3429</v>
      </c>
      <c r="V1092" s="167" t="s">
        <v>3409</v>
      </c>
      <c r="AB1092" s="167" t="s">
        <v>1907</v>
      </c>
      <c r="AC1092" s="167">
        <v>340</v>
      </c>
      <c r="AD1092" s="203">
        <v>43133</v>
      </c>
      <c r="AE1092" s="203">
        <v>43168</v>
      </c>
      <c r="AF1092" s="167" t="s">
        <v>3470</v>
      </c>
    </row>
    <row r="1093" spans="16:32" x14ac:dyDescent="0.25">
      <c r="P1093" s="167" t="s">
        <v>739</v>
      </c>
      <c r="Q1093" s="167">
        <v>353</v>
      </c>
      <c r="R1093" s="167" t="s">
        <v>3407</v>
      </c>
      <c r="S1093" s="167" t="s">
        <v>2631</v>
      </c>
      <c r="T1093" s="167">
        <v>7</v>
      </c>
      <c r="U1093" s="167" t="s">
        <v>2632</v>
      </c>
      <c r="V1093" s="167" t="s">
        <v>3409</v>
      </c>
      <c r="AB1093" s="167" t="s">
        <v>1907</v>
      </c>
      <c r="AC1093" s="167">
        <v>374</v>
      </c>
      <c r="AD1093" s="203">
        <v>43195</v>
      </c>
      <c r="AE1093" s="203">
        <v>0</v>
      </c>
      <c r="AF1093" s="167" t="s">
        <v>3469</v>
      </c>
    </row>
    <row r="1094" spans="16:32" x14ac:dyDescent="0.25">
      <c r="P1094" s="167" t="s">
        <v>739</v>
      </c>
      <c r="Q1094" s="167">
        <v>353</v>
      </c>
      <c r="R1094" s="167" t="s">
        <v>3407</v>
      </c>
      <c r="S1094" s="167" t="s">
        <v>2633</v>
      </c>
      <c r="T1094" s="167">
        <v>10</v>
      </c>
      <c r="U1094" s="167" t="s">
        <v>2634</v>
      </c>
      <c r="V1094" s="167" t="s">
        <v>3409</v>
      </c>
      <c r="AB1094" s="167" t="s">
        <v>1909</v>
      </c>
      <c r="AC1094" s="167">
        <v>353</v>
      </c>
      <c r="AD1094" s="203">
        <v>43180</v>
      </c>
      <c r="AE1094" s="203">
        <v>0</v>
      </c>
      <c r="AF1094" s="167" t="s">
        <v>3469</v>
      </c>
    </row>
    <row r="1095" spans="16:32" x14ac:dyDescent="0.25">
      <c r="P1095" s="167" t="s">
        <v>739</v>
      </c>
      <c r="Q1095" s="167">
        <v>353</v>
      </c>
      <c r="R1095" s="167" t="s">
        <v>3407</v>
      </c>
      <c r="S1095" s="167" t="s">
        <v>2635</v>
      </c>
      <c r="T1095" s="167">
        <v>15</v>
      </c>
      <c r="U1095" s="167" t="s">
        <v>2636</v>
      </c>
      <c r="V1095" s="167" t="s">
        <v>3409</v>
      </c>
      <c r="AB1095" s="167" t="s">
        <v>1911</v>
      </c>
      <c r="AC1095" s="167">
        <v>353</v>
      </c>
      <c r="AD1095" s="203">
        <v>43180</v>
      </c>
      <c r="AE1095" s="203">
        <v>0</v>
      </c>
      <c r="AF1095" s="167" t="s">
        <v>3469</v>
      </c>
    </row>
    <row r="1096" spans="16:32" x14ac:dyDescent="0.25">
      <c r="P1096" s="167" t="s">
        <v>739</v>
      </c>
      <c r="Q1096" s="167">
        <v>353</v>
      </c>
      <c r="R1096" s="167" t="s">
        <v>3407</v>
      </c>
      <c r="S1096" s="167" t="s">
        <v>2635</v>
      </c>
      <c r="T1096" s="167">
        <v>7</v>
      </c>
      <c r="U1096" s="167" t="s">
        <v>2636</v>
      </c>
      <c r="V1096" s="167" t="s">
        <v>3409</v>
      </c>
      <c r="AB1096" s="167" t="s">
        <v>1913</v>
      </c>
      <c r="AC1096" s="167">
        <v>323</v>
      </c>
      <c r="AD1096" s="203">
        <v>43074</v>
      </c>
      <c r="AE1096" s="203">
        <v>43111</v>
      </c>
      <c r="AF1096" s="167" t="s">
        <v>3470</v>
      </c>
    </row>
    <row r="1097" spans="16:32" x14ac:dyDescent="0.25">
      <c r="P1097" s="167" t="s">
        <v>739</v>
      </c>
      <c r="Q1097" s="167">
        <v>353</v>
      </c>
      <c r="R1097" s="167" t="s">
        <v>3407</v>
      </c>
      <c r="S1097" s="167" t="s">
        <v>2637</v>
      </c>
      <c r="T1097" s="167">
        <v>8</v>
      </c>
      <c r="U1097" s="167" t="s">
        <v>2638</v>
      </c>
      <c r="V1097" s="167" t="s">
        <v>3409</v>
      </c>
      <c r="AB1097" s="167" t="s">
        <v>1913</v>
      </c>
      <c r="AC1097" s="167">
        <v>347</v>
      </c>
      <c r="AD1097" s="203">
        <v>43118</v>
      </c>
      <c r="AE1097" s="203">
        <v>43133</v>
      </c>
      <c r="AF1097" s="167" t="s">
        <v>3470</v>
      </c>
    </row>
    <row r="1098" spans="16:32" x14ac:dyDescent="0.25">
      <c r="P1098" s="167" t="s">
        <v>739</v>
      </c>
      <c r="Q1098" s="167">
        <v>353</v>
      </c>
      <c r="R1098" s="167" t="s">
        <v>3407</v>
      </c>
      <c r="S1098" s="167" t="s">
        <v>2637</v>
      </c>
      <c r="T1098" s="167">
        <v>14</v>
      </c>
      <c r="U1098" s="167" t="s">
        <v>2638</v>
      </c>
      <c r="V1098" s="167" t="s">
        <v>3409</v>
      </c>
      <c r="AB1098" s="167" t="s">
        <v>1913</v>
      </c>
      <c r="AC1098" s="167">
        <v>335</v>
      </c>
      <c r="AD1098" s="203">
        <v>43133</v>
      </c>
      <c r="AE1098" s="203">
        <v>43147</v>
      </c>
      <c r="AF1098" s="167" t="s">
        <v>3470</v>
      </c>
    </row>
    <row r="1099" spans="16:32" x14ac:dyDescent="0.25">
      <c r="P1099" s="167" t="s">
        <v>739</v>
      </c>
      <c r="Q1099" s="167">
        <v>353</v>
      </c>
      <c r="R1099" s="167" t="s">
        <v>3407</v>
      </c>
      <c r="S1099" s="167" t="s">
        <v>2637</v>
      </c>
      <c r="T1099" s="167">
        <v>54</v>
      </c>
      <c r="U1099" s="167" t="s">
        <v>2638</v>
      </c>
      <c r="V1099" s="167" t="s">
        <v>3409</v>
      </c>
      <c r="AB1099" s="167" t="s">
        <v>1913</v>
      </c>
      <c r="AC1099" s="167">
        <v>340</v>
      </c>
      <c r="AD1099" s="203">
        <v>43133</v>
      </c>
      <c r="AE1099" s="203">
        <v>43168</v>
      </c>
      <c r="AF1099" s="167" t="s">
        <v>3470</v>
      </c>
    </row>
    <row r="1100" spans="16:32" x14ac:dyDescent="0.25">
      <c r="P1100" s="167" t="s">
        <v>739</v>
      </c>
      <c r="Q1100" s="167">
        <v>353</v>
      </c>
      <c r="R1100" s="167" t="s">
        <v>3407</v>
      </c>
      <c r="S1100" s="167" t="s">
        <v>2637</v>
      </c>
      <c r="T1100" s="167">
        <v>4</v>
      </c>
      <c r="U1100" s="167" t="s">
        <v>2638</v>
      </c>
      <c r="V1100" s="167" t="s">
        <v>3409</v>
      </c>
      <c r="AB1100" s="167" t="s">
        <v>1913</v>
      </c>
      <c r="AC1100" s="167">
        <v>357</v>
      </c>
      <c r="AD1100" s="203">
        <v>43139</v>
      </c>
      <c r="AE1100" s="203">
        <v>43164</v>
      </c>
      <c r="AF1100" s="167" t="s">
        <v>3470</v>
      </c>
    </row>
    <row r="1101" spans="16:32" x14ac:dyDescent="0.25">
      <c r="P1101" s="167" t="s">
        <v>739</v>
      </c>
      <c r="Q1101" s="167">
        <v>353</v>
      </c>
      <c r="R1101" s="167" t="s">
        <v>3407</v>
      </c>
      <c r="S1101" s="167" t="s">
        <v>2639</v>
      </c>
      <c r="T1101" s="167">
        <v>2</v>
      </c>
      <c r="U1101" s="167" t="s">
        <v>2640</v>
      </c>
      <c r="V1101" s="167" t="s">
        <v>3409</v>
      </c>
      <c r="AB1101" s="167" t="s">
        <v>1913</v>
      </c>
      <c r="AC1101" s="167">
        <v>364</v>
      </c>
      <c r="AD1101" s="203">
        <v>43168</v>
      </c>
      <c r="AE1101" s="203">
        <v>43179</v>
      </c>
      <c r="AF1101" s="167" t="s">
        <v>3470</v>
      </c>
    </row>
    <row r="1102" spans="16:32" x14ac:dyDescent="0.25">
      <c r="P1102" s="167" t="s">
        <v>739</v>
      </c>
      <c r="Q1102" s="167">
        <v>353</v>
      </c>
      <c r="R1102" s="167" t="s">
        <v>3407</v>
      </c>
      <c r="S1102" s="167" t="s">
        <v>2639</v>
      </c>
      <c r="T1102" s="167">
        <v>2</v>
      </c>
      <c r="U1102" s="167" t="s">
        <v>2640</v>
      </c>
      <c r="V1102" s="167" t="s">
        <v>3409</v>
      </c>
      <c r="AB1102" s="167" t="s">
        <v>1913</v>
      </c>
      <c r="AC1102" s="167">
        <v>353</v>
      </c>
      <c r="AD1102" s="203">
        <v>43180</v>
      </c>
      <c r="AE1102" s="203">
        <v>0</v>
      </c>
      <c r="AF1102" s="167" t="s">
        <v>3469</v>
      </c>
    </row>
    <row r="1103" spans="16:32" x14ac:dyDescent="0.25">
      <c r="P1103" s="167" t="s">
        <v>739</v>
      </c>
      <c r="Q1103" s="167">
        <v>353</v>
      </c>
      <c r="R1103" s="167" t="s">
        <v>3407</v>
      </c>
      <c r="S1103" s="167" t="s">
        <v>2639</v>
      </c>
      <c r="T1103" s="167">
        <v>20</v>
      </c>
      <c r="U1103" s="167" t="s">
        <v>2640</v>
      </c>
      <c r="V1103" s="167" t="s">
        <v>3409</v>
      </c>
      <c r="AB1103" s="167" t="s">
        <v>1913</v>
      </c>
      <c r="AC1103" s="167">
        <v>353</v>
      </c>
      <c r="AD1103" s="203">
        <v>43180</v>
      </c>
      <c r="AE1103" s="203">
        <v>0</v>
      </c>
      <c r="AF1103" s="167" t="s">
        <v>3469</v>
      </c>
    </row>
    <row r="1104" spans="16:32" x14ac:dyDescent="0.25">
      <c r="P1104" s="167" t="s">
        <v>739</v>
      </c>
      <c r="Q1104" s="167">
        <v>353</v>
      </c>
      <c r="R1104" s="167" t="s">
        <v>3407</v>
      </c>
      <c r="S1104" s="167" t="s">
        <v>2645</v>
      </c>
      <c r="T1104" s="167">
        <v>8</v>
      </c>
      <c r="U1104" s="167" t="s">
        <v>2646</v>
      </c>
      <c r="V1104" s="167" t="s">
        <v>3409</v>
      </c>
      <c r="AB1104" s="167" t="s">
        <v>1913</v>
      </c>
      <c r="AC1104" s="167">
        <v>353</v>
      </c>
      <c r="AD1104" s="203">
        <v>43180</v>
      </c>
      <c r="AE1104" s="203">
        <v>0</v>
      </c>
      <c r="AF1104" s="167" t="s">
        <v>3469</v>
      </c>
    </row>
    <row r="1105" spans="16:32" x14ac:dyDescent="0.25">
      <c r="P1105" s="167" t="s">
        <v>739</v>
      </c>
      <c r="Q1105" s="167">
        <v>353</v>
      </c>
      <c r="R1105" s="167" t="s">
        <v>3407</v>
      </c>
      <c r="S1105" s="167" t="s">
        <v>2645</v>
      </c>
      <c r="T1105" s="167">
        <v>25</v>
      </c>
      <c r="U1105" s="167" t="s">
        <v>2646</v>
      </c>
      <c r="V1105" s="167" t="s">
        <v>3409</v>
      </c>
      <c r="AB1105" s="167" t="s">
        <v>1913</v>
      </c>
      <c r="AC1105" s="167">
        <v>353</v>
      </c>
      <c r="AD1105" s="203">
        <v>43180</v>
      </c>
      <c r="AE1105" s="203">
        <v>0</v>
      </c>
      <c r="AF1105" s="167" t="s">
        <v>3469</v>
      </c>
    </row>
    <row r="1106" spans="16:32" x14ac:dyDescent="0.25">
      <c r="P1106" s="167" t="s">
        <v>739</v>
      </c>
      <c r="Q1106" s="167">
        <v>353</v>
      </c>
      <c r="R1106" s="167" t="s">
        <v>3407</v>
      </c>
      <c r="S1106" s="167" t="s">
        <v>2645</v>
      </c>
      <c r="T1106" s="167">
        <v>2</v>
      </c>
      <c r="U1106" s="167" t="s">
        <v>2646</v>
      </c>
      <c r="V1106" s="167" t="s">
        <v>3409</v>
      </c>
      <c r="AB1106" s="167" t="s">
        <v>1913</v>
      </c>
      <c r="AC1106" s="167">
        <v>353</v>
      </c>
      <c r="AD1106" s="203">
        <v>43180</v>
      </c>
      <c r="AE1106" s="203">
        <v>0</v>
      </c>
      <c r="AF1106" s="167" t="s">
        <v>3469</v>
      </c>
    </row>
    <row r="1107" spans="16:32" x14ac:dyDescent="0.25">
      <c r="P1107" s="167" t="s">
        <v>739</v>
      </c>
      <c r="Q1107" s="167">
        <v>353</v>
      </c>
      <c r="R1107" s="167" t="s">
        <v>3407</v>
      </c>
      <c r="S1107" s="167" t="s">
        <v>2645</v>
      </c>
      <c r="T1107" s="167">
        <v>6</v>
      </c>
      <c r="U1107" s="167" t="s">
        <v>2646</v>
      </c>
      <c r="V1107" s="167" t="s">
        <v>3409</v>
      </c>
      <c r="AB1107" s="167" t="s">
        <v>1914</v>
      </c>
      <c r="AC1107" s="167">
        <v>347</v>
      </c>
      <c r="AD1107" s="203">
        <v>43118</v>
      </c>
      <c r="AE1107" s="203">
        <v>43133</v>
      </c>
      <c r="AF1107" s="167" t="s">
        <v>3470</v>
      </c>
    </row>
    <row r="1108" spans="16:32" x14ac:dyDescent="0.25">
      <c r="P1108" s="167" t="s">
        <v>739</v>
      </c>
      <c r="Q1108" s="167">
        <v>353</v>
      </c>
      <c r="R1108" s="167" t="s">
        <v>3407</v>
      </c>
      <c r="S1108" s="167" t="s">
        <v>2645</v>
      </c>
      <c r="T1108" s="167">
        <v>1</v>
      </c>
      <c r="U1108" s="167" t="s">
        <v>2646</v>
      </c>
      <c r="V1108" s="167" t="s">
        <v>3409</v>
      </c>
      <c r="AB1108" s="167" t="s">
        <v>1914</v>
      </c>
      <c r="AC1108" s="167">
        <v>340</v>
      </c>
      <c r="AD1108" s="203">
        <v>43133</v>
      </c>
      <c r="AE1108" s="203">
        <v>43168</v>
      </c>
      <c r="AF1108" s="167" t="s">
        <v>3470</v>
      </c>
    </row>
    <row r="1109" spans="16:32" x14ac:dyDescent="0.25">
      <c r="P1109" s="167" t="s">
        <v>739</v>
      </c>
      <c r="Q1109" s="167">
        <v>353</v>
      </c>
      <c r="R1109" s="167" t="s">
        <v>3407</v>
      </c>
      <c r="S1109" s="167" t="s">
        <v>2645</v>
      </c>
      <c r="T1109" s="167">
        <v>2</v>
      </c>
      <c r="U1109" s="167" t="s">
        <v>2646</v>
      </c>
      <c r="V1109" s="167" t="s">
        <v>3409</v>
      </c>
      <c r="AB1109" s="167" t="s">
        <v>1914</v>
      </c>
      <c r="AC1109" s="167">
        <v>340</v>
      </c>
      <c r="AD1109" s="203">
        <v>43133</v>
      </c>
      <c r="AE1109" s="203">
        <v>43168</v>
      </c>
      <c r="AF1109" s="167" t="s">
        <v>3470</v>
      </c>
    </row>
    <row r="1110" spans="16:32" x14ac:dyDescent="0.25">
      <c r="P1110" s="167" t="s">
        <v>739</v>
      </c>
      <c r="Q1110" s="167">
        <v>353</v>
      </c>
      <c r="R1110" s="167" t="s">
        <v>3407</v>
      </c>
      <c r="S1110" s="167" t="s">
        <v>2645</v>
      </c>
      <c r="T1110" s="167">
        <v>12</v>
      </c>
      <c r="U1110" s="167" t="s">
        <v>2646</v>
      </c>
      <c r="V1110" s="167" t="s">
        <v>3409</v>
      </c>
      <c r="AB1110" s="167" t="s">
        <v>1916</v>
      </c>
      <c r="AC1110" s="167">
        <v>323</v>
      </c>
      <c r="AD1110" s="203">
        <v>43074</v>
      </c>
      <c r="AE1110" s="203">
        <v>43111</v>
      </c>
      <c r="AF1110" s="167" t="s">
        <v>3470</v>
      </c>
    </row>
    <row r="1111" spans="16:32" x14ac:dyDescent="0.25">
      <c r="P1111" s="167" t="s">
        <v>739</v>
      </c>
      <c r="Q1111" s="167">
        <v>353</v>
      </c>
      <c r="R1111" s="167" t="s">
        <v>3407</v>
      </c>
      <c r="S1111" s="167" t="s">
        <v>2647</v>
      </c>
      <c r="T1111" s="167">
        <v>2</v>
      </c>
      <c r="U1111" s="167" t="s">
        <v>2648</v>
      </c>
      <c r="V1111" s="167" t="s">
        <v>3409</v>
      </c>
      <c r="AB1111" s="167" t="s">
        <v>1916</v>
      </c>
      <c r="AC1111" s="167">
        <v>327</v>
      </c>
      <c r="AD1111" s="203">
        <v>43074</v>
      </c>
      <c r="AE1111" s="203">
        <v>43131</v>
      </c>
      <c r="AF1111" s="167" t="s">
        <v>3470</v>
      </c>
    </row>
    <row r="1112" spans="16:32" x14ac:dyDescent="0.25">
      <c r="P1112" s="167" t="s">
        <v>739</v>
      </c>
      <c r="Q1112" s="167">
        <v>353</v>
      </c>
      <c r="R1112" s="167" t="s">
        <v>3407</v>
      </c>
      <c r="S1112" s="167" t="s">
        <v>2647</v>
      </c>
      <c r="T1112" s="167">
        <v>13</v>
      </c>
      <c r="U1112" s="167" t="s">
        <v>2648</v>
      </c>
      <c r="V1112" s="167" t="s">
        <v>3409</v>
      </c>
      <c r="AB1112" s="167" t="s">
        <v>1916</v>
      </c>
      <c r="AC1112" s="167">
        <v>347</v>
      </c>
      <c r="AD1112" s="203">
        <v>43118</v>
      </c>
      <c r="AE1112" s="203">
        <v>43133</v>
      </c>
      <c r="AF1112" s="167" t="s">
        <v>3470</v>
      </c>
    </row>
    <row r="1113" spans="16:32" x14ac:dyDescent="0.25">
      <c r="P1113" s="167" t="s">
        <v>739</v>
      </c>
      <c r="Q1113" s="167">
        <v>353</v>
      </c>
      <c r="R1113" s="167" t="s">
        <v>3407</v>
      </c>
      <c r="S1113" s="167" t="s">
        <v>2647</v>
      </c>
      <c r="T1113" s="167">
        <v>4</v>
      </c>
      <c r="U1113" s="167" t="s">
        <v>2648</v>
      </c>
      <c r="V1113" s="167" t="s">
        <v>3409</v>
      </c>
      <c r="AB1113" s="167" t="s">
        <v>1916</v>
      </c>
      <c r="AC1113" s="167">
        <v>340</v>
      </c>
      <c r="AD1113" s="203">
        <v>43133</v>
      </c>
      <c r="AE1113" s="203">
        <v>43168</v>
      </c>
      <c r="AF1113" s="167" t="s">
        <v>3470</v>
      </c>
    </row>
    <row r="1114" spans="16:32" x14ac:dyDescent="0.25">
      <c r="P1114" s="167" t="s">
        <v>739</v>
      </c>
      <c r="Q1114" s="167">
        <v>353</v>
      </c>
      <c r="R1114" s="167" t="s">
        <v>3407</v>
      </c>
      <c r="S1114" s="167" t="s">
        <v>2649</v>
      </c>
      <c r="T1114" s="167">
        <v>1</v>
      </c>
      <c r="U1114" s="167" t="s">
        <v>2650</v>
      </c>
      <c r="V1114" s="167" t="s">
        <v>3409</v>
      </c>
      <c r="AB1114" s="167" t="s">
        <v>1916</v>
      </c>
      <c r="AC1114" s="167">
        <v>340</v>
      </c>
      <c r="AD1114" s="203">
        <v>43133</v>
      </c>
      <c r="AE1114" s="203">
        <v>43168</v>
      </c>
      <c r="AF1114" s="167" t="s">
        <v>3470</v>
      </c>
    </row>
    <row r="1115" spans="16:32" x14ac:dyDescent="0.25">
      <c r="P1115" s="167" t="s">
        <v>739</v>
      </c>
      <c r="Q1115" s="167">
        <v>353</v>
      </c>
      <c r="R1115" s="167" t="s">
        <v>3407</v>
      </c>
      <c r="S1115" s="167" t="s">
        <v>2649</v>
      </c>
      <c r="T1115" s="167">
        <v>1</v>
      </c>
      <c r="U1115" s="167" t="s">
        <v>2650</v>
      </c>
      <c r="V1115" s="167" t="s">
        <v>3409</v>
      </c>
      <c r="AB1115" s="167" t="s">
        <v>1916</v>
      </c>
      <c r="AC1115" s="167">
        <v>357</v>
      </c>
      <c r="AD1115" s="203">
        <v>43139</v>
      </c>
      <c r="AE1115" s="203">
        <v>43164</v>
      </c>
      <c r="AF1115" s="167" t="s">
        <v>3470</v>
      </c>
    </row>
    <row r="1116" spans="16:32" x14ac:dyDescent="0.25">
      <c r="P1116" s="167" t="s">
        <v>739</v>
      </c>
      <c r="Q1116" s="167">
        <v>353</v>
      </c>
      <c r="R1116" s="167" t="s">
        <v>3407</v>
      </c>
      <c r="S1116" s="167" t="s">
        <v>1085</v>
      </c>
      <c r="T1116" s="167">
        <v>13</v>
      </c>
      <c r="U1116" s="167" t="s">
        <v>2651</v>
      </c>
      <c r="V1116" s="167" t="s">
        <v>3409</v>
      </c>
      <c r="AB1116" s="167" t="s">
        <v>1916</v>
      </c>
      <c r="AC1116" s="167">
        <v>364</v>
      </c>
      <c r="AD1116" s="203">
        <v>43168</v>
      </c>
      <c r="AE1116" s="203">
        <v>43179</v>
      </c>
      <c r="AF1116" s="167" t="s">
        <v>3470</v>
      </c>
    </row>
    <row r="1117" spans="16:32" x14ac:dyDescent="0.25">
      <c r="P1117" s="167" t="s">
        <v>739</v>
      </c>
      <c r="Q1117" s="167">
        <v>353</v>
      </c>
      <c r="R1117" s="167" t="s">
        <v>3407</v>
      </c>
      <c r="S1117" s="167" t="s">
        <v>2652</v>
      </c>
      <c r="T1117" s="167">
        <v>6</v>
      </c>
      <c r="U1117" s="167" t="s">
        <v>2653</v>
      </c>
      <c r="V1117" s="167" t="s">
        <v>3409</v>
      </c>
      <c r="AB1117" s="167" t="s">
        <v>1916</v>
      </c>
      <c r="AC1117" s="167">
        <v>353</v>
      </c>
      <c r="AD1117" s="203">
        <v>43180</v>
      </c>
      <c r="AE1117" s="203">
        <v>0</v>
      </c>
      <c r="AF1117" s="167" t="s">
        <v>3469</v>
      </c>
    </row>
    <row r="1118" spans="16:32" x14ac:dyDescent="0.25">
      <c r="P1118" s="167" t="s">
        <v>739</v>
      </c>
      <c r="Q1118" s="167">
        <v>353</v>
      </c>
      <c r="R1118" s="167" t="s">
        <v>3407</v>
      </c>
      <c r="S1118" s="167" t="s">
        <v>2652</v>
      </c>
      <c r="T1118" s="167">
        <v>3</v>
      </c>
      <c r="U1118" s="167" t="s">
        <v>2653</v>
      </c>
      <c r="V1118" s="167" t="s">
        <v>3409</v>
      </c>
      <c r="AB1118" s="167" t="s">
        <v>1916</v>
      </c>
      <c r="AC1118" s="167">
        <v>353</v>
      </c>
      <c r="AD1118" s="203">
        <v>43180</v>
      </c>
      <c r="AE1118" s="203">
        <v>0</v>
      </c>
      <c r="AF1118" s="167" t="s">
        <v>3469</v>
      </c>
    </row>
    <row r="1119" spans="16:32" x14ac:dyDescent="0.25">
      <c r="P1119" s="167" t="s">
        <v>739</v>
      </c>
      <c r="Q1119" s="167">
        <v>353</v>
      </c>
      <c r="R1119" s="167" t="s">
        <v>3407</v>
      </c>
      <c r="S1119" s="167" t="s">
        <v>2652</v>
      </c>
      <c r="T1119" s="167">
        <v>23</v>
      </c>
      <c r="U1119" s="167" t="s">
        <v>2653</v>
      </c>
      <c r="V1119" s="167" t="s">
        <v>3409</v>
      </c>
      <c r="AB1119" s="167" t="s">
        <v>1916</v>
      </c>
      <c r="AC1119" s="167">
        <v>353</v>
      </c>
      <c r="AD1119" s="203">
        <v>43180</v>
      </c>
      <c r="AE1119" s="203">
        <v>0</v>
      </c>
      <c r="AF1119" s="167" t="s">
        <v>3469</v>
      </c>
    </row>
    <row r="1120" spans="16:32" x14ac:dyDescent="0.25">
      <c r="P1120" s="167" t="s">
        <v>739</v>
      </c>
      <c r="Q1120" s="167">
        <v>353</v>
      </c>
      <c r="R1120" s="167" t="s">
        <v>3407</v>
      </c>
      <c r="S1120" s="167" t="s">
        <v>2652</v>
      </c>
      <c r="T1120" s="167">
        <v>4</v>
      </c>
      <c r="U1120" s="167" t="s">
        <v>2653</v>
      </c>
      <c r="V1120" s="167" t="s">
        <v>3409</v>
      </c>
      <c r="AB1120" s="167" t="s">
        <v>1918</v>
      </c>
      <c r="AC1120" s="167">
        <v>356</v>
      </c>
      <c r="AD1120" s="203">
        <v>43139</v>
      </c>
      <c r="AE1120" s="203">
        <v>0</v>
      </c>
      <c r="AF1120" s="167" t="s">
        <v>3469</v>
      </c>
    </row>
    <row r="1121" spans="16:32" x14ac:dyDescent="0.25">
      <c r="P1121" s="167" t="s">
        <v>739</v>
      </c>
      <c r="Q1121" s="167">
        <v>353</v>
      </c>
      <c r="R1121" s="167" t="s">
        <v>3407</v>
      </c>
      <c r="S1121" s="167" t="s">
        <v>2652</v>
      </c>
      <c r="T1121" s="167">
        <v>5</v>
      </c>
      <c r="U1121" s="167" t="s">
        <v>2653</v>
      </c>
      <c r="V1121" s="167" t="s">
        <v>3409</v>
      </c>
      <c r="AB1121" s="167" t="s">
        <v>1919</v>
      </c>
      <c r="AC1121" s="167">
        <v>347</v>
      </c>
      <c r="AD1121" s="203">
        <v>43118</v>
      </c>
      <c r="AE1121" s="203">
        <v>43133</v>
      </c>
      <c r="AF1121" s="167" t="s">
        <v>3470</v>
      </c>
    </row>
    <row r="1122" spans="16:32" x14ac:dyDescent="0.25">
      <c r="P1122" s="167" t="s">
        <v>739</v>
      </c>
      <c r="Q1122" s="167">
        <v>353</v>
      </c>
      <c r="R1122" s="167" t="s">
        <v>3407</v>
      </c>
      <c r="S1122" s="167" t="s">
        <v>2652</v>
      </c>
      <c r="T1122" s="167">
        <v>6</v>
      </c>
      <c r="U1122" s="167" t="s">
        <v>2653</v>
      </c>
      <c r="V1122" s="167" t="s">
        <v>3409</v>
      </c>
      <c r="AB1122" s="167" t="s">
        <v>1920</v>
      </c>
      <c r="AC1122" s="167">
        <v>323</v>
      </c>
      <c r="AD1122" s="203">
        <v>43074</v>
      </c>
      <c r="AE1122" s="203">
        <v>43111</v>
      </c>
      <c r="AF1122" s="167" t="s">
        <v>3470</v>
      </c>
    </row>
    <row r="1123" spans="16:32" x14ac:dyDescent="0.25">
      <c r="P1123" s="167" t="s">
        <v>739</v>
      </c>
      <c r="Q1123" s="167">
        <v>353</v>
      </c>
      <c r="R1123" s="167" t="s">
        <v>3407</v>
      </c>
      <c r="S1123" s="167" t="s">
        <v>2654</v>
      </c>
      <c r="T1123" s="167">
        <v>7</v>
      </c>
      <c r="U1123" s="167" t="s">
        <v>2655</v>
      </c>
      <c r="V1123" s="167" t="s">
        <v>3409</v>
      </c>
      <c r="AB1123" s="167" t="s">
        <v>1920</v>
      </c>
      <c r="AC1123" s="167">
        <v>327</v>
      </c>
      <c r="AD1123" s="203">
        <v>43074</v>
      </c>
      <c r="AE1123" s="203">
        <v>43131</v>
      </c>
      <c r="AF1123" s="167" t="s">
        <v>3470</v>
      </c>
    </row>
    <row r="1124" spans="16:32" x14ac:dyDescent="0.25">
      <c r="P1124" s="167" t="s">
        <v>739</v>
      </c>
      <c r="Q1124" s="167">
        <v>353</v>
      </c>
      <c r="R1124" s="167" t="s">
        <v>3407</v>
      </c>
      <c r="S1124" s="167" t="s">
        <v>2656</v>
      </c>
      <c r="T1124" s="167">
        <v>5</v>
      </c>
      <c r="U1124" s="167" t="s">
        <v>2657</v>
      </c>
      <c r="V1124" s="167" t="s">
        <v>3409</v>
      </c>
      <c r="AB1124" s="167" t="s">
        <v>1920</v>
      </c>
      <c r="AC1124" s="167">
        <v>347</v>
      </c>
      <c r="AD1124" s="203">
        <v>43118</v>
      </c>
      <c r="AE1124" s="203">
        <v>43133</v>
      </c>
      <c r="AF1124" s="167" t="s">
        <v>3470</v>
      </c>
    </row>
    <row r="1125" spans="16:32" x14ac:dyDescent="0.25">
      <c r="P1125" s="167" t="s">
        <v>739</v>
      </c>
      <c r="Q1125" s="167">
        <v>353</v>
      </c>
      <c r="R1125" s="167" t="s">
        <v>3407</v>
      </c>
      <c r="S1125" s="167" t="s">
        <v>2656</v>
      </c>
      <c r="T1125" s="167">
        <v>11</v>
      </c>
      <c r="U1125" s="167" t="s">
        <v>2657</v>
      </c>
      <c r="V1125" s="167" t="s">
        <v>3409</v>
      </c>
      <c r="AB1125" s="167" t="s">
        <v>1920</v>
      </c>
      <c r="AC1125" s="167">
        <v>357</v>
      </c>
      <c r="AD1125" s="203">
        <v>43139</v>
      </c>
      <c r="AE1125" s="203">
        <v>43164</v>
      </c>
      <c r="AF1125" s="167" t="s">
        <v>3470</v>
      </c>
    </row>
    <row r="1126" spans="16:32" x14ac:dyDescent="0.25">
      <c r="P1126" s="167" t="s">
        <v>739</v>
      </c>
      <c r="Q1126" s="167">
        <v>353</v>
      </c>
      <c r="R1126" s="167" t="s">
        <v>3407</v>
      </c>
      <c r="S1126" s="167" t="s">
        <v>2656</v>
      </c>
      <c r="T1126" s="167">
        <v>10</v>
      </c>
      <c r="U1126" s="167" t="s">
        <v>2657</v>
      </c>
      <c r="V1126" s="167" t="s">
        <v>3409</v>
      </c>
      <c r="AB1126" s="167" t="s">
        <v>1920</v>
      </c>
      <c r="AC1126" s="167">
        <v>364</v>
      </c>
      <c r="AD1126" s="203">
        <v>43168</v>
      </c>
      <c r="AE1126" s="203">
        <v>43179</v>
      </c>
      <c r="AF1126" s="167" t="s">
        <v>3470</v>
      </c>
    </row>
    <row r="1127" spans="16:32" x14ac:dyDescent="0.25">
      <c r="P1127" s="167" t="s">
        <v>739</v>
      </c>
      <c r="Q1127" s="167">
        <v>353</v>
      </c>
      <c r="R1127" s="167" t="s">
        <v>3407</v>
      </c>
      <c r="S1127" s="167" t="s">
        <v>2656</v>
      </c>
      <c r="T1127" s="167">
        <v>10</v>
      </c>
      <c r="U1127" s="167" t="s">
        <v>2657</v>
      </c>
      <c r="V1127" s="167" t="s">
        <v>3409</v>
      </c>
      <c r="AB1127" s="167" t="s">
        <v>1920</v>
      </c>
      <c r="AC1127" s="167">
        <v>353</v>
      </c>
      <c r="AD1127" s="203">
        <v>43180</v>
      </c>
      <c r="AE1127" s="203">
        <v>0</v>
      </c>
      <c r="AF1127" s="167" t="s">
        <v>3469</v>
      </c>
    </row>
    <row r="1128" spans="16:32" x14ac:dyDescent="0.25">
      <c r="P1128" s="167" t="s">
        <v>739</v>
      </c>
      <c r="Q1128" s="167">
        <v>353</v>
      </c>
      <c r="R1128" s="167" t="s">
        <v>3407</v>
      </c>
      <c r="S1128" s="167" t="s">
        <v>2658</v>
      </c>
      <c r="T1128" s="167">
        <v>9</v>
      </c>
      <c r="U1128" s="167" t="s">
        <v>2659</v>
      </c>
      <c r="V1128" s="167" t="s">
        <v>3409</v>
      </c>
      <c r="AB1128" s="167" t="s">
        <v>3420</v>
      </c>
      <c r="AC1128" s="167">
        <v>347</v>
      </c>
      <c r="AD1128" s="203">
        <v>43118</v>
      </c>
      <c r="AE1128" s="203">
        <v>43133</v>
      </c>
      <c r="AF1128" s="167" t="s">
        <v>3470</v>
      </c>
    </row>
    <row r="1129" spans="16:32" x14ac:dyDescent="0.25">
      <c r="P1129" s="167" t="s">
        <v>739</v>
      </c>
      <c r="Q1129" s="167">
        <v>353</v>
      </c>
      <c r="R1129" s="167" t="s">
        <v>3407</v>
      </c>
      <c r="S1129" s="167" t="s">
        <v>3364</v>
      </c>
      <c r="T1129" s="167">
        <v>1</v>
      </c>
      <c r="U1129" s="167" t="s">
        <v>3430</v>
      </c>
      <c r="V1129" s="167" t="s">
        <v>3409</v>
      </c>
      <c r="AB1129" s="167" t="s">
        <v>3420</v>
      </c>
      <c r="AC1129" s="167">
        <v>364</v>
      </c>
      <c r="AD1129" s="203">
        <v>43168</v>
      </c>
      <c r="AE1129" s="203">
        <v>43179</v>
      </c>
      <c r="AF1129" s="167" t="s">
        <v>3470</v>
      </c>
    </row>
    <row r="1130" spans="16:32" x14ac:dyDescent="0.25">
      <c r="P1130" s="167" t="s">
        <v>739</v>
      </c>
      <c r="Q1130" s="167">
        <v>353</v>
      </c>
      <c r="R1130" s="167" t="s">
        <v>3407</v>
      </c>
      <c r="S1130" s="167" t="s">
        <v>3364</v>
      </c>
      <c r="T1130" s="167">
        <v>1</v>
      </c>
      <c r="U1130" s="167" t="s">
        <v>3430</v>
      </c>
      <c r="V1130" s="167" t="s">
        <v>3409</v>
      </c>
      <c r="AB1130" s="167" t="s">
        <v>3420</v>
      </c>
      <c r="AC1130" s="167">
        <v>353</v>
      </c>
      <c r="AD1130" s="203">
        <v>43180</v>
      </c>
      <c r="AE1130" s="203">
        <v>0</v>
      </c>
      <c r="AF1130" s="167" t="s">
        <v>3469</v>
      </c>
    </row>
    <row r="1131" spans="16:32" x14ac:dyDescent="0.25">
      <c r="P1131" s="167" t="s">
        <v>739</v>
      </c>
      <c r="Q1131" s="167">
        <v>353</v>
      </c>
      <c r="R1131" s="167" t="s">
        <v>3407</v>
      </c>
      <c r="S1131" s="167" t="s">
        <v>2660</v>
      </c>
      <c r="T1131" s="167">
        <v>4</v>
      </c>
      <c r="U1131" s="167" t="s">
        <v>2661</v>
      </c>
      <c r="V1131" s="167" t="s">
        <v>3409</v>
      </c>
      <c r="AB1131" s="167" t="s">
        <v>3420</v>
      </c>
      <c r="AC1131" s="167">
        <v>374</v>
      </c>
      <c r="AD1131" s="203">
        <v>43195</v>
      </c>
      <c r="AE1131" s="203">
        <v>0</v>
      </c>
      <c r="AF1131" s="167" t="s">
        <v>3469</v>
      </c>
    </row>
    <row r="1132" spans="16:32" x14ac:dyDescent="0.25">
      <c r="P1132" s="167" t="s">
        <v>739</v>
      </c>
      <c r="Q1132" s="167">
        <v>353</v>
      </c>
      <c r="R1132" s="167" t="s">
        <v>3407</v>
      </c>
      <c r="S1132" s="167" t="s">
        <v>2662</v>
      </c>
      <c r="T1132" s="167">
        <v>2</v>
      </c>
      <c r="U1132" s="167" t="s">
        <v>2663</v>
      </c>
      <c r="V1132" s="167" t="s">
        <v>3409</v>
      </c>
      <c r="AB1132" s="167" t="s">
        <v>3454</v>
      </c>
      <c r="AC1132" s="167">
        <v>327</v>
      </c>
      <c r="AD1132" s="203">
        <v>43074</v>
      </c>
      <c r="AE1132" s="203">
        <v>43131</v>
      </c>
      <c r="AF1132" s="167" t="s">
        <v>3470</v>
      </c>
    </row>
    <row r="1133" spans="16:32" x14ac:dyDescent="0.25">
      <c r="P1133" s="167" t="s">
        <v>739</v>
      </c>
      <c r="Q1133" s="167">
        <v>353</v>
      </c>
      <c r="R1133" s="167" t="s">
        <v>3407</v>
      </c>
      <c r="S1133" s="167" t="s">
        <v>2664</v>
      </c>
      <c r="T1133" s="167">
        <v>1</v>
      </c>
      <c r="U1133" s="167" t="s">
        <v>2665</v>
      </c>
      <c r="V1133" s="167" t="s">
        <v>3409</v>
      </c>
      <c r="AB1133" s="167" t="s">
        <v>3454</v>
      </c>
      <c r="AC1133" s="167">
        <v>347</v>
      </c>
      <c r="AD1133" s="203">
        <v>43118</v>
      </c>
      <c r="AE1133" s="203">
        <v>43133</v>
      </c>
      <c r="AF1133" s="167" t="s">
        <v>3470</v>
      </c>
    </row>
    <row r="1134" spans="16:32" x14ac:dyDescent="0.25">
      <c r="P1134" s="167" t="s">
        <v>739</v>
      </c>
      <c r="Q1134" s="167">
        <v>353</v>
      </c>
      <c r="R1134" s="167" t="s">
        <v>3407</v>
      </c>
      <c r="S1134" s="167" t="s">
        <v>2666</v>
      </c>
      <c r="T1134" s="167">
        <v>7</v>
      </c>
      <c r="U1134" s="167" t="s">
        <v>2667</v>
      </c>
      <c r="V1134" s="167" t="s">
        <v>3409</v>
      </c>
      <c r="AB1134" s="167" t="s">
        <v>3454</v>
      </c>
      <c r="AC1134" s="167">
        <v>340</v>
      </c>
      <c r="AD1134" s="203">
        <v>43133</v>
      </c>
      <c r="AE1134" s="203">
        <v>43168</v>
      </c>
      <c r="AF1134" s="167" t="s">
        <v>3470</v>
      </c>
    </row>
    <row r="1135" spans="16:32" x14ac:dyDescent="0.25">
      <c r="P1135" s="167" t="s">
        <v>739</v>
      </c>
      <c r="Q1135" s="167">
        <v>353</v>
      </c>
      <c r="R1135" s="167" t="s">
        <v>3407</v>
      </c>
      <c r="S1135" s="167" t="s">
        <v>2666</v>
      </c>
      <c r="T1135" s="167">
        <v>1</v>
      </c>
      <c r="U1135" s="167" t="s">
        <v>2667</v>
      </c>
      <c r="V1135" s="167" t="s">
        <v>3409</v>
      </c>
      <c r="AB1135" s="167" t="s">
        <v>3454</v>
      </c>
      <c r="AC1135" s="167">
        <v>364</v>
      </c>
      <c r="AD1135" s="203">
        <v>43168</v>
      </c>
      <c r="AE1135" s="203">
        <v>43179</v>
      </c>
      <c r="AF1135" s="167" t="s">
        <v>3470</v>
      </c>
    </row>
    <row r="1136" spans="16:32" x14ac:dyDescent="0.25">
      <c r="P1136" s="167" t="s">
        <v>739</v>
      </c>
      <c r="Q1136" s="167">
        <v>353</v>
      </c>
      <c r="R1136" s="167" t="s">
        <v>3407</v>
      </c>
      <c r="S1136" s="167" t="s">
        <v>2666</v>
      </c>
      <c r="T1136" s="167">
        <v>1</v>
      </c>
      <c r="U1136" s="167" t="s">
        <v>2667</v>
      </c>
      <c r="V1136" s="167" t="s">
        <v>3409</v>
      </c>
      <c r="AB1136" s="167" t="s">
        <v>3454</v>
      </c>
      <c r="AC1136" s="167">
        <v>374</v>
      </c>
      <c r="AD1136" s="203">
        <v>43195</v>
      </c>
      <c r="AE1136" s="203">
        <v>0</v>
      </c>
      <c r="AF1136" s="167" t="s">
        <v>3469</v>
      </c>
    </row>
    <row r="1137" spans="16:32" x14ac:dyDescent="0.25">
      <c r="P1137" s="167" t="s">
        <v>739</v>
      </c>
      <c r="Q1137" s="167">
        <v>353</v>
      </c>
      <c r="R1137" s="167" t="s">
        <v>3407</v>
      </c>
      <c r="S1137" s="167" t="s">
        <v>2668</v>
      </c>
      <c r="T1137" s="167">
        <v>10</v>
      </c>
      <c r="U1137" s="167" t="s">
        <v>2669</v>
      </c>
      <c r="V1137" s="167" t="s">
        <v>3409</v>
      </c>
      <c r="AB1137" s="167" t="s">
        <v>1922</v>
      </c>
      <c r="AC1137" s="167">
        <v>347</v>
      </c>
      <c r="AD1137" s="203">
        <v>43118</v>
      </c>
      <c r="AE1137" s="203">
        <v>43133</v>
      </c>
      <c r="AF1137" s="167" t="s">
        <v>3470</v>
      </c>
    </row>
    <row r="1138" spans="16:32" x14ac:dyDescent="0.25">
      <c r="P1138" s="167" t="s">
        <v>739</v>
      </c>
      <c r="Q1138" s="167">
        <v>353</v>
      </c>
      <c r="R1138" s="167" t="s">
        <v>3407</v>
      </c>
      <c r="S1138" s="167" t="s">
        <v>2671</v>
      </c>
      <c r="T1138" s="167">
        <v>10</v>
      </c>
      <c r="U1138" s="167" t="s">
        <v>2672</v>
      </c>
      <c r="V1138" s="167" t="s">
        <v>3409</v>
      </c>
      <c r="AB1138" s="167" t="s">
        <v>1922</v>
      </c>
      <c r="AC1138" s="167">
        <v>340</v>
      </c>
      <c r="AD1138" s="203">
        <v>43133</v>
      </c>
      <c r="AE1138" s="203">
        <v>43168</v>
      </c>
      <c r="AF1138" s="167" t="s">
        <v>3470</v>
      </c>
    </row>
    <row r="1139" spans="16:32" x14ac:dyDescent="0.25">
      <c r="P1139" s="167" t="s">
        <v>739</v>
      </c>
      <c r="Q1139" s="167">
        <v>353</v>
      </c>
      <c r="R1139" s="167" t="s">
        <v>3407</v>
      </c>
      <c r="S1139" s="167" t="s">
        <v>2671</v>
      </c>
      <c r="T1139" s="167">
        <v>10</v>
      </c>
      <c r="U1139" s="167" t="s">
        <v>2672</v>
      </c>
      <c r="V1139" s="167" t="s">
        <v>3409</v>
      </c>
      <c r="AB1139" s="167" t="s">
        <v>1922</v>
      </c>
      <c r="AC1139" s="167">
        <v>357</v>
      </c>
      <c r="AD1139" s="203">
        <v>43139</v>
      </c>
      <c r="AE1139" s="203">
        <v>43164</v>
      </c>
      <c r="AF1139" s="167" t="s">
        <v>3470</v>
      </c>
    </row>
    <row r="1140" spans="16:32" x14ac:dyDescent="0.25">
      <c r="P1140" s="167" t="s">
        <v>739</v>
      </c>
      <c r="Q1140" s="167">
        <v>353</v>
      </c>
      <c r="R1140" s="167" t="s">
        <v>3407</v>
      </c>
      <c r="S1140" s="167" t="s">
        <v>2675</v>
      </c>
      <c r="T1140" s="167">
        <v>3</v>
      </c>
      <c r="U1140" s="167" t="s">
        <v>2676</v>
      </c>
      <c r="V1140" s="167" t="s">
        <v>3409</v>
      </c>
      <c r="AB1140" s="167" t="s">
        <v>1922</v>
      </c>
      <c r="AC1140" s="167">
        <v>353</v>
      </c>
      <c r="AD1140" s="203">
        <v>43180</v>
      </c>
      <c r="AE1140" s="203">
        <v>0</v>
      </c>
      <c r="AF1140" s="167" t="s">
        <v>3469</v>
      </c>
    </row>
    <row r="1141" spans="16:32" x14ac:dyDescent="0.25">
      <c r="P1141" s="167" t="s">
        <v>739</v>
      </c>
      <c r="Q1141" s="167">
        <v>353</v>
      </c>
      <c r="R1141" s="167" t="s">
        <v>3407</v>
      </c>
      <c r="S1141" s="167" t="s">
        <v>2679</v>
      </c>
      <c r="T1141" s="167">
        <v>16</v>
      </c>
      <c r="U1141" s="167" t="s">
        <v>2680</v>
      </c>
      <c r="V1141" s="167" t="s">
        <v>3409</v>
      </c>
      <c r="AB1141" s="167" t="s">
        <v>1923</v>
      </c>
      <c r="AC1141" s="167">
        <v>323</v>
      </c>
      <c r="AD1141" s="203">
        <v>43074</v>
      </c>
      <c r="AE1141" s="203">
        <v>43111</v>
      </c>
      <c r="AF1141" s="167" t="s">
        <v>3470</v>
      </c>
    </row>
    <row r="1142" spans="16:32" x14ac:dyDescent="0.25">
      <c r="P1142" s="167" t="s">
        <v>739</v>
      </c>
      <c r="Q1142" s="167">
        <v>353</v>
      </c>
      <c r="R1142" s="167" t="s">
        <v>3407</v>
      </c>
      <c r="S1142" s="167" t="s">
        <v>2681</v>
      </c>
      <c r="T1142" s="167">
        <v>4</v>
      </c>
      <c r="U1142" s="167" t="s">
        <v>2682</v>
      </c>
      <c r="V1142" s="167" t="s">
        <v>3409</v>
      </c>
      <c r="AB1142" s="167" t="s">
        <v>1923</v>
      </c>
      <c r="AC1142" s="167">
        <v>327</v>
      </c>
      <c r="AD1142" s="203">
        <v>43074</v>
      </c>
      <c r="AE1142" s="203">
        <v>43131</v>
      </c>
      <c r="AF1142" s="167" t="s">
        <v>3470</v>
      </c>
    </row>
    <row r="1143" spans="16:32" x14ac:dyDescent="0.25">
      <c r="P1143" s="167" t="s">
        <v>739</v>
      </c>
      <c r="Q1143" s="167">
        <v>353</v>
      </c>
      <c r="R1143" s="167" t="s">
        <v>3407</v>
      </c>
      <c r="S1143" s="167" t="s">
        <v>2681</v>
      </c>
      <c r="T1143" s="167">
        <v>11</v>
      </c>
      <c r="U1143" s="167" t="s">
        <v>2682</v>
      </c>
      <c r="V1143" s="167" t="s">
        <v>3409</v>
      </c>
      <c r="AB1143" s="167" t="s">
        <v>1923</v>
      </c>
      <c r="AC1143" s="167">
        <v>327</v>
      </c>
      <c r="AD1143" s="203">
        <v>43074</v>
      </c>
      <c r="AE1143" s="203">
        <v>43131</v>
      </c>
      <c r="AF1143" s="167" t="s">
        <v>3470</v>
      </c>
    </row>
    <row r="1144" spans="16:32" x14ac:dyDescent="0.25">
      <c r="P1144" s="167" t="s">
        <v>739</v>
      </c>
      <c r="Q1144" s="167">
        <v>353</v>
      </c>
      <c r="R1144" s="167" t="s">
        <v>3407</v>
      </c>
      <c r="S1144" s="167" t="s">
        <v>2684</v>
      </c>
      <c r="T1144" s="167">
        <v>2</v>
      </c>
      <c r="U1144" s="167" t="s">
        <v>2685</v>
      </c>
      <c r="V1144" s="167" t="s">
        <v>3409</v>
      </c>
      <c r="AB1144" s="167" t="s">
        <v>1923</v>
      </c>
      <c r="AC1144" s="167">
        <v>327</v>
      </c>
      <c r="AD1144" s="203">
        <v>43074</v>
      </c>
      <c r="AE1144" s="203">
        <v>43131</v>
      </c>
      <c r="AF1144" s="167" t="s">
        <v>3470</v>
      </c>
    </row>
    <row r="1145" spans="16:32" x14ac:dyDescent="0.25">
      <c r="P1145" s="167" t="s">
        <v>739</v>
      </c>
      <c r="Q1145" s="167">
        <v>353</v>
      </c>
      <c r="R1145" s="167" t="s">
        <v>3407</v>
      </c>
      <c r="S1145" s="167" t="s">
        <v>2686</v>
      </c>
      <c r="T1145" s="167">
        <v>3</v>
      </c>
      <c r="U1145" s="167" t="s">
        <v>2687</v>
      </c>
      <c r="V1145" s="167" t="s">
        <v>3409</v>
      </c>
      <c r="AB1145" s="167" t="s">
        <v>1923</v>
      </c>
      <c r="AC1145" s="167">
        <v>357</v>
      </c>
      <c r="AD1145" s="203">
        <v>43139</v>
      </c>
      <c r="AE1145" s="203">
        <v>43164</v>
      </c>
      <c r="AF1145" s="167" t="s">
        <v>3470</v>
      </c>
    </row>
    <row r="1146" spans="16:32" x14ac:dyDescent="0.25">
      <c r="P1146" s="167" t="s">
        <v>739</v>
      </c>
      <c r="Q1146" s="167">
        <v>353</v>
      </c>
      <c r="R1146" s="167" t="s">
        <v>3407</v>
      </c>
      <c r="S1146" s="167" t="s">
        <v>2688</v>
      </c>
      <c r="T1146" s="167">
        <v>5</v>
      </c>
      <c r="U1146" s="167" t="s">
        <v>2689</v>
      </c>
      <c r="V1146" s="167" t="s">
        <v>3409</v>
      </c>
      <c r="AB1146" s="167" t="s">
        <v>1923</v>
      </c>
      <c r="AC1146" s="167">
        <v>353</v>
      </c>
      <c r="AD1146" s="203">
        <v>43180</v>
      </c>
      <c r="AE1146" s="203">
        <v>0</v>
      </c>
      <c r="AF1146" s="167" t="s">
        <v>3469</v>
      </c>
    </row>
    <row r="1147" spans="16:32" x14ac:dyDescent="0.25">
      <c r="P1147" s="167" t="s">
        <v>739</v>
      </c>
      <c r="Q1147" s="167">
        <v>353</v>
      </c>
      <c r="R1147" s="167" t="s">
        <v>3407</v>
      </c>
      <c r="S1147" s="167" t="s">
        <v>2690</v>
      </c>
      <c r="T1147" s="167">
        <v>3</v>
      </c>
      <c r="U1147" s="167" t="s">
        <v>2691</v>
      </c>
      <c r="V1147" s="167" t="s">
        <v>3409</v>
      </c>
      <c r="AB1147" s="167" t="s">
        <v>1923</v>
      </c>
      <c r="AC1147" s="167">
        <v>353</v>
      </c>
      <c r="AD1147" s="203">
        <v>43180</v>
      </c>
      <c r="AE1147" s="203">
        <v>0</v>
      </c>
      <c r="AF1147" s="167" t="s">
        <v>3469</v>
      </c>
    </row>
    <row r="1148" spans="16:32" x14ac:dyDescent="0.25">
      <c r="P1148" s="167" t="s">
        <v>739</v>
      </c>
      <c r="Q1148" s="167">
        <v>353</v>
      </c>
      <c r="R1148" s="167" t="s">
        <v>3407</v>
      </c>
      <c r="S1148" s="167" t="s">
        <v>1086</v>
      </c>
      <c r="T1148" s="167">
        <v>408</v>
      </c>
      <c r="U1148" s="167" t="s">
        <v>2692</v>
      </c>
      <c r="V1148" s="167" t="s">
        <v>3409</v>
      </c>
      <c r="AB1148" s="167" t="s">
        <v>1923</v>
      </c>
      <c r="AC1148" s="167">
        <v>353</v>
      </c>
      <c r="AD1148" s="203">
        <v>43180</v>
      </c>
      <c r="AE1148" s="203">
        <v>0</v>
      </c>
      <c r="AF1148" s="167" t="s">
        <v>3469</v>
      </c>
    </row>
    <row r="1149" spans="16:32" x14ac:dyDescent="0.25">
      <c r="P1149" s="167" t="s">
        <v>739</v>
      </c>
      <c r="Q1149" s="167">
        <v>353</v>
      </c>
      <c r="R1149" s="167" t="s">
        <v>3407</v>
      </c>
      <c r="S1149" s="167" t="s">
        <v>2694</v>
      </c>
      <c r="T1149" s="167">
        <v>10</v>
      </c>
      <c r="U1149" s="167" t="s">
        <v>2695</v>
      </c>
      <c r="V1149" s="167" t="s">
        <v>3409</v>
      </c>
      <c r="AB1149" s="167" t="s">
        <v>1924</v>
      </c>
      <c r="AC1149" s="167">
        <v>347</v>
      </c>
      <c r="AD1149" s="203">
        <v>43118</v>
      </c>
      <c r="AE1149" s="203">
        <v>43133</v>
      </c>
      <c r="AF1149" s="167" t="s">
        <v>3470</v>
      </c>
    </row>
    <row r="1150" spans="16:32" x14ac:dyDescent="0.25">
      <c r="P1150" s="167" t="s">
        <v>739</v>
      </c>
      <c r="Q1150" s="167">
        <v>353</v>
      </c>
      <c r="R1150" s="167" t="s">
        <v>3407</v>
      </c>
      <c r="S1150" s="167" t="s">
        <v>3365</v>
      </c>
      <c r="T1150" s="167">
        <v>10</v>
      </c>
      <c r="U1150" s="167" t="s">
        <v>3431</v>
      </c>
      <c r="V1150" s="167" t="s">
        <v>3409</v>
      </c>
      <c r="AB1150" s="167" t="s">
        <v>1924</v>
      </c>
      <c r="AC1150" s="167">
        <v>340</v>
      </c>
      <c r="AD1150" s="203">
        <v>43133</v>
      </c>
      <c r="AE1150" s="203">
        <v>43168</v>
      </c>
      <c r="AF1150" s="167" t="s">
        <v>3470</v>
      </c>
    </row>
    <row r="1151" spans="16:32" x14ac:dyDescent="0.25">
      <c r="P1151" s="167" t="s">
        <v>739</v>
      </c>
      <c r="Q1151" s="167">
        <v>353</v>
      </c>
      <c r="R1151" s="167" t="s">
        <v>3407</v>
      </c>
      <c r="S1151" s="167" t="s">
        <v>2696</v>
      </c>
      <c r="T1151" s="167">
        <v>10</v>
      </c>
      <c r="U1151" s="167" t="s">
        <v>2697</v>
      </c>
      <c r="V1151" s="167" t="s">
        <v>3409</v>
      </c>
      <c r="AB1151" s="167" t="s">
        <v>1924</v>
      </c>
      <c r="AC1151" s="167">
        <v>357</v>
      </c>
      <c r="AD1151" s="203">
        <v>43139</v>
      </c>
      <c r="AE1151" s="203">
        <v>43164</v>
      </c>
      <c r="AF1151" s="167" t="s">
        <v>3470</v>
      </c>
    </row>
    <row r="1152" spans="16:32" x14ac:dyDescent="0.25">
      <c r="P1152" s="167" t="s">
        <v>739</v>
      </c>
      <c r="Q1152" s="167">
        <v>353</v>
      </c>
      <c r="R1152" s="167" t="s">
        <v>3407</v>
      </c>
      <c r="S1152" s="167" t="s">
        <v>2702</v>
      </c>
      <c r="T1152" s="167">
        <v>24</v>
      </c>
      <c r="U1152" s="167" t="s">
        <v>2703</v>
      </c>
      <c r="V1152" s="167" t="s">
        <v>3409</v>
      </c>
      <c r="AB1152" s="167" t="s">
        <v>1924</v>
      </c>
      <c r="AC1152" s="167">
        <v>353</v>
      </c>
      <c r="AD1152" s="203">
        <v>43180</v>
      </c>
      <c r="AE1152" s="203">
        <v>0</v>
      </c>
      <c r="AF1152" s="167" t="s">
        <v>3469</v>
      </c>
    </row>
    <row r="1153" spans="16:32" x14ac:dyDescent="0.25">
      <c r="P1153" s="167" t="s">
        <v>739</v>
      </c>
      <c r="Q1153" s="167">
        <v>353</v>
      </c>
      <c r="R1153" s="167" t="s">
        <v>3407</v>
      </c>
      <c r="S1153" s="167" t="s">
        <v>2702</v>
      </c>
      <c r="T1153" s="167">
        <v>40</v>
      </c>
      <c r="U1153" s="167" t="s">
        <v>2703</v>
      </c>
      <c r="V1153" s="167" t="s">
        <v>3409</v>
      </c>
      <c r="AB1153" s="167" t="s">
        <v>1924</v>
      </c>
      <c r="AC1153" s="167">
        <v>353</v>
      </c>
      <c r="AD1153" s="203">
        <v>43180</v>
      </c>
      <c r="AE1153" s="203">
        <v>0</v>
      </c>
      <c r="AF1153" s="167" t="s">
        <v>3469</v>
      </c>
    </row>
    <row r="1154" spans="16:32" x14ac:dyDescent="0.25">
      <c r="P1154" s="167" t="s">
        <v>739</v>
      </c>
      <c r="Q1154" s="167">
        <v>353</v>
      </c>
      <c r="R1154" s="167" t="s">
        <v>3407</v>
      </c>
      <c r="S1154" s="167" t="s">
        <v>2702</v>
      </c>
      <c r="T1154" s="167">
        <v>10</v>
      </c>
      <c r="U1154" s="167" t="s">
        <v>2703</v>
      </c>
      <c r="V1154" s="167" t="s">
        <v>3409</v>
      </c>
      <c r="AB1154" s="167" t="s">
        <v>1926</v>
      </c>
      <c r="AC1154" s="167">
        <v>323</v>
      </c>
      <c r="AD1154" s="203">
        <v>43074</v>
      </c>
      <c r="AE1154" s="203">
        <v>43111</v>
      </c>
      <c r="AF1154" s="167" t="s">
        <v>3470</v>
      </c>
    </row>
    <row r="1155" spans="16:32" x14ac:dyDescent="0.25">
      <c r="P1155" s="167" t="s">
        <v>739</v>
      </c>
      <c r="Q1155" s="167">
        <v>353</v>
      </c>
      <c r="R1155" s="167" t="s">
        <v>3407</v>
      </c>
      <c r="S1155" s="167" t="s">
        <v>2702</v>
      </c>
      <c r="T1155" s="167">
        <v>10</v>
      </c>
      <c r="U1155" s="167" t="s">
        <v>2703</v>
      </c>
      <c r="V1155" s="167" t="s">
        <v>3409</v>
      </c>
      <c r="AB1155" s="167" t="s">
        <v>1926</v>
      </c>
      <c r="AC1155" s="167">
        <v>327</v>
      </c>
      <c r="AD1155" s="203">
        <v>43074</v>
      </c>
      <c r="AE1155" s="203">
        <v>43131</v>
      </c>
      <c r="AF1155" s="167" t="s">
        <v>3470</v>
      </c>
    </row>
    <row r="1156" spans="16:32" x14ac:dyDescent="0.25">
      <c r="P1156" s="167" t="s">
        <v>739</v>
      </c>
      <c r="Q1156" s="167">
        <v>353</v>
      </c>
      <c r="R1156" s="167" t="s">
        <v>3407</v>
      </c>
      <c r="S1156" s="167" t="s">
        <v>2704</v>
      </c>
      <c r="T1156" s="167">
        <v>2</v>
      </c>
      <c r="U1156" s="167" t="s">
        <v>2705</v>
      </c>
      <c r="V1156" s="167" t="s">
        <v>3409</v>
      </c>
      <c r="AB1156" s="167" t="s">
        <v>1926</v>
      </c>
      <c r="AC1156" s="167">
        <v>347</v>
      </c>
      <c r="AD1156" s="203">
        <v>43118</v>
      </c>
      <c r="AE1156" s="203">
        <v>43133</v>
      </c>
      <c r="AF1156" s="167" t="s">
        <v>3470</v>
      </c>
    </row>
    <row r="1157" spans="16:32" x14ac:dyDescent="0.25">
      <c r="P1157" s="167" t="s">
        <v>739</v>
      </c>
      <c r="Q1157" s="167">
        <v>353</v>
      </c>
      <c r="R1157" s="167" t="s">
        <v>3407</v>
      </c>
      <c r="S1157" s="167" t="s">
        <v>2706</v>
      </c>
      <c r="T1157" s="167">
        <v>3</v>
      </c>
      <c r="U1157" s="167" t="s">
        <v>2707</v>
      </c>
      <c r="V1157" s="167" t="s">
        <v>3409</v>
      </c>
      <c r="AB1157" s="167" t="s">
        <v>1926</v>
      </c>
      <c r="AC1157" s="167">
        <v>335</v>
      </c>
      <c r="AD1157" s="203">
        <v>43133</v>
      </c>
      <c r="AE1157" s="203">
        <v>43147</v>
      </c>
      <c r="AF1157" s="167" t="s">
        <v>3470</v>
      </c>
    </row>
    <row r="1158" spans="16:32" x14ac:dyDescent="0.25">
      <c r="P1158" s="167" t="s">
        <v>739</v>
      </c>
      <c r="Q1158" s="167">
        <v>353</v>
      </c>
      <c r="R1158" s="167" t="s">
        <v>3407</v>
      </c>
      <c r="S1158" s="167" t="s">
        <v>2706</v>
      </c>
      <c r="T1158" s="167">
        <v>10</v>
      </c>
      <c r="U1158" s="167" t="s">
        <v>2707</v>
      </c>
      <c r="V1158" s="167" t="s">
        <v>3409</v>
      </c>
      <c r="AB1158" s="167" t="s">
        <v>1926</v>
      </c>
      <c r="AC1158" s="167">
        <v>340</v>
      </c>
      <c r="AD1158" s="203">
        <v>43133</v>
      </c>
      <c r="AE1158" s="203">
        <v>43168</v>
      </c>
      <c r="AF1158" s="167" t="s">
        <v>3470</v>
      </c>
    </row>
    <row r="1159" spans="16:32" x14ac:dyDescent="0.25">
      <c r="P1159" s="167" t="s">
        <v>739</v>
      </c>
      <c r="Q1159" s="167">
        <v>353</v>
      </c>
      <c r="R1159" s="167" t="s">
        <v>3407</v>
      </c>
      <c r="S1159" s="167" t="s">
        <v>1087</v>
      </c>
      <c r="T1159" s="167">
        <v>10</v>
      </c>
      <c r="U1159" s="167" t="s">
        <v>2709</v>
      </c>
      <c r="V1159" s="167" t="s">
        <v>3409</v>
      </c>
      <c r="AB1159" s="167" t="s">
        <v>1926</v>
      </c>
      <c r="AC1159" s="167">
        <v>353</v>
      </c>
      <c r="AD1159" s="203">
        <v>43180</v>
      </c>
      <c r="AE1159" s="203">
        <v>0</v>
      </c>
      <c r="AF1159" s="167" t="s">
        <v>3469</v>
      </c>
    </row>
    <row r="1160" spans="16:32" x14ac:dyDescent="0.25">
      <c r="P1160" s="167" t="s">
        <v>739</v>
      </c>
      <c r="Q1160" s="167">
        <v>353</v>
      </c>
      <c r="R1160" s="167" t="s">
        <v>3407</v>
      </c>
      <c r="S1160" s="167" t="s">
        <v>1087</v>
      </c>
      <c r="T1160" s="167">
        <v>4</v>
      </c>
      <c r="U1160" s="167" t="s">
        <v>2709</v>
      </c>
      <c r="V1160" s="167" t="s">
        <v>3409</v>
      </c>
      <c r="AB1160" s="167" t="s">
        <v>1926</v>
      </c>
      <c r="AC1160" s="167">
        <v>353</v>
      </c>
      <c r="AD1160" s="203">
        <v>43180</v>
      </c>
      <c r="AE1160" s="203">
        <v>0</v>
      </c>
      <c r="AF1160" s="167" t="s">
        <v>3469</v>
      </c>
    </row>
    <row r="1161" spans="16:32" x14ac:dyDescent="0.25">
      <c r="P1161" s="167" t="s">
        <v>739</v>
      </c>
      <c r="Q1161" s="167">
        <v>353</v>
      </c>
      <c r="R1161" s="167" t="s">
        <v>3407</v>
      </c>
      <c r="S1161" s="167" t="s">
        <v>1088</v>
      </c>
      <c r="T1161" s="167">
        <v>1</v>
      </c>
      <c r="U1161" s="167" t="s">
        <v>2710</v>
      </c>
      <c r="V1161" s="167" t="s">
        <v>3409</v>
      </c>
      <c r="AB1161" s="167" t="s">
        <v>1926</v>
      </c>
      <c r="AC1161" s="167">
        <v>353</v>
      </c>
      <c r="AD1161" s="203">
        <v>43180</v>
      </c>
      <c r="AE1161" s="203">
        <v>0</v>
      </c>
      <c r="AF1161" s="167" t="s">
        <v>3469</v>
      </c>
    </row>
    <row r="1162" spans="16:32" x14ac:dyDescent="0.25">
      <c r="P1162" s="167" t="s">
        <v>739</v>
      </c>
      <c r="Q1162" s="167">
        <v>353</v>
      </c>
      <c r="R1162" s="167" t="s">
        <v>3407</v>
      </c>
      <c r="S1162" s="167" t="s">
        <v>1088</v>
      </c>
      <c r="T1162" s="167">
        <v>10</v>
      </c>
      <c r="U1162" s="167" t="s">
        <v>2710</v>
      </c>
      <c r="V1162" s="167" t="s">
        <v>3409</v>
      </c>
      <c r="AB1162" s="167" t="s">
        <v>1928</v>
      </c>
      <c r="AC1162" s="167">
        <v>353</v>
      </c>
      <c r="AD1162" s="203">
        <v>43180</v>
      </c>
      <c r="AE1162" s="203">
        <v>0</v>
      </c>
      <c r="AF1162" s="167" t="s">
        <v>3469</v>
      </c>
    </row>
    <row r="1163" spans="16:32" x14ac:dyDescent="0.25">
      <c r="P1163" s="167" t="s">
        <v>739</v>
      </c>
      <c r="Q1163" s="167">
        <v>353</v>
      </c>
      <c r="R1163" s="167" t="s">
        <v>3407</v>
      </c>
      <c r="S1163" s="167" t="s">
        <v>1088</v>
      </c>
      <c r="T1163" s="167">
        <v>44</v>
      </c>
      <c r="U1163" s="167" t="s">
        <v>2710</v>
      </c>
      <c r="V1163" s="167" t="s">
        <v>3409</v>
      </c>
      <c r="AB1163" s="167" t="s">
        <v>1928</v>
      </c>
      <c r="AC1163" s="167">
        <v>353</v>
      </c>
      <c r="AD1163" s="203">
        <v>43180</v>
      </c>
      <c r="AE1163" s="203">
        <v>0</v>
      </c>
      <c r="AF1163" s="167" t="s">
        <v>3469</v>
      </c>
    </row>
    <row r="1164" spans="16:32" x14ac:dyDescent="0.25">
      <c r="P1164" s="167" t="s">
        <v>739</v>
      </c>
      <c r="Q1164" s="167">
        <v>353</v>
      </c>
      <c r="R1164" s="167" t="s">
        <v>3407</v>
      </c>
      <c r="S1164" s="167" t="s">
        <v>3367</v>
      </c>
      <c r="T1164" s="167">
        <v>7</v>
      </c>
      <c r="U1164" s="167" t="s">
        <v>3432</v>
      </c>
      <c r="V1164" s="167" t="s">
        <v>3409</v>
      </c>
      <c r="AB1164" s="167" t="s">
        <v>3455</v>
      </c>
      <c r="AC1164" s="167">
        <v>364</v>
      </c>
      <c r="AD1164" s="203">
        <v>43168</v>
      </c>
      <c r="AE1164" s="203">
        <v>43179</v>
      </c>
      <c r="AF1164" s="167" t="s">
        <v>3470</v>
      </c>
    </row>
    <row r="1165" spans="16:32" x14ac:dyDescent="0.25">
      <c r="P1165" s="167" t="s">
        <v>739</v>
      </c>
      <c r="Q1165" s="167">
        <v>353</v>
      </c>
      <c r="R1165" s="167" t="s">
        <v>3407</v>
      </c>
      <c r="S1165" s="167" t="s">
        <v>2711</v>
      </c>
      <c r="T1165" s="167">
        <v>20</v>
      </c>
      <c r="U1165" s="167" t="s">
        <v>2712</v>
      </c>
      <c r="V1165" s="167" t="s">
        <v>3409</v>
      </c>
      <c r="AB1165" s="167" t="s">
        <v>3455</v>
      </c>
      <c r="AC1165" s="167">
        <v>374</v>
      </c>
      <c r="AD1165" s="203">
        <v>43195</v>
      </c>
      <c r="AE1165" s="203">
        <v>0</v>
      </c>
      <c r="AF1165" s="167" t="s">
        <v>3469</v>
      </c>
    </row>
    <row r="1166" spans="16:32" x14ac:dyDescent="0.25">
      <c r="P1166" s="167" t="s">
        <v>739</v>
      </c>
      <c r="Q1166" s="167">
        <v>353</v>
      </c>
      <c r="R1166" s="167" t="s">
        <v>3407</v>
      </c>
      <c r="S1166" s="167" t="s">
        <v>1089</v>
      </c>
      <c r="T1166" s="167">
        <v>24</v>
      </c>
      <c r="U1166" s="167" t="s">
        <v>2713</v>
      </c>
      <c r="V1166" s="167" t="s">
        <v>3409</v>
      </c>
      <c r="AB1166" s="167" t="s">
        <v>3478</v>
      </c>
      <c r="AC1166" s="167">
        <v>323</v>
      </c>
      <c r="AD1166" s="203">
        <v>43074</v>
      </c>
      <c r="AE1166" s="203">
        <v>43111</v>
      </c>
      <c r="AF1166" s="167" t="s">
        <v>3470</v>
      </c>
    </row>
    <row r="1167" spans="16:32" x14ac:dyDescent="0.25">
      <c r="P1167" s="167" t="s">
        <v>739</v>
      </c>
      <c r="Q1167" s="167">
        <v>353</v>
      </c>
      <c r="R1167" s="167" t="s">
        <v>3407</v>
      </c>
      <c r="S1167" s="167" t="s">
        <v>2714</v>
      </c>
      <c r="T1167" s="167">
        <v>11</v>
      </c>
      <c r="U1167" s="167" t="s">
        <v>2715</v>
      </c>
      <c r="V1167" s="167" t="s">
        <v>3409</v>
      </c>
      <c r="AB1167" s="167" t="s">
        <v>1929</v>
      </c>
      <c r="AC1167" s="167">
        <v>347</v>
      </c>
      <c r="AD1167" s="203">
        <v>43118</v>
      </c>
      <c r="AE1167" s="203">
        <v>43133</v>
      </c>
      <c r="AF1167" s="167" t="s">
        <v>3470</v>
      </c>
    </row>
    <row r="1168" spans="16:32" x14ac:dyDescent="0.25">
      <c r="P1168" s="167" t="s">
        <v>739</v>
      </c>
      <c r="Q1168" s="167">
        <v>353</v>
      </c>
      <c r="R1168" s="167" t="s">
        <v>3407</v>
      </c>
      <c r="S1168" s="167" t="s">
        <v>2714</v>
      </c>
      <c r="T1168" s="167">
        <v>43</v>
      </c>
      <c r="U1168" s="167" t="s">
        <v>2715</v>
      </c>
      <c r="V1168" s="167" t="s">
        <v>3409</v>
      </c>
      <c r="AB1168" s="167" t="s">
        <v>1929</v>
      </c>
      <c r="AC1168" s="167">
        <v>340</v>
      </c>
      <c r="AD1168" s="203">
        <v>43133</v>
      </c>
      <c r="AE1168" s="203">
        <v>43168</v>
      </c>
      <c r="AF1168" s="167" t="s">
        <v>3470</v>
      </c>
    </row>
    <row r="1169" spans="16:32" x14ac:dyDescent="0.25">
      <c r="P1169" s="167" t="s">
        <v>739</v>
      </c>
      <c r="Q1169" s="167">
        <v>353</v>
      </c>
      <c r="R1169" s="167" t="s">
        <v>3407</v>
      </c>
      <c r="S1169" s="167" t="s">
        <v>2714</v>
      </c>
      <c r="T1169" s="167">
        <v>13</v>
      </c>
      <c r="U1169" s="167" t="s">
        <v>2715</v>
      </c>
      <c r="V1169" s="167" t="s">
        <v>3409</v>
      </c>
      <c r="AB1169" s="167" t="s">
        <v>1929</v>
      </c>
      <c r="AC1169" s="167">
        <v>340</v>
      </c>
      <c r="AD1169" s="203">
        <v>43133</v>
      </c>
      <c r="AE1169" s="203">
        <v>43168</v>
      </c>
      <c r="AF1169" s="167" t="s">
        <v>3470</v>
      </c>
    </row>
    <row r="1170" spans="16:32" x14ac:dyDescent="0.25">
      <c r="P1170" s="167" t="s">
        <v>739</v>
      </c>
      <c r="Q1170" s="167">
        <v>353</v>
      </c>
      <c r="R1170" s="167" t="s">
        <v>3407</v>
      </c>
      <c r="S1170" s="167" t="s">
        <v>2714</v>
      </c>
      <c r="T1170" s="167">
        <v>20</v>
      </c>
      <c r="U1170" s="167" t="s">
        <v>2715</v>
      </c>
      <c r="V1170" s="167" t="s">
        <v>3409</v>
      </c>
      <c r="AB1170" s="167" t="s">
        <v>1931</v>
      </c>
      <c r="AC1170" s="167">
        <v>323</v>
      </c>
      <c r="AD1170" s="203">
        <v>43074</v>
      </c>
      <c r="AE1170" s="203">
        <v>43111</v>
      </c>
      <c r="AF1170" s="167" t="s">
        <v>3470</v>
      </c>
    </row>
    <row r="1171" spans="16:32" x14ac:dyDescent="0.25">
      <c r="P1171" s="167" t="s">
        <v>739</v>
      </c>
      <c r="Q1171" s="167">
        <v>353</v>
      </c>
      <c r="R1171" s="167" t="s">
        <v>3407</v>
      </c>
      <c r="S1171" s="167" t="s">
        <v>3368</v>
      </c>
      <c r="T1171" s="167">
        <v>2</v>
      </c>
      <c r="U1171" s="167" t="s">
        <v>3433</v>
      </c>
      <c r="V1171" s="167" t="s">
        <v>3409</v>
      </c>
      <c r="AB1171" s="167" t="s">
        <v>1931</v>
      </c>
      <c r="AC1171" s="167">
        <v>327</v>
      </c>
      <c r="AD1171" s="203">
        <v>43074</v>
      </c>
      <c r="AE1171" s="203">
        <v>43131</v>
      </c>
      <c r="AF1171" s="167" t="s">
        <v>3470</v>
      </c>
    </row>
    <row r="1172" spans="16:32" x14ac:dyDescent="0.25">
      <c r="P1172" s="167" t="s">
        <v>739</v>
      </c>
      <c r="Q1172" s="167">
        <v>353</v>
      </c>
      <c r="R1172" s="167" t="s">
        <v>3407</v>
      </c>
      <c r="S1172" s="167" t="s">
        <v>2718</v>
      </c>
      <c r="T1172" s="167">
        <v>2</v>
      </c>
      <c r="U1172" s="167" t="s">
        <v>2719</v>
      </c>
      <c r="V1172" s="167" t="s">
        <v>3409</v>
      </c>
      <c r="AB1172" s="167" t="s">
        <v>1931</v>
      </c>
      <c r="AC1172" s="167">
        <v>347</v>
      </c>
      <c r="AD1172" s="203">
        <v>43118</v>
      </c>
      <c r="AE1172" s="203">
        <v>43133</v>
      </c>
      <c r="AF1172" s="167" t="s">
        <v>3470</v>
      </c>
    </row>
    <row r="1173" spans="16:32" x14ac:dyDescent="0.25">
      <c r="P1173" s="167" t="s">
        <v>739</v>
      </c>
      <c r="Q1173" s="167">
        <v>353</v>
      </c>
      <c r="R1173" s="167" t="s">
        <v>3407</v>
      </c>
      <c r="S1173" s="167" t="s">
        <v>2718</v>
      </c>
      <c r="T1173" s="167">
        <v>3</v>
      </c>
      <c r="U1173" s="167" t="s">
        <v>2719</v>
      </c>
      <c r="V1173" s="167" t="s">
        <v>3409</v>
      </c>
      <c r="AB1173" s="167" t="s">
        <v>1931</v>
      </c>
      <c r="AC1173" s="167">
        <v>340</v>
      </c>
      <c r="AD1173" s="203">
        <v>43133</v>
      </c>
      <c r="AE1173" s="203">
        <v>43168</v>
      </c>
      <c r="AF1173" s="167" t="s">
        <v>3470</v>
      </c>
    </row>
    <row r="1174" spans="16:32" x14ac:dyDescent="0.25">
      <c r="P1174" s="167" t="s">
        <v>739</v>
      </c>
      <c r="Q1174" s="167">
        <v>353</v>
      </c>
      <c r="R1174" s="167" t="s">
        <v>3407</v>
      </c>
      <c r="S1174" s="167" t="s">
        <v>2720</v>
      </c>
      <c r="T1174" s="167">
        <v>2</v>
      </c>
      <c r="U1174" s="167" t="s">
        <v>2721</v>
      </c>
      <c r="V1174" s="167" t="s">
        <v>3409</v>
      </c>
      <c r="AB1174" s="167" t="s">
        <v>1931</v>
      </c>
      <c r="AC1174" s="167">
        <v>357</v>
      </c>
      <c r="AD1174" s="203">
        <v>43139</v>
      </c>
      <c r="AE1174" s="203">
        <v>43164</v>
      </c>
      <c r="AF1174" s="167" t="s">
        <v>3470</v>
      </c>
    </row>
    <row r="1175" spans="16:32" x14ac:dyDescent="0.25">
      <c r="P1175" s="167" t="s">
        <v>739</v>
      </c>
      <c r="Q1175" s="167">
        <v>353</v>
      </c>
      <c r="R1175" s="167" t="s">
        <v>3407</v>
      </c>
      <c r="S1175" s="167" t="s">
        <v>2720</v>
      </c>
      <c r="T1175" s="167">
        <v>3</v>
      </c>
      <c r="U1175" s="167" t="s">
        <v>2721</v>
      </c>
      <c r="V1175" s="167" t="s">
        <v>3409</v>
      </c>
      <c r="AB1175" s="167" t="s">
        <v>1931</v>
      </c>
      <c r="AC1175" s="167">
        <v>364</v>
      </c>
      <c r="AD1175" s="203">
        <v>43168</v>
      </c>
      <c r="AE1175" s="203">
        <v>43179</v>
      </c>
      <c r="AF1175" s="167" t="s">
        <v>3470</v>
      </c>
    </row>
    <row r="1176" spans="16:32" x14ac:dyDescent="0.25">
      <c r="P1176" s="167" t="s">
        <v>739</v>
      </c>
      <c r="Q1176" s="167">
        <v>353</v>
      </c>
      <c r="R1176" s="167" t="s">
        <v>3407</v>
      </c>
      <c r="S1176" s="167" t="s">
        <v>2720</v>
      </c>
      <c r="T1176" s="167">
        <v>2</v>
      </c>
      <c r="U1176" s="167" t="s">
        <v>2721</v>
      </c>
      <c r="V1176" s="167" t="s">
        <v>3409</v>
      </c>
      <c r="AB1176" s="167" t="s">
        <v>1931</v>
      </c>
      <c r="AC1176" s="167">
        <v>353</v>
      </c>
      <c r="AD1176" s="203">
        <v>43180</v>
      </c>
      <c r="AE1176" s="203">
        <v>0</v>
      </c>
      <c r="AF1176" s="167" t="s">
        <v>3469</v>
      </c>
    </row>
    <row r="1177" spans="16:32" x14ac:dyDescent="0.25">
      <c r="P1177" s="167" t="s">
        <v>739</v>
      </c>
      <c r="Q1177" s="167">
        <v>353</v>
      </c>
      <c r="R1177" s="167" t="s">
        <v>3407</v>
      </c>
      <c r="S1177" s="167" t="s">
        <v>2720</v>
      </c>
      <c r="T1177" s="167">
        <v>15</v>
      </c>
      <c r="U1177" s="167" t="s">
        <v>2721</v>
      </c>
      <c r="V1177" s="167" t="s">
        <v>3409</v>
      </c>
      <c r="AB1177" s="167" t="s">
        <v>1931</v>
      </c>
      <c r="AC1177" s="167">
        <v>353</v>
      </c>
      <c r="AD1177" s="203">
        <v>43180</v>
      </c>
      <c r="AE1177" s="203">
        <v>0</v>
      </c>
      <c r="AF1177" s="167" t="s">
        <v>3469</v>
      </c>
    </row>
    <row r="1178" spans="16:32" x14ac:dyDescent="0.25">
      <c r="P1178" s="167" t="s">
        <v>739</v>
      </c>
      <c r="Q1178" s="167">
        <v>353</v>
      </c>
      <c r="R1178" s="167" t="s">
        <v>3407</v>
      </c>
      <c r="S1178" s="167" t="s">
        <v>2720</v>
      </c>
      <c r="T1178" s="167">
        <v>5</v>
      </c>
      <c r="U1178" s="167" t="s">
        <v>2721</v>
      </c>
      <c r="V1178" s="167" t="s">
        <v>3409</v>
      </c>
      <c r="AB1178" s="167" t="s">
        <v>1931</v>
      </c>
      <c r="AC1178" s="167">
        <v>353</v>
      </c>
      <c r="AD1178" s="203">
        <v>43180</v>
      </c>
      <c r="AE1178" s="203">
        <v>0</v>
      </c>
      <c r="AF1178" s="167" t="s">
        <v>3469</v>
      </c>
    </row>
    <row r="1179" spans="16:32" x14ac:dyDescent="0.25">
      <c r="P1179" s="167" t="s">
        <v>739</v>
      </c>
      <c r="Q1179" s="167">
        <v>353</v>
      </c>
      <c r="R1179" s="167" t="s">
        <v>3407</v>
      </c>
      <c r="S1179" s="167" t="s">
        <v>2722</v>
      </c>
      <c r="T1179" s="167">
        <v>8</v>
      </c>
      <c r="U1179" s="167" t="s">
        <v>2723</v>
      </c>
      <c r="V1179" s="167" t="s">
        <v>3409</v>
      </c>
      <c r="AB1179" s="167" t="s">
        <v>1931</v>
      </c>
      <c r="AC1179" s="167">
        <v>353</v>
      </c>
      <c r="AD1179" s="203">
        <v>43180</v>
      </c>
      <c r="AE1179" s="203">
        <v>0</v>
      </c>
      <c r="AF1179" s="167" t="s">
        <v>3469</v>
      </c>
    </row>
    <row r="1180" spans="16:32" x14ac:dyDescent="0.25">
      <c r="P1180" s="167" t="s">
        <v>739</v>
      </c>
      <c r="Q1180" s="167">
        <v>353</v>
      </c>
      <c r="R1180" s="167" t="s">
        <v>3407</v>
      </c>
      <c r="S1180" s="167" t="s">
        <v>2722</v>
      </c>
      <c r="T1180" s="167">
        <v>4</v>
      </c>
      <c r="U1180" s="167" t="s">
        <v>2723</v>
      </c>
      <c r="V1180" s="167" t="s">
        <v>3409</v>
      </c>
      <c r="AB1180" s="167" t="s">
        <v>1931</v>
      </c>
      <c r="AC1180" s="167">
        <v>353</v>
      </c>
      <c r="AD1180" s="203">
        <v>43180</v>
      </c>
      <c r="AE1180" s="203">
        <v>0</v>
      </c>
      <c r="AF1180" s="167" t="s">
        <v>3469</v>
      </c>
    </row>
    <row r="1181" spans="16:32" x14ac:dyDescent="0.25">
      <c r="P1181" s="167" t="s">
        <v>739</v>
      </c>
      <c r="Q1181" s="167">
        <v>353</v>
      </c>
      <c r="R1181" s="167" t="s">
        <v>3407</v>
      </c>
      <c r="S1181" s="167" t="s">
        <v>2726</v>
      </c>
      <c r="T1181" s="167">
        <v>36</v>
      </c>
      <c r="U1181" s="167" t="s">
        <v>2727</v>
      </c>
      <c r="V1181" s="167" t="s">
        <v>3409</v>
      </c>
      <c r="AB1181" s="167" t="s">
        <v>1932</v>
      </c>
      <c r="AC1181" s="167">
        <v>323</v>
      </c>
      <c r="AD1181" s="203">
        <v>43074</v>
      </c>
      <c r="AE1181" s="203">
        <v>43111</v>
      </c>
      <c r="AF1181" s="167" t="s">
        <v>3470</v>
      </c>
    </row>
    <row r="1182" spans="16:32" x14ac:dyDescent="0.25">
      <c r="P1182" s="167" t="s">
        <v>739</v>
      </c>
      <c r="Q1182" s="167">
        <v>353</v>
      </c>
      <c r="R1182" s="167" t="s">
        <v>3407</v>
      </c>
      <c r="S1182" s="167" t="s">
        <v>2726</v>
      </c>
      <c r="T1182" s="167">
        <v>5</v>
      </c>
      <c r="U1182" s="167" t="s">
        <v>2727</v>
      </c>
      <c r="V1182" s="167" t="s">
        <v>3409</v>
      </c>
      <c r="AB1182" s="167" t="s">
        <v>1932</v>
      </c>
      <c r="AC1182" s="167">
        <v>327</v>
      </c>
      <c r="AD1182" s="203">
        <v>43074</v>
      </c>
      <c r="AE1182" s="203">
        <v>43131</v>
      </c>
      <c r="AF1182" s="167" t="s">
        <v>3470</v>
      </c>
    </row>
    <row r="1183" spans="16:32" x14ac:dyDescent="0.25">
      <c r="P1183" s="167" t="s">
        <v>739</v>
      </c>
      <c r="Q1183" s="167">
        <v>353</v>
      </c>
      <c r="R1183" s="167" t="s">
        <v>3407</v>
      </c>
      <c r="S1183" s="167" t="s">
        <v>2729</v>
      </c>
      <c r="T1183" s="167">
        <v>2</v>
      </c>
      <c r="U1183" s="167" t="s">
        <v>2730</v>
      </c>
      <c r="V1183" s="167" t="s">
        <v>3409</v>
      </c>
      <c r="AB1183" s="167" t="s">
        <v>1932</v>
      </c>
      <c r="AC1183" s="167">
        <v>347</v>
      </c>
      <c r="AD1183" s="203">
        <v>43118</v>
      </c>
      <c r="AE1183" s="203">
        <v>43133</v>
      </c>
      <c r="AF1183" s="167" t="s">
        <v>3470</v>
      </c>
    </row>
    <row r="1184" spans="16:32" x14ac:dyDescent="0.25">
      <c r="P1184" s="167" t="s">
        <v>739</v>
      </c>
      <c r="Q1184" s="167">
        <v>353</v>
      </c>
      <c r="R1184" s="167" t="s">
        <v>3407</v>
      </c>
      <c r="S1184" s="167" t="s">
        <v>2729</v>
      </c>
      <c r="T1184" s="167">
        <v>2</v>
      </c>
      <c r="U1184" s="167" t="s">
        <v>2730</v>
      </c>
      <c r="V1184" s="167" t="s">
        <v>3409</v>
      </c>
      <c r="AB1184" s="167" t="s">
        <v>1932</v>
      </c>
      <c r="AC1184" s="167">
        <v>340</v>
      </c>
      <c r="AD1184" s="203">
        <v>43133</v>
      </c>
      <c r="AE1184" s="203">
        <v>43168</v>
      </c>
      <c r="AF1184" s="167" t="s">
        <v>3470</v>
      </c>
    </row>
    <row r="1185" spans="16:32" x14ac:dyDescent="0.25">
      <c r="P1185" s="167" t="s">
        <v>739</v>
      </c>
      <c r="Q1185" s="167">
        <v>353</v>
      </c>
      <c r="R1185" s="167" t="s">
        <v>3407</v>
      </c>
      <c r="S1185" s="167" t="s">
        <v>1090</v>
      </c>
      <c r="T1185" s="167">
        <v>2</v>
      </c>
      <c r="U1185" s="167" t="s">
        <v>2752</v>
      </c>
      <c r="V1185" s="167" t="s">
        <v>3409</v>
      </c>
      <c r="AB1185" s="167" t="s">
        <v>1932</v>
      </c>
      <c r="AC1185" s="167">
        <v>374</v>
      </c>
      <c r="AD1185" s="203">
        <v>43195</v>
      </c>
      <c r="AE1185" s="203">
        <v>0</v>
      </c>
      <c r="AF1185" s="167" t="s">
        <v>3469</v>
      </c>
    </row>
    <row r="1186" spans="16:32" x14ac:dyDescent="0.25">
      <c r="P1186" s="167" t="s">
        <v>739</v>
      </c>
      <c r="Q1186" s="167">
        <v>353</v>
      </c>
      <c r="R1186" s="167" t="s">
        <v>3407</v>
      </c>
      <c r="S1186" s="167" t="s">
        <v>1090</v>
      </c>
      <c r="T1186" s="167">
        <v>40</v>
      </c>
      <c r="U1186" s="167" t="s">
        <v>2752</v>
      </c>
      <c r="V1186" s="167" t="s">
        <v>3409</v>
      </c>
      <c r="AB1186" s="167" t="s">
        <v>1933</v>
      </c>
      <c r="AC1186" s="167">
        <v>357</v>
      </c>
      <c r="AD1186" s="203">
        <v>43139</v>
      </c>
      <c r="AE1186" s="203">
        <v>43164</v>
      </c>
      <c r="AF1186" s="167" t="s">
        <v>3470</v>
      </c>
    </row>
    <row r="1187" spans="16:32" x14ac:dyDescent="0.25">
      <c r="P1187" s="167" t="s">
        <v>739</v>
      </c>
      <c r="Q1187" s="167">
        <v>353</v>
      </c>
      <c r="R1187" s="167" t="s">
        <v>3407</v>
      </c>
      <c r="S1187" s="167" t="s">
        <v>2756</v>
      </c>
      <c r="T1187" s="167">
        <v>4</v>
      </c>
      <c r="U1187" s="167" t="s">
        <v>2757</v>
      </c>
      <c r="V1187" s="167" t="s">
        <v>3409</v>
      </c>
      <c r="AB1187" s="167" t="s">
        <v>1933</v>
      </c>
      <c r="AC1187" s="167">
        <v>353</v>
      </c>
      <c r="AD1187" s="203">
        <v>43180</v>
      </c>
      <c r="AE1187" s="203">
        <v>0</v>
      </c>
      <c r="AF1187" s="167" t="s">
        <v>3469</v>
      </c>
    </row>
    <row r="1188" spans="16:32" x14ac:dyDescent="0.25">
      <c r="P1188" s="167" t="s">
        <v>739</v>
      </c>
      <c r="Q1188" s="167">
        <v>353</v>
      </c>
      <c r="R1188" s="167" t="s">
        <v>3407</v>
      </c>
      <c r="S1188" s="167" t="s">
        <v>2758</v>
      </c>
      <c r="T1188" s="167">
        <v>56</v>
      </c>
      <c r="U1188" s="167" t="s">
        <v>2759</v>
      </c>
      <c r="V1188" s="167" t="s">
        <v>3409</v>
      </c>
      <c r="AB1188" s="167" t="s">
        <v>1933</v>
      </c>
      <c r="AC1188" s="167">
        <v>353</v>
      </c>
      <c r="AD1188" s="203">
        <v>43180</v>
      </c>
      <c r="AE1188" s="203">
        <v>0</v>
      </c>
      <c r="AF1188" s="167" t="s">
        <v>3469</v>
      </c>
    </row>
    <row r="1189" spans="16:32" x14ac:dyDescent="0.25">
      <c r="P1189" s="167" t="s">
        <v>739</v>
      </c>
      <c r="Q1189" s="167">
        <v>353</v>
      </c>
      <c r="R1189" s="167" t="s">
        <v>3407</v>
      </c>
      <c r="S1189" s="167" t="s">
        <v>2758</v>
      </c>
      <c r="T1189" s="167">
        <v>26</v>
      </c>
      <c r="U1189" s="167" t="s">
        <v>2759</v>
      </c>
      <c r="V1189" s="167" t="s">
        <v>3409</v>
      </c>
      <c r="AB1189" s="167" t="s">
        <v>1935</v>
      </c>
      <c r="AC1189" s="167">
        <v>323</v>
      </c>
      <c r="AD1189" s="203">
        <v>43074</v>
      </c>
      <c r="AE1189" s="203">
        <v>43111</v>
      </c>
      <c r="AF1189" s="167" t="s">
        <v>3470</v>
      </c>
    </row>
    <row r="1190" spans="16:32" x14ac:dyDescent="0.25">
      <c r="P1190" s="167" t="s">
        <v>739</v>
      </c>
      <c r="Q1190" s="167">
        <v>353</v>
      </c>
      <c r="R1190" s="167" t="s">
        <v>3407</v>
      </c>
      <c r="S1190" s="167" t="s">
        <v>3369</v>
      </c>
      <c r="T1190" s="167">
        <v>2</v>
      </c>
      <c r="U1190" s="167" t="s">
        <v>3434</v>
      </c>
      <c r="V1190" s="167" t="s">
        <v>3409</v>
      </c>
      <c r="AB1190" s="167" t="s">
        <v>1935</v>
      </c>
      <c r="AC1190" s="167">
        <v>327</v>
      </c>
      <c r="AD1190" s="203">
        <v>43074</v>
      </c>
      <c r="AE1190" s="203">
        <v>43131</v>
      </c>
      <c r="AF1190" s="167" t="s">
        <v>3470</v>
      </c>
    </row>
    <row r="1191" spans="16:32" x14ac:dyDescent="0.25">
      <c r="P1191" s="167" t="s">
        <v>739</v>
      </c>
      <c r="Q1191" s="167">
        <v>353</v>
      </c>
      <c r="R1191" s="167" t="s">
        <v>3407</v>
      </c>
      <c r="S1191" s="167" t="s">
        <v>2761</v>
      </c>
      <c r="T1191" s="167">
        <v>2</v>
      </c>
      <c r="U1191" s="167" t="s">
        <v>2762</v>
      </c>
      <c r="V1191" s="167" t="s">
        <v>3409</v>
      </c>
      <c r="AB1191" s="167" t="s">
        <v>1935</v>
      </c>
      <c r="AC1191" s="167">
        <v>340</v>
      </c>
      <c r="AD1191" s="203">
        <v>43133</v>
      </c>
      <c r="AE1191" s="203">
        <v>43168</v>
      </c>
      <c r="AF1191" s="167" t="s">
        <v>3470</v>
      </c>
    </row>
    <row r="1192" spans="16:32" x14ac:dyDescent="0.25">
      <c r="P1192" s="167" t="s">
        <v>739</v>
      </c>
      <c r="Q1192" s="167">
        <v>353</v>
      </c>
      <c r="R1192" s="167" t="s">
        <v>3407</v>
      </c>
      <c r="S1192" s="167" t="s">
        <v>2767</v>
      </c>
      <c r="T1192" s="167">
        <v>16</v>
      </c>
      <c r="U1192" s="167" t="s">
        <v>2768</v>
      </c>
      <c r="V1192" s="167" t="s">
        <v>3409</v>
      </c>
      <c r="AB1192" s="167" t="s">
        <v>1935</v>
      </c>
      <c r="AC1192" s="167">
        <v>364</v>
      </c>
      <c r="AD1192" s="203">
        <v>43168</v>
      </c>
      <c r="AE1192" s="203">
        <v>43179</v>
      </c>
      <c r="AF1192" s="167" t="s">
        <v>3470</v>
      </c>
    </row>
    <row r="1193" spans="16:32" x14ac:dyDescent="0.25">
      <c r="P1193" s="167" t="s">
        <v>739</v>
      </c>
      <c r="Q1193" s="167">
        <v>353</v>
      </c>
      <c r="R1193" s="167" t="s">
        <v>3407</v>
      </c>
      <c r="S1193" s="167" t="s">
        <v>2770</v>
      </c>
      <c r="T1193" s="167">
        <v>8</v>
      </c>
      <c r="U1193" s="167" t="s">
        <v>2771</v>
      </c>
      <c r="V1193" s="167" t="s">
        <v>3409</v>
      </c>
      <c r="AB1193" s="167" t="s">
        <v>1935</v>
      </c>
      <c r="AC1193" s="167">
        <v>374</v>
      </c>
      <c r="AD1193" s="203">
        <v>43195</v>
      </c>
      <c r="AE1193" s="203">
        <v>0</v>
      </c>
      <c r="AF1193" s="167" t="s">
        <v>3469</v>
      </c>
    </row>
    <row r="1194" spans="16:32" x14ac:dyDescent="0.25">
      <c r="P1194" s="167" t="s">
        <v>739</v>
      </c>
      <c r="Q1194" s="167">
        <v>353</v>
      </c>
      <c r="R1194" s="167" t="s">
        <v>3407</v>
      </c>
      <c r="S1194" s="167" t="s">
        <v>2774</v>
      </c>
      <c r="T1194" s="167">
        <v>4</v>
      </c>
      <c r="U1194" s="167" t="s">
        <v>2775</v>
      </c>
      <c r="V1194" s="167" t="s">
        <v>3409</v>
      </c>
      <c r="AB1194" s="167" t="s">
        <v>1937</v>
      </c>
      <c r="AC1194" s="167">
        <v>347</v>
      </c>
      <c r="AD1194" s="203">
        <v>43118</v>
      </c>
      <c r="AE1194" s="203">
        <v>43133</v>
      </c>
      <c r="AF1194" s="167" t="s">
        <v>3470</v>
      </c>
    </row>
    <row r="1195" spans="16:32" x14ac:dyDescent="0.25">
      <c r="P1195" s="167" t="s">
        <v>739</v>
      </c>
      <c r="Q1195" s="167">
        <v>353</v>
      </c>
      <c r="R1195" s="167" t="s">
        <v>3407</v>
      </c>
      <c r="S1195" s="167" t="s">
        <v>2776</v>
      </c>
      <c r="T1195" s="167">
        <v>3</v>
      </c>
      <c r="U1195" s="167" t="s">
        <v>2777</v>
      </c>
      <c r="V1195" s="167" t="s">
        <v>3409</v>
      </c>
      <c r="AB1195" s="167" t="s">
        <v>1937</v>
      </c>
      <c r="AC1195" s="167">
        <v>340</v>
      </c>
      <c r="AD1195" s="203">
        <v>43133</v>
      </c>
      <c r="AE1195" s="203">
        <v>43168</v>
      </c>
      <c r="AF1195" s="167" t="s">
        <v>3470</v>
      </c>
    </row>
    <row r="1196" spans="16:32" x14ac:dyDescent="0.25">
      <c r="P1196" s="167" t="s">
        <v>739</v>
      </c>
      <c r="Q1196" s="167">
        <v>353</v>
      </c>
      <c r="R1196" s="167" t="s">
        <v>3407</v>
      </c>
      <c r="S1196" s="167" t="s">
        <v>2778</v>
      </c>
      <c r="T1196" s="167">
        <v>4</v>
      </c>
      <c r="U1196" s="167" t="s">
        <v>2779</v>
      </c>
      <c r="V1196" s="167" t="s">
        <v>3409</v>
      </c>
      <c r="AB1196" s="167" t="s">
        <v>1937</v>
      </c>
      <c r="AC1196" s="167">
        <v>357</v>
      </c>
      <c r="AD1196" s="203">
        <v>43139</v>
      </c>
      <c r="AE1196" s="203">
        <v>43164</v>
      </c>
      <c r="AF1196" s="167" t="s">
        <v>3470</v>
      </c>
    </row>
    <row r="1197" spans="16:32" x14ac:dyDescent="0.25">
      <c r="P1197" s="167" t="s">
        <v>739</v>
      </c>
      <c r="Q1197" s="167">
        <v>353</v>
      </c>
      <c r="R1197" s="167" t="s">
        <v>3407</v>
      </c>
      <c r="S1197" s="167" t="s">
        <v>2778</v>
      </c>
      <c r="T1197" s="167">
        <v>3</v>
      </c>
      <c r="U1197" s="167" t="s">
        <v>2779</v>
      </c>
      <c r="V1197" s="167" t="s">
        <v>3409</v>
      </c>
      <c r="AB1197" s="167" t="s">
        <v>1937</v>
      </c>
      <c r="AC1197" s="167">
        <v>364</v>
      </c>
      <c r="AD1197" s="203">
        <v>43168</v>
      </c>
      <c r="AE1197" s="203">
        <v>43179</v>
      </c>
      <c r="AF1197" s="167" t="s">
        <v>3470</v>
      </c>
    </row>
    <row r="1198" spans="16:32" x14ac:dyDescent="0.25">
      <c r="P1198" s="167" t="s">
        <v>739</v>
      </c>
      <c r="Q1198" s="167">
        <v>353</v>
      </c>
      <c r="R1198" s="167" t="s">
        <v>3407</v>
      </c>
      <c r="S1198" s="167" t="s">
        <v>2778</v>
      </c>
      <c r="T1198" s="167">
        <v>7</v>
      </c>
      <c r="U1198" s="167" t="s">
        <v>2779</v>
      </c>
      <c r="V1198" s="167" t="s">
        <v>3409</v>
      </c>
      <c r="AB1198" s="167" t="s">
        <v>1937</v>
      </c>
      <c r="AC1198" s="167">
        <v>353</v>
      </c>
      <c r="AD1198" s="203">
        <v>43180</v>
      </c>
      <c r="AE1198" s="203">
        <v>0</v>
      </c>
      <c r="AF1198" s="167" t="s">
        <v>3469</v>
      </c>
    </row>
    <row r="1199" spans="16:32" x14ac:dyDescent="0.25">
      <c r="P1199" s="167" t="s">
        <v>739</v>
      </c>
      <c r="Q1199" s="167">
        <v>353</v>
      </c>
      <c r="R1199" s="167" t="s">
        <v>3407</v>
      </c>
      <c r="S1199" s="167" t="s">
        <v>2781</v>
      </c>
      <c r="T1199" s="167">
        <v>4</v>
      </c>
      <c r="U1199" s="167" t="s">
        <v>2782</v>
      </c>
      <c r="V1199" s="167" t="s">
        <v>3409</v>
      </c>
      <c r="AB1199" s="167" t="s">
        <v>1937</v>
      </c>
      <c r="AC1199" s="167">
        <v>353</v>
      </c>
      <c r="AD1199" s="203">
        <v>43180</v>
      </c>
      <c r="AE1199" s="203">
        <v>0</v>
      </c>
      <c r="AF1199" s="167" t="s">
        <v>3469</v>
      </c>
    </row>
    <row r="1200" spans="16:32" x14ac:dyDescent="0.25">
      <c r="P1200" s="167" t="s">
        <v>739</v>
      </c>
      <c r="Q1200" s="167">
        <v>353</v>
      </c>
      <c r="R1200" s="167" t="s">
        <v>3407</v>
      </c>
      <c r="S1200" s="167" t="s">
        <v>2781</v>
      </c>
      <c r="T1200" s="167">
        <v>1</v>
      </c>
      <c r="U1200" s="167" t="s">
        <v>2782</v>
      </c>
      <c r="V1200" s="167" t="s">
        <v>3409</v>
      </c>
      <c r="AB1200" s="167" t="s">
        <v>1937</v>
      </c>
      <c r="AC1200" s="167">
        <v>353</v>
      </c>
      <c r="AD1200" s="203">
        <v>43180</v>
      </c>
      <c r="AE1200" s="203">
        <v>0</v>
      </c>
      <c r="AF1200" s="167" t="s">
        <v>3469</v>
      </c>
    </row>
    <row r="1201" spans="16:32" x14ac:dyDescent="0.25">
      <c r="P1201" s="167" t="s">
        <v>739</v>
      </c>
      <c r="Q1201" s="167">
        <v>353</v>
      </c>
      <c r="R1201" s="167" t="s">
        <v>3407</v>
      </c>
      <c r="S1201" s="167" t="s">
        <v>2783</v>
      </c>
      <c r="T1201" s="167">
        <v>10</v>
      </c>
      <c r="U1201" s="167" t="s">
        <v>2784</v>
      </c>
      <c r="V1201" s="167" t="s">
        <v>3409</v>
      </c>
      <c r="AB1201" s="167" t="s">
        <v>1939</v>
      </c>
      <c r="AC1201" s="167">
        <v>327</v>
      </c>
      <c r="AD1201" s="203">
        <v>43074</v>
      </c>
      <c r="AE1201" s="203">
        <v>43131</v>
      </c>
      <c r="AF1201" s="167" t="s">
        <v>3470</v>
      </c>
    </row>
    <row r="1202" spans="16:32" x14ac:dyDescent="0.25">
      <c r="P1202" s="167" t="s">
        <v>739</v>
      </c>
      <c r="Q1202" s="167">
        <v>353</v>
      </c>
      <c r="R1202" s="167" t="s">
        <v>3407</v>
      </c>
      <c r="S1202" s="167" t="s">
        <v>2785</v>
      </c>
      <c r="T1202" s="167">
        <v>2</v>
      </c>
      <c r="U1202" s="167" t="s">
        <v>2786</v>
      </c>
      <c r="V1202" s="167" t="s">
        <v>3409</v>
      </c>
      <c r="AB1202" s="167" t="s">
        <v>1939</v>
      </c>
      <c r="AC1202" s="167">
        <v>327</v>
      </c>
      <c r="AD1202" s="203">
        <v>43074</v>
      </c>
      <c r="AE1202" s="203">
        <v>43131</v>
      </c>
      <c r="AF1202" s="167" t="s">
        <v>3470</v>
      </c>
    </row>
    <row r="1203" spans="16:32" x14ac:dyDescent="0.25">
      <c r="P1203" s="167" t="s">
        <v>739</v>
      </c>
      <c r="Q1203" s="167">
        <v>353</v>
      </c>
      <c r="R1203" s="167" t="s">
        <v>3407</v>
      </c>
      <c r="S1203" s="167" t="s">
        <v>2791</v>
      </c>
      <c r="T1203" s="167">
        <v>5</v>
      </c>
      <c r="U1203" s="167" t="s">
        <v>2792</v>
      </c>
      <c r="V1203" s="167" t="s">
        <v>3409</v>
      </c>
      <c r="AB1203" s="167" t="s">
        <v>1939</v>
      </c>
      <c r="AC1203" s="167">
        <v>340</v>
      </c>
      <c r="AD1203" s="203">
        <v>43133</v>
      </c>
      <c r="AE1203" s="203">
        <v>43168</v>
      </c>
      <c r="AF1203" s="167" t="s">
        <v>3470</v>
      </c>
    </row>
    <row r="1204" spans="16:32" x14ac:dyDescent="0.25">
      <c r="P1204" s="167" t="s">
        <v>739</v>
      </c>
      <c r="Q1204" s="167">
        <v>353</v>
      </c>
      <c r="R1204" s="167" t="s">
        <v>3407</v>
      </c>
      <c r="S1204" s="167" t="s">
        <v>1330</v>
      </c>
      <c r="T1204" s="167">
        <v>3</v>
      </c>
      <c r="U1204" s="167" t="s">
        <v>3435</v>
      </c>
      <c r="V1204" s="167" t="s">
        <v>3409</v>
      </c>
      <c r="AB1204" s="167" t="s">
        <v>1939</v>
      </c>
      <c r="AC1204" s="167">
        <v>340</v>
      </c>
      <c r="AD1204" s="203">
        <v>43133</v>
      </c>
      <c r="AE1204" s="203">
        <v>43168</v>
      </c>
      <c r="AF1204" s="167" t="s">
        <v>3470</v>
      </c>
    </row>
    <row r="1205" spans="16:32" x14ac:dyDescent="0.25">
      <c r="P1205" s="167" t="s">
        <v>739</v>
      </c>
      <c r="Q1205" s="167">
        <v>353</v>
      </c>
      <c r="R1205" s="167" t="s">
        <v>3407</v>
      </c>
      <c r="S1205" s="167" t="s">
        <v>2800</v>
      </c>
      <c r="T1205" s="167">
        <v>1</v>
      </c>
      <c r="U1205" s="167" t="s">
        <v>2801</v>
      </c>
      <c r="V1205" s="167" t="s">
        <v>3409</v>
      </c>
      <c r="AB1205" s="167" t="s">
        <v>1939</v>
      </c>
      <c r="AC1205" s="167">
        <v>357</v>
      </c>
      <c r="AD1205" s="203">
        <v>43139</v>
      </c>
      <c r="AE1205" s="203">
        <v>43164</v>
      </c>
      <c r="AF1205" s="167" t="s">
        <v>3470</v>
      </c>
    </row>
    <row r="1206" spans="16:32" x14ac:dyDescent="0.25">
      <c r="P1206" s="167" t="s">
        <v>739</v>
      </c>
      <c r="Q1206" s="167">
        <v>353</v>
      </c>
      <c r="R1206" s="167" t="s">
        <v>3407</v>
      </c>
      <c r="S1206" s="167" t="s">
        <v>2802</v>
      </c>
      <c r="T1206" s="167">
        <v>25</v>
      </c>
      <c r="U1206" s="167" t="s">
        <v>2803</v>
      </c>
      <c r="V1206" s="167" t="s">
        <v>3409</v>
      </c>
      <c r="AB1206" s="167" t="s">
        <v>1939</v>
      </c>
      <c r="AC1206" s="167">
        <v>353</v>
      </c>
      <c r="AD1206" s="203">
        <v>43180</v>
      </c>
      <c r="AE1206" s="203">
        <v>0</v>
      </c>
      <c r="AF1206" s="167" t="s">
        <v>3469</v>
      </c>
    </row>
    <row r="1207" spans="16:32" x14ac:dyDescent="0.25">
      <c r="P1207" s="167" t="s">
        <v>739</v>
      </c>
      <c r="Q1207" s="167">
        <v>353</v>
      </c>
      <c r="R1207" s="167" t="s">
        <v>3407</v>
      </c>
      <c r="S1207" s="167" t="s">
        <v>2802</v>
      </c>
      <c r="T1207" s="167">
        <v>10</v>
      </c>
      <c r="U1207" s="167" t="s">
        <v>2803</v>
      </c>
      <c r="V1207" s="167" t="s">
        <v>3409</v>
      </c>
      <c r="AB1207" s="167" t="s">
        <v>1939</v>
      </c>
      <c r="AC1207" s="167">
        <v>353</v>
      </c>
      <c r="AD1207" s="203">
        <v>43180</v>
      </c>
      <c r="AE1207" s="203">
        <v>0</v>
      </c>
      <c r="AF1207" s="167" t="s">
        <v>3469</v>
      </c>
    </row>
    <row r="1208" spans="16:32" x14ac:dyDescent="0.25">
      <c r="P1208" s="167" t="s">
        <v>739</v>
      </c>
      <c r="Q1208" s="167">
        <v>353</v>
      </c>
      <c r="R1208" s="167" t="s">
        <v>3407</v>
      </c>
      <c r="S1208" s="167" t="s">
        <v>2802</v>
      </c>
      <c r="T1208" s="167">
        <v>25</v>
      </c>
      <c r="U1208" s="167" t="s">
        <v>2803</v>
      </c>
      <c r="V1208" s="167" t="s">
        <v>3409</v>
      </c>
      <c r="AB1208" s="167" t="s">
        <v>1940</v>
      </c>
      <c r="AC1208" s="167">
        <v>323</v>
      </c>
      <c r="AD1208" s="203">
        <v>43074</v>
      </c>
      <c r="AE1208" s="203">
        <v>43111</v>
      </c>
      <c r="AF1208" s="167" t="s">
        <v>3470</v>
      </c>
    </row>
    <row r="1209" spans="16:32" x14ac:dyDescent="0.25">
      <c r="P1209" s="167" t="s">
        <v>739</v>
      </c>
      <c r="Q1209" s="167">
        <v>353</v>
      </c>
      <c r="R1209" s="167" t="s">
        <v>3407</v>
      </c>
      <c r="S1209" s="167" t="s">
        <v>2802</v>
      </c>
      <c r="T1209" s="167">
        <v>14</v>
      </c>
      <c r="U1209" s="167" t="s">
        <v>2803</v>
      </c>
      <c r="V1209" s="167" t="s">
        <v>3409</v>
      </c>
      <c r="AB1209" s="167" t="s">
        <v>1940</v>
      </c>
      <c r="AC1209" s="167">
        <v>327</v>
      </c>
      <c r="AD1209" s="203">
        <v>43074</v>
      </c>
      <c r="AE1209" s="203">
        <v>43131</v>
      </c>
      <c r="AF1209" s="167" t="s">
        <v>3470</v>
      </c>
    </row>
    <row r="1210" spans="16:32" x14ac:dyDescent="0.25">
      <c r="P1210" s="167" t="s">
        <v>739</v>
      </c>
      <c r="Q1210" s="167">
        <v>353</v>
      </c>
      <c r="R1210" s="167" t="s">
        <v>3407</v>
      </c>
      <c r="S1210" s="167" t="s">
        <v>2802</v>
      </c>
      <c r="T1210" s="167">
        <v>10</v>
      </c>
      <c r="U1210" s="167" t="s">
        <v>2803</v>
      </c>
      <c r="V1210" s="167" t="s">
        <v>3409</v>
      </c>
      <c r="AB1210" s="167" t="s">
        <v>1940</v>
      </c>
      <c r="AC1210" s="167">
        <v>347</v>
      </c>
      <c r="AD1210" s="203">
        <v>43118</v>
      </c>
      <c r="AE1210" s="203">
        <v>43133</v>
      </c>
      <c r="AF1210" s="167" t="s">
        <v>3470</v>
      </c>
    </row>
    <row r="1211" spans="16:32" x14ac:dyDescent="0.25">
      <c r="P1211" s="167" t="s">
        <v>739</v>
      </c>
      <c r="Q1211" s="167">
        <v>353</v>
      </c>
      <c r="R1211" s="167" t="s">
        <v>3407</v>
      </c>
      <c r="S1211" s="167" t="s">
        <v>2804</v>
      </c>
      <c r="T1211" s="167">
        <v>10</v>
      </c>
      <c r="U1211" s="167" t="s">
        <v>2805</v>
      </c>
      <c r="V1211" s="167" t="s">
        <v>3409</v>
      </c>
      <c r="AB1211" s="167" t="s">
        <v>1940</v>
      </c>
      <c r="AC1211" s="167">
        <v>340</v>
      </c>
      <c r="AD1211" s="203">
        <v>43133</v>
      </c>
      <c r="AE1211" s="203">
        <v>43168</v>
      </c>
      <c r="AF1211" s="167" t="s">
        <v>3470</v>
      </c>
    </row>
    <row r="1212" spans="16:32" x14ac:dyDescent="0.25">
      <c r="P1212" s="167" t="s">
        <v>739</v>
      </c>
      <c r="Q1212" s="167">
        <v>353</v>
      </c>
      <c r="R1212" s="167" t="s">
        <v>3407</v>
      </c>
      <c r="S1212" s="167" t="s">
        <v>2804</v>
      </c>
      <c r="T1212" s="167">
        <v>23</v>
      </c>
      <c r="U1212" s="167" t="s">
        <v>2805</v>
      </c>
      <c r="V1212" s="167" t="s">
        <v>3409</v>
      </c>
      <c r="AB1212" s="167" t="s">
        <v>1940</v>
      </c>
      <c r="AC1212" s="167">
        <v>340</v>
      </c>
      <c r="AD1212" s="203">
        <v>43133</v>
      </c>
      <c r="AE1212" s="203">
        <v>43168</v>
      </c>
      <c r="AF1212" s="167" t="s">
        <v>3470</v>
      </c>
    </row>
    <row r="1213" spans="16:32" x14ac:dyDescent="0.25">
      <c r="P1213" s="167" t="s">
        <v>739</v>
      </c>
      <c r="Q1213" s="167">
        <v>353</v>
      </c>
      <c r="R1213" s="167" t="s">
        <v>3407</v>
      </c>
      <c r="S1213" s="167" t="s">
        <v>2806</v>
      </c>
      <c r="T1213" s="167">
        <v>17</v>
      </c>
      <c r="U1213" s="167" t="s">
        <v>2807</v>
      </c>
      <c r="V1213" s="167" t="s">
        <v>3409</v>
      </c>
      <c r="AB1213" s="167" t="s">
        <v>1940</v>
      </c>
      <c r="AC1213" s="167">
        <v>357</v>
      </c>
      <c r="AD1213" s="203">
        <v>43139</v>
      </c>
      <c r="AE1213" s="203">
        <v>43164</v>
      </c>
      <c r="AF1213" s="167" t="s">
        <v>3470</v>
      </c>
    </row>
    <row r="1214" spans="16:32" x14ac:dyDescent="0.25">
      <c r="P1214" s="167" t="s">
        <v>739</v>
      </c>
      <c r="Q1214" s="167">
        <v>353</v>
      </c>
      <c r="R1214" s="167" t="s">
        <v>3407</v>
      </c>
      <c r="S1214" s="167" t="s">
        <v>2808</v>
      </c>
      <c r="T1214" s="167">
        <v>2</v>
      </c>
      <c r="U1214" s="167" t="s">
        <v>2809</v>
      </c>
      <c r="V1214" s="167" t="s">
        <v>3409</v>
      </c>
      <c r="AB1214" s="167" t="s">
        <v>1940</v>
      </c>
      <c r="AC1214" s="167">
        <v>353</v>
      </c>
      <c r="AD1214" s="203">
        <v>43180</v>
      </c>
      <c r="AE1214" s="203">
        <v>0</v>
      </c>
      <c r="AF1214" s="167" t="s">
        <v>3469</v>
      </c>
    </row>
    <row r="1215" spans="16:32" x14ac:dyDescent="0.25">
      <c r="P1215" s="167" t="s">
        <v>739</v>
      </c>
      <c r="Q1215" s="167">
        <v>353</v>
      </c>
      <c r="R1215" s="167" t="s">
        <v>3407</v>
      </c>
      <c r="S1215" s="167" t="s">
        <v>2810</v>
      </c>
      <c r="T1215" s="167">
        <v>3</v>
      </c>
      <c r="U1215" s="167" t="s">
        <v>2811</v>
      </c>
      <c r="V1215" s="167" t="s">
        <v>3409</v>
      </c>
      <c r="AB1215" s="167" t="s">
        <v>1940</v>
      </c>
      <c r="AC1215" s="167">
        <v>353</v>
      </c>
      <c r="AD1215" s="203">
        <v>43180</v>
      </c>
      <c r="AE1215" s="203">
        <v>0</v>
      </c>
      <c r="AF1215" s="167" t="s">
        <v>3469</v>
      </c>
    </row>
    <row r="1216" spans="16:32" x14ac:dyDescent="0.25">
      <c r="P1216" s="167" t="s">
        <v>739</v>
      </c>
      <c r="Q1216" s="167">
        <v>353</v>
      </c>
      <c r="R1216" s="167" t="s">
        <v>3407</v>
      </c>
      <c r="S1216" s="167" t="s">
        <v>2812</v>
      </c>
      <c r="T1216" s="167">
        <v>18</v>
      </c>
      <c r="U1216" s="167" t="s">
        <v>2813</v>
      </c>
      <c r="V1216" s="167" t="s">
        <v>3409</v>
      </c>
      <c r="AB1216" s="167" t="s">
        <v>1940</v>
      </c>
      <c r="AC1216" s="167">
        <v>374</v>
      </c>
      <c r="AD1216" s="203">
        <v>43195</v>
      </c>
      <c r="AE1216" s="203">
        <v>0</v>
      </c>
      <c r="AF1216" s="167" t="s">
        <v>3469</v>
      </c>
    </row>
    <row r="1217" spans="16:32" x14ac:dyDescent="0.25">
      <c r="P1217" s="167" t="s">
        <v>739</v>
      </c>
      <c r="Q1217" s="167">
        <v>353</v>
      </c>
      <c r="R1217" s="167" t="s">
        <v>3407</v>
      </c>
      <c r="S1217" s="167" t="s">
        <v>2815</v>
      </c>
      <c r="T1217" s="167">
        <v>1</v>
      </c>
      <c r="U1217" s="167" t="s">
        <v>2816</v>
      </c>
      <c r="V1217" s="167" t="s">
        <v>3409</v>
      </c>
      <c r="AB1217" s="167" t="s">
        <v>1941</v>
      </c>
      <c r="AC1217" s="167">
        <v>323</v>
      </c>
      <c r="AD1217" s="203">
        <v>43074</v>
      </c>
      <c r="AE1217" s="203">
        <v>43111</v>
      </c>
      <c r="AF1217" s="167" t="s">
        <v>3470</v>
      </c>
    </row>
    <row r="1218" spans="16:32" x14ac:dyDescent="0.25">
      <c r="P1218" s="167" t="s">
        <v>739</v>
      </c>
      <c r="Q1218" s="167">
        <v>353</v>
      </c>
      <c r="R1218" s="167" t="s">
        <v>3407</v>
      </c>
      <c r="S1218" s="167" t="s">
        <v>2815</v>
      </c>
      <c r="T1218" s="167">
        <v>3</v>
      </c>
      <c r="U1218" s="167" t="s">
        <v>2816</v>
      </c>
      <c r="V1218" s="167" t="s">
        <v>3409</v>
      </c>
      <c r="AB1218" s="167" t="s">
        <v>1941</v>
      </c>
      <c r="AC1218" s="167">
        <v>347</v>
      </c>
      <c r="AD1218" s="203">
        <v>43118</v>
      </c>
      <c r="AE1218" s="203">
        <v>43133</v>
      </c>
      <c r="AF1218" s="167" t="s">
        <v>3470</v>
      </c>
    </row>
    <row r="1219" spans="16:32" x14ac:dyDescent="0.25">
      <c r="P1219" s="167" t="s">
        <v>739</v>
      </c>
      <c r="Q1219" s="167">
        <v>353</v>
      </c>
      <c r="R1219" s="167" t="s">
        <v>3407</v>
      </c>
      <c r="S1219" s="167" t="s">
        <v>2817</v>
      </c>
      <c r="T1219" s="167">
        <v>25</v>
      </c>
      <c r="U1219" s="167" t="s">
        <v>2818</v>
      </c>
      <c r="V1219" s="167" t="s">
        <v>3409</v>
      </c>
      <c r="AB1219" s="167" t="s">
        <v>1941</v>
      </c>
      <c r="AC1219" s="167">
        <v>340</v>
      </c>
      <c r="AD1219" s="203">
        <v>43133</v>
      </c>
      <c r="AE1219" s="203">
        <v>43168</v>
      </c>
      <c r="AF1219" s="167" t="s">
        <v>3470</v>
      </c>
    </row>
    <row r="1220" spans="16:32" x14ac:dyDescent="0.25">
      <c r="P1220" s="167" t="s">
        <v>739</v>
      </c>
      <c r="Q1220" s="167">
        <v>353</v>
      </c>
      <c r="R1220" s="167" t="s">
        <v>3407</v>
      </c>
      <c r="S1220" s="167" t="s">
        <v>2819</v>
      </c>
      <c r="T1220" s="167">
        <v>3</v>
      </c>
      <c r="U1220" s="167" t="s">
        <v>2820</v>
      </c>
      <c r="V1220" s="167" t="s">
        <v>3409</v>
      </c>
      <c r="AB1220" s="167" t="s">
        <v>1941</v>
      </c>
      <c r="AC1220" s="167">
        <v>340</v>
      </c>
      <c r="AD1220" s="203">
        <v>43133</v>
      </c>
      <c r="AE1220" s="203">
        <v>43168</v>
      </c>
      <c r="AF1220" s="167" t="s">
        <v>3470</v>
      </c>
    </row>
    <row r="1221" spans="16:32" x14ac:dyDescent="0.25">
      <c r="P1221" s="167" t="s">
        <v>739</v>
      </c>
      <c r="Q1221" s="167">
        <v>353</v>
      </c>
      <c r="R1221" s="167" t="s">
        <v>3407</v>
      </c>
      <c r="S1221" s="167" t="s">
        <v>2827</v>
      </c>
      <c r="T1221" s="167">
        <v>1</v>
      </c>
      <c r="U1221" s="167" t="s">
        <v>2828</v>
      </c>
      <c r="V1221" s="167" t="s">
        <v>3409</v>
      </c>
      <c r="AB1221" s="167" t="s">
        <v>1941</v>
      </c>
      <c r="AC1221" s="167">
        <v>357</v>
      </c>
      <c r="AD1221" s="203">
        <v>43139</v>
      </c>
      <c r="AE1221" s="203">
        <v>43164</v>
      </c>
      <c r="AF1221" s="167" t="s">
        <v>3470</v>
      </c>
    </row>
    <row r="1222" spans="16:32" x14ac:dyDescent="0.25">
      <c r="P1222" s="167" t="s">
        <v>739</v>
      </c>
      <c r="Q1222" s="167">
        <v>353</v>
      </c>
      <c r="R1222" s="167" t="s">
        <v>3407</v>
      </c>
      <c r="S1222" s="167" t="s">
        <v>2827</v>
      </c>
      <c r="T1222" s="167">
        <v>2</v>
      </c>
      <c r="U1222" s="167" t="s">
        <v>2828</v>
      </c>
      <c r="V1222" s="167" t="s">
        <v>3409</v>
      </c>
      <c r="AB1222" s="167" t="s">
        <v>1941</v>
      </c>
      <c r="AC1222" s="167">
        <v>364</v>
      </c>
      <c r="AD1222" s="203">
        <v>43168</v>
      </c>
      <c r="AE1222" s="203">
        <v>43179</v>
      </c>
      <c r="AF1222" s="167" t="s">
        <v>3470</v>
      </c>
    </row>
    <row r="1223" spans="16:32" x14ac:dyDescent="0.25">
      <c r="P1223" s="167" t="s">
        <v>739</v>
      </c>
      <c r="Q1223" s="167">
        <v>353</v>
      </c>
      <c r="R1223" s="167" t="s">
        <v>3407</v>
      </c>
      <c r="S1223" s="167" t="s">
        <v>2829</v>
      </c>
      <c r="T1223" s="167">
        <v>22</v>
      </c>
      <c r="U1223" s="167" t="s">
        <v>2830</v>
      </c>
      <c r="V1223" s="167" t="s">
        <v>3409</v>
      </c>
      <c r="AB1223" s="167" t="s">
        <v>1941</v>
      </c>
      <c r="AC1223" s="167">
        <v>353</v>
      </c>
      <c r="AD1223" s="203">
        <v>43180</v>
      </c>
      <c r="AE1223" s="203">
        <v>0</v>
      </c>
      <c r="AF1223" s="167" t="s">
        <v>3469</v>
      </c>
    </row>
    <row r="1224" spans="16:32" x14ac:dyDescent="0.25">
      <c r="P1224" s="167" t="s">
        <v>739</v>
      </c>
      <c r="Q1224" s="167">
        <v>353</v>
      </c>
      <c r="R1224" s="167" t="s">
        <v>3407</v>
      </c>
      <c r="S1224" s="167" t="s">
        <v>2831</v>
      </c>
      <c r="T1224" s="167">
        <v>10</v>
      </c>
      <c r="U1224" s="167" t="s">
        <v>2832</v>
      </c>
      <c r="V1224" s="167" t="s">
        <v>3409</v>
      </c>
      <c r="AB1224" s="167" t="s">
        <v>1941</v>
      </c>
      <c r="AC1224" s="167">
        <v>353</v>
      </c>
      <c r="AD1224" s="203">
        <v>43180</v>
      </c>
      <c r="AE1224" s="203">
        <v>0</v>
      </c>
      <c r="AF1224" s="167" t="s">
        <v>3469</v>
      </c>
    </row>
    <row r="1225" spans="16:32" x14ac:dyDescent="0.25">
      <c r="P1225" s="167" t="s">
        <v>739</v>
      </c>
      <c r="Q1225" s="167">
        <v>353</v>
      </c>
      <c r="R1225" s="167" t="s">
        <v>3407</v>
      </c>
      <c r="S1225" s="167" t="s">
        <v>2831</v>
      </c>
      <c r="T1225" s="167">
        <v>1</v>
      </c>
      <c r="U1225" s="167" t="s">
        <v>2832</v>
      </c>
      <c r="V1225" s="167" t="s">
        <v>3409</v>
      </c>
      <c r="AB1225" s="167" t="s">
        <v>1943</v>
      </c>
      <c r="AC1225" s="167">
        <v>347</v>
      </c>
      <c r="AD1225" s="203">
        <v>43118</v>
      </c>
      <c r="AE1225" s="203">
        <v>43133</v>
      </c>
      <c r="AF1225" s="167" t="s">
        <v>3470</v>
      </c>
    </row>
    <row r="1226" spans="16:32" x14ac:dyDescent="0.25">
      <c r="P1226" s="167" t="s">
        <v>739</v>
      </c>
      <c r="Q1226" s="167">
        <v>353</v>
      </c>
      <c r="R1226" s="167" t="s">
        <v>3407</v>
      </c>
      <c r="S1226" s="167" t="s">
        <v>2833</v>
      </c>
      <c r="T1226" s="167">
        <v>1</v>
      </c>
      <c r="U1226" s="167" t="s">
        <v>2834</v>
      </c>
      <c r="V1226" s="167" t="s">
        <v>3409</v>
      </c>
      <c r="AB1226" s="167" t="s">
        <v>1943</v>
      </c>
      <c r="AC1226" s="167">
        <v>353</v>
      </c>
      <c r="AD1226" s="203">
        <v>43180</v>
      </c>
      <c r="AE1226" s="203">
        <v>0</v>
      </c>
      <c r="AF1226" s="167" t="s">
        <v>3469</v>
      </c>
    </row>
    <row r="1227" spans="16:32" x14ac:dyDescent="0.25">
      <c r="P1227" s="167" t="s">
        <v>739</v>
      </c>
      <c r="Q1227" s="167">
        <v>353</v>
      </c>
      <c r="R1227" s="167" t="s">
        <v>3407</v>
      </c>
      <c r="S1227" s="167" t="s">
        <v>2833</v>
      </c>
      <c r="T1227" s="167">
        <v>14</v>
      </c>
      <c r="U1227" s="167" t="s">
        <v>2834</v>
      </c>
      <c r="V1227" s="167" t="s">
        <v>3409</v>
      </c>
      <c r="AB1227" s="167" t="s">
        <v>1945</v>
      </c>
      <c r="AC1227" s="167">
        <v>323</v>
      </c>
      <c r="AD1227" s="203">
        <v>43074</v>
      </c>
      <c r="AE1227" s="203">
        <v>43111</v>
      </c>
      <c r="AF1227" s="167" t="s">
        <v>3470</v>
      </c>
    </row>
    <row r="1228" spans="16:32" x14ac:dyDescent="0.25">
      <c r="P1228" s="167" t="s">
        <v>739</v>
      </c>
      <c r="Q1228" s="167">
        <v>353</v>
      </c>
      <c r="R1228" s="167" t="s">
        <v>3407</v>
      </c>
      <c r="S1228" s="167" t="s">
        <v>1092</v>
      </c>
      <c r="T1228" s="167">
        <v>38</v>
      </c>
      <c r="U1228" s="167" t="s">
        <v>2835</v>
      </c>
      <c r="V1228" s="167" t="s">
        <v>3409</v>
      </c>
      <c r="AB1228" s="167" t="s">
        <v>1945</v>
      </c>
      <c r="AC1228" s="167">
        <v>347</v>
      </c>
      <c r="AD1228" s="203">
        <v>43118</v>
      </c>
      <c r="AE1228" s="203">
        <v>43133</v>
      </c>
      <c r="AF1228" s="167" t="s">
        <v>3470</v>
      </c>
    </row>
    <row r="1229" spans="16:32" x14ac:dyDescent="0.25">
      <c r="P1229" s="167" t="s">
        <v>739</v>
      </c>
      <c r="Q1229" s="167">
        <v>353</v>
      </c>
      <c r="R1229" s="167" t="s">
        <v>3407</v>
      </c>
      <c r="S1229" s="167" t="s">
        <v>2836</v>
      </c>
      <c r="T1229" s="167">
        <v>1</v>
      </c>
      <c r="U1229" s="167" t="s">
        <v>2837</v>
      </c>
      <c r="V1229" s="167" t="s">
        <v>3409</v>
      </c>
      <c r="AB1229" s="167" t="s">
        <v>1945</v>
      </c>
      <c r="AC1229" s="167">
        <v>340</v>
      </c>
      <c r="AD1229" s="203">
        <v>43133</v>
      </c>
      <c r="AE1229" s="203">
        <v>43168</v>
      </c>
      <c r="AF1229" s="167" t="s">
        <v>3470</v>
      </c>
    </row>
    <row r="1230" spans="16:32" x14ac:dyDescent="0.25">
      <c r="P1230" s="167" t="s">
        <v>739</v>
      </c>
      <c r="Q1230" s="167">
        <v>353</v>
      </c>
      <c r="R1230" s="167" t="s">
        <v>3407</v>
      </c>
      <c r="S1230" s="167" t="s">
        <v>2842</v>
      </c>
      <c r="T1230" s="167">
        <v>3</v>
      </c>
      <c r="U1230" s="167" t="s">
        <v>2843</v>
      </c>
      <c r="V1230" s="167" t="s">
        <v>3409</v>
      </c>
      <c r="AB1230" s="167" t="s">
        <v>1945</v>
      </c>
      <c r="AC1230" s="167">
        <v>340</v>
      </c>
      <c r="AD1230" s="203">
        <v>43133</v>
      </c>
      <c r="AE1230" s="203">
        <v>43168</v>
      </c>
      <c r="AF1230" s="167" t="s">
        <v>3470</v>
      </c>
    </row>
    <row r="1231" spans="16:32" x14ac:dyDescent="0.25">
      <c r="P1231" s="167" t="s">
        <v>739</v>
      </c>
      <c r="Q1231" s="167">
        <v>353</v>
      </c>
      <c r="R1231" s="167" t="s">
        <v>3407</v>
      </c>
      <c r="S1231" s="167" t="s">
        <v>2842</v>
      </c>
      <c r="T1231" s="167">
        <v>2</v>
      </c>
      <c r="U1231" s="167" t="s">
        <v>2843</v>
      </c>
      <c r="V1231" s="167" t="s">
        <v>3409</v>
      </c>
      <c r="AB1231" s="167" t="s">
        <v>1945</v>
      </c>
      <c r="AC1231" s="167">
        <v>357</v>
      </c>
      <c r="AD1231" s="203">
        <v>43139</v>
      </c>
      <c r="AE1231" s="203">
        <v>43164</v>
      </c>
      <c r="AF1231" s="167" t="s">
        <v>3470</v>
      </c>
    </row>
    <row r="1232" spans="16:32" x14ac:dyDescent="0.25">
      <c r="P1232" s="167" t="s">
        <v>739</v>
      </c>
      <c r="Q1232" s="167">
        <v>353</v>
      </c>
      <c r="R1232" s="167" t="s">
        <v>3407</v>
      </c>
      <c r="S1232" s="167" t="s">
        <v>2844</v>
      </c>
      <c r="T1232" s="167">
        <v>2</v>
      </c>
      <c r="U1232" s="167" t="s">
        <v>2845</v>
      </c>
      <c r="V1232" s="167" t="s">
        <v>3409</v>
      </c>
      <c r="AB1232" s="167" t="s">
        <v>1945</v>
      </c>
      <c r="AC1232" s="167">
        <v>364</v>
      </c>
      <c r="AD1232" s="203">
        <v>43168</v>
      </c>
      <c r="AE1232" s="203">
        <v>43179</v>
      </c>
      <c r="AF1232" s="167" t="s">
        <v>3470</v>
      </c>
    </row>
    <row r="1233" spans="16:32" x14ac:dyDescent="0.25">
      <c r="P1233" s="167" t="s">
        <v>739</v>
      </c>
      <c r="Q1233" s="167">
        <v>353</v>
      </c>
      <c r="R1233" s="167" t="s">
        <v>3407</v>
      </c>
      <c r="S1233" s="167" t="s">
        <v>2846</v>
      </c>
      <c r="T1233" s="167">
        <v>2</v>
      </c>
      <c r="U1233" s="167" t="s">
        <v>2847</v>
      </c>
      <c r="V1233" s="167" t="s">
        <v>3409</v>
      </c>
      <c r="AB1233" s="167" t="s">
        <v>1945</v>
      </c>
      <c r="AC1233" s="167">
        <v>374</v>
      </c>
      <c r="AD1233" s="203">
        <v>43195</v>
      </c>
      <c r="AE1233" s="203">
        <v>0</v>
      </c>
      <c r="AF1233" s="167" t="s">
        <v>3469</v>
      </c>
    </row>
    <row r="1234" spans="16:32" x14ac:dyDescent="0.25">
      <c r="P1234" s="167" t="s">
        <v>739</v>
      </c>
      <c r="Q1234" s="167">
        <v>353</v>
      </c>
      <c r="R1234" s="167" t="s">
        <v>3407</v>
      </c>
      <c r="S1234" s="167" t="s">
        <v>2848</v>
      </c>
      <c r="T1234" s="167">
        <v>1</v>
      </c>
      <c r="U1234" s="167" t="s">
        <v>2849</v>
      </c>
      <c r="V1234" s="167" t="s">
        <v>3409</v>
      </c>
      <c r="AB1234" s="167" t="s">
        <v>1947</v>
      </c>
      <c r="AC1234" s="167">
        <v>327</v>
      </c>
      <c r="AD1234" s="203">
        <v>43074</v>
      </c>
      <c r="AE1234" s="203">
        <v>43131</v>
      </c>
      <c r="AF1234" s="167" t="s">
        <v>3470</v>
      </c>
    </row>
    <row r="1235" spans="16:32" x14ac:dyDescent="0.25">
      <c r="P1235" s="167" t="s">
        <v>739</v>
      </c>
      <c r="Q1235" s="167">
        <v>353</v>
      </c>
      <c r="R1235" s="167" t="s">
        <v>3407</v>
      </c>
      <c r="S1235" s="167" t="s">
        <v>2848</v>
      </c>
      <c r="T1235" s="167">
        <v>10</v>
      </c>
      <c r="U1235" s="167" t="s">
        <v>2849</v>
      </c>
      <c r="V1235" s="167" t="s">
        <v>3409</v>
      </c>
      <c r="AB1235" s="167" t="s">
        <v>1947</v>
      </c>
      <c r="AC1235" s="167">
        <v>347</v>
      </c>
      <c r="AD1235" s="203">
        <v>43118</v>
      </c>
      <c r="AE1235" s="203">
        <v>43133</v>
      </c>
      <c r="AF1235" s="167" t="s">
        <v>3470</v>
      </c>
    </row>
    <row r="1236" spans="16:32" x14ac:dyDescent="0.25">
      <c r="P1236" s="167" t="s">
        <v>739</v>
      </c>
      <c r="Q1236" s="167">
        <v>353</v>
      </c>
      <c r="R1236" s="167" t="s">
        <v>3407</v>
      </c>
      <c r="S1236" s="167" t="s">
        <v>2848</v>
      </c>
      <c r="T1236" s="167">
        <v>4</v>
      </c>
      <c r="U1236" s="167" t="s">
        <v>2849</v>
      </c>
      <c r="V1236" s="167" t="s">
        <v>3409</v>
      </c>
      <c r="AB1236" s="167" t="s">
        <v>1947</v>
      </c>
      <c r="AC1236" s="167">
        <v>340</v>
      </c>
      <c r="AD1236" s="203">
        <v>43133</v>
      </c>
      <c r="AE1236" s="203">
        <v>43168</v>
      </c>
      <c r="AF1236" s="167" t="s">
        <v>3470</v>
      </c>
    </row>
    <row r="1237" spans="16:32" x14ac:dyDescent="0.25">
      <c r="P1237" s="167" t="s">
        <v>739</v>
      </c>
      <c r="Q1237" s="167">
        <v>353</v>
      </c>
      <c r="R1237" s="167" t="s">
        <v>3407</v>
      </c>
      <c r="S1237" s="167" t="s">
        <v>2850</v>
      </c>
      <c r="T1237" s="167">
        <v>10</v>
      </c>
      <c r="U1237" s="167" t="s">
        <v>2851</v>
      </c>
      <c r="V1237" s="167" t="s">
        <v>3409</v>
      </c>
      <c r="AB1237" s="167" t="s">
        <v>1947</v>
      </c>
      <c r="AC1237" s="167">
        <v>340</v>
      </c>
      <c r="AD1237" s="203">
        <v>43133</v>
      </c>
      <c r="AE1237" s="203">
        <v>43168</v>
      </c>
      <c r="AF1237" s="167" t="s">
        <v>3470</v>
      </c>
    </row>
    <row r="1238" spans="16:32" x14ac:dyDescent="0.25">
      <c r="P1238" s="167" t="s">
        <v>739</v>
      </c>
      <c r="Q1238" s="167">
        <v>353</v>
      </c>
      <c r="R1238" s="167" t="s">
        <v>3407</v>
      </c>
      <c r="S1238" s="167" t="s">
        <v>2850</v>
      </c>
      <c r="T1238" s="167">
        <v>20</v>
      </c>
      <c r="U1238" s="167" t="s">
        <v>2851</v>
      </c>
      <c r="V1238" s="167" t="s">
        <v>3409</v>
      </c>
      <c r="AB1238" s="167" t="s">
        <v>1947</v>
      </c>
      <c r="AC1238" s="167">
        <v>374</v>
      </c>
      <c r="AD1238" s="203">
        <v>43195</v>
      </c>
      <c r="AE1238" s="203">
        <v>0</v>
      </c>
      <c r="AF1238" s="167" t="s">
        <v>3469</v>
      </c>
    </row>
    <row r="1239" spans="16:32" x14ac:dyDescent="0.25">
      <c r="P1239" s="167" t="s">
        <v>739</v>
      </c>
      <c r="Q1239" s="167">
        <v>353</v>
      </c>
      <c r="R1239" s="167" t="s">
        <v>3407</v>
      </c>
      <c r="S1239" s="167" t="s">
        <v>2852</v>
      </c>
      <c r="T1239" s="167">
        <v>9</v>
      </c>
      <c r="U1239" s="167" t="s">
        <v>2853</v>
      </c>
      <c r="V1239" s="167" t="s">
        <v>3409</v>
      </c>
      <c r="AB1239" s="167" t="s">
        <v>1948</v>
      </c>
      <c r="AC1239" s="167">
        <v>327</v>
      </c>
      <c r="AD1239" s="203">
        <v>43074</v>
      </c>
      <c r="AE1239" s="203">
        <v>43131</v>
      </c>
      <c r="AF1239" s="167" t="s">
        <v>3470</v>
      </c>
    </row>
    <row r="1240" spans="16:32" x14ac:dyDescent="0.25">
      <c r="P1240" s="167" t="s">
        <v>739</v>
      </c>
      <c r="Q1240" s="167">
        <v>353</v>
      </c>
      <c r="R1240" s="167" t="s">
        <v>3407</v>
      </c>
      <c r="S1240" s="167" t="s">
        <v>2855</v>
      </c>
      <c r="T1240" s="167">
        <v>5</v>
      </c>
      <c r="U1240" s="167" t="s">
        <v>2856</v>
      </c>
      <c r="V1240" s="167" t="s">
        <v>3409</v>
      </c>
      <c r="AB1240" s="167" t="s">
        <v>1948</v>
      </c>
      <c r="AC1240" s="167">
        <v>327</v>
      </c>
      <c r="AD1240" s="203">
        <v>43074</v>
      </c>
      <c r="AE1240" s="203">
        <v>43131</v>
      </c>
      <c r="AF1240" s="167" t="s">
        <v>3470</v>
      </c>
    </row>
    <row r="1241" spans="16:32" x14ac:dyDescent="0.25">
      <c r="P1241" s="167" t="s">
        <v>739</v>
      </c>
      <c r="Q1241" s="167">
        <v>353</v>
      </c>
      <c r="R1241" s="167" t="s">
        <v>3407</v>
      </c>
      <c r="S1241" s="167" t="s">
        <v>2855</v>
      </c>
      <c r="T1241" s="167">
        <v>2</v>
      </c>
      <c r="U1241" s="167" t="s">
        <v>2856</v>
      </c>
      <c r="V1241" s="167" t="s">
        <v>3409</v>
      </c>
      <c r="AB1241" s="167" t="s">
        <v>1948</v>
      </c>
      <c r="AC1241" s="167">
        <v>327</v>
      </c>
      <c r="AD1241" s="203">
        <v>43074</v>
      </c>
      <c r="AE1241" s="203">
        <v>43131</v>
      </c>
      <c r="AF1241" s="167" t="s">
        <v>3470</v>
      </c>
    </row>
    <row r="1242" spans="16:32" x14ac:dyDescent="0.25">
      <c r="P1242" s="167" t="s">
        <v>739</v>
      </c>
      <c r="Q1242" s="167">
        <v>353</v>
      </c>
      <c r="R1242" s="167" t="s">
        <v>3407</v>
      </c>
      <c r="S1242" s="167" t="s">
        <v>2857</v>
      </c>
      <c r="T1242" s="167">
        <v>25</v>
      </c>
      <c r="U1242" s="167" t="s">
        <v>2858</v>
      </c>
      <c r="V1242" s="167" t="s">
        <v>3409</v>
      </c>
      <c r="AB1242" s="167" t="s">
        <v>1948</v>
      </c>
      <c r="AC1242" s="167">
        <v>347</v>
      </c>
      <c r="AD1242" s="203">
        <v>43118</v>
      </c>
      <c r="AE1242" s="203">
        <v>43133</v>
      </c>
      <c r="AF1242" s="167" t="s">
        <v>3470</v>
      </c>
    </row>
    <row r="1243" spans="16:32" x14ac:dyDescent="0.25">
      <c r="P1243" s="167" t="s">
        <v>739</v>
      </c>
      <c r="Q1243" s="167">
        <v>353</v>
      </c>
      <c r="R1243" s="167" t="s">
        <v>3407</v>
      </c>
      <c r="S1243" s="167" t="s">
        <v>2859</v>
      </c>
      <c r="T1243" s="167">
        <v>3</v>
      </c>
      <c r="U1243" s="167" t="s">
        <v>2860</v>
      </c>
      <c r="V1243" s="167" t="s">
        <v>3409</v>
      </c>
      <c r="AB1243" s="167" t="s">
        <v>1948</v>
      </c>
      <c r="AC1243" s="167">
        <v>340</v>
      </c>
      <c r="AD1243" s="203">
        <v>43133</v>
      </c>
      <c r="AE1243" s="203">
        <v>43168</v>
      </c>
      <c r="AF1243" s="167" t="s">
        <v>3470</v>
      </c>
    </row>
    <row r="1244" spans="16:32" x14ac:dyDescent="0.25">
      <c r="P1244" s="167" t="s">
        <v>739</v>
      </c>
      <c r="Q1244" s="167">
        <v>353</v>
      </c>
      <c r="R1244" s="167" t="s">
        <v>3407</v>
      </c>
      <c r="S1244" s="167" t="s">
        <v>2865</v>
      </c>
      <c r="T1244" s="167">
        <v>14</v>
      </c>
      <c r="U1244" s="167" t="s">
        <v>2866</v>
      </c>
      <c r="V1244" s="167" t="s">
        <v>3409</v>
      </c>
      <c r="AB1244" s="167" t="s">
        <v>1948</v>
      </c>
      <c r="AC1244" s="167">
        <v>340</v>
      </c>
      <c r="AD1244" s="203">
        <v>43133</v>
      </c>
      <c r="AE1244" s="203">
        <v>43168</v>
      </c>
      <c r="AF1244" s="167" t="s">
        <v>3470</v>
      </c>
    </row>
    <row r="1245" spans="16:32" x14ac:dyDescent="0.25">
      <c r="P1245" s="167" t="s">
        <v>739</v>
      </c>
      <c r="Q1245" s="167">
        <v>353</v>
      </c>
      <c r="R1245" s="167" t="s">
        <v>3407</v>
      </c>
      <c r="S1245" s="167" t="s">
        <v>2865</v>
      </c>
      <c r="T1245" s="167">
        <v>4</v>
      </c>
      <c r="U1245" s="167" t="s">
        <v>2866</v>
      </c>
      <c r="V1245" s="167" t="s">
        <v>3409</v>
      </c>
      <c r="AB1245" s="167" t="s">
        <v>1948</v>
      </c>
      <c r="AC1245" s="167">
        <v>357</v>
      </c>
      <c r="AD1245" s="203">
        <v>43139</v>
      </c>
      <c r="AE1245" s="203">
        <v>43164</v>
      </c>
      <c r="AF1245" s="167" t="s">
        <v>3470</v>
      </c>
    </row>
    <row r="1246" spans="16:32" x14ac:dyDescent="0.25">
      <c r="P1246" s="167" t="s">
        <v>739</v>
      </c>
      <c r="Q1246" s="167">
        <v>353</v>
      </c>
      <c r="R1246" s="167" t="s">
        <v>3407</v>
      </c>
      <c r="S1246" s="167" t="s">
        <v>3371</v>
      </c>
      <c r="T1246" s="167">
        <v>2</v>
      </c>
      <c r="U1246" s="167" t="s">
        <v>3436</v>
      </c>
      <c r="V1246" s="167" t="s">
        <v>3409</v>
      </c>
      <c r="AB1246" s="167" t="s">
        <v>1948</v>
      </c>
      <c r="AC1246" s="167">
        <v>364</v>
      </c>
      <c r="AD1246" s="203">
        <v>43168</v>
      </c>
      <c r="AE1246" s="203">
        <v>43179</v>
      </c>
      <c r="AF1246" s="167" t="s">
        <v>3470</v>
      </c>
    </row>
    <row r="1247" spans="16:32" x14ac:dyDescent="0.25">
      <c r="P1247" s="167" t="s">
        <v>739</v>
      </c>
      <c r="Q1247" s="167">
        <v>353</v>
      </c>
      <c r="R1247" s="167" t="s">
        <v>3407</v>
      </c>
      <c r="S1247" s="167" t="s">
        <v>2867</v>
      </c>
      <c r="T1247" s="167">
        <v>1</v>
      </c>
      <c r="U1247" s="167" t="s">
        <v>2868</v>
      </c>
      <c r="V1247" s="167" t="s">
        <v>3409</v>
      </c>
      <c r="AB1247" s="167" t="s">
        <v>1948</v>
      </c>
      <c r="AC1247" s="167">
        <v>353</v>
      </c>
      <c r="AD1247" s="203">
        <v>43180</v>
      </c>
      <c r="AE1247" s="203">
        <v>0</v>
      </c>
      <c r="AF1247" s="167" t="s">
        <v>3469</v>
      </c>
    </row>
    <row r="1248" spans="16:32" x14ac:dyDescent="0.25">
      <c r="P1248" s="167" t="s">
        <v>739</v>
      </c>
      <c r="Q1248" s="167">
        <v>353</v>
      </c>
      <c r="R1248" s="167" t="s">
        <v>3407</v>
      </c>
      <c r="S1248" s="167" t="s">
        <v>2870</v>
      </c>
      <c r="T1248" s="167">
        <v>64</v>
      </c>
      <c r="U1248" s="167" t="s">
        <v>2871</v>
      </c>
      <c r="V1248" s="167" t="s">
        <v>3409</v>
      </c>
      <c r="AB1248" s="167" t="s">
        <v>1948</v>
      </c>
      <c r="AC1248" s="167">
        <v>353</v>
      </c>
      <c r="AD1248" s="203">
        <v>43180</v>
      </c>
      <c r="AE1248" s="203">
        <v>0</v>
      </c>
      <c r="AF1248" s="167" t="s">
        <v>3469</v>
      </c>
    </row>
    <row r="1249" spans="16:32" x14ac:dyDescent="0.25">
      <c r="P1249" s="167" t="s">
        <v>739</v>
      </c>
      <c r="Q1249" s="167">
        <v>353</v>
      </c>
      <c r="R1249" s="167" t="s">
        <v>3407</v>
      </c>
      <c r="S1249" s="167" t="s">
        <v>2872</v>
      </c>
      <c r="T1249" s="167">
        <v>5</v>
      </c>
      <c r="U1249" s="167" t="s">
        <v>2873</v>
      </c>
      <c r="V1249" s="167" t="s">
        <v>3409</v>
      </c>
      <c r="AB1249" s="167" t="s">
        <v>1948</v>
      </c>
      <c r="AC1249" s="167">
        <v>353</v>
      </c>
      <c r="AD1249" s="203">
        <v>43180</v>
      </c>
      <c r="AE1249" s="203">
        <v>0</v>
      </c>
      <c r="AF1249" s="167" t="s">
        <v>3469</v>
      </c>
    </row>
    <row r="1250" spans="16:32" x14ac:dyDescent="0.25">
      <c r="P1250" s="167" t="s">
        <v>739</v>
      </c>
      <c r="Q1250" s="167">
        <v>353</v>
      </c>
      <c r="R1250" s="167" t="s">
        <v>3407</v>
      </c>
      <c r="S1250" s="167" t="s">
        <v>2872</v>
      </c>
      <c r="T1250" s="167">
        <v>2</v>
      </c>
      <c r="U1250" s="167" t="s">
        <v>2873</v>
      </c>
      <c r="V1250" s="167" t="s">
        <v>3409</v>
      </c>
      <c r="AB1250" s="167" t="s">
        <v>1948</v>
      </c>
      <c r="AC1250" s="167">
        <v>353</v>
      </c>
      <c r="AD1250" s="203">
        <v>43180</v>
      </c>
      <c r="AE1250" s="203">
        <v>0</v>
      </c>
      <c r="AF1250" s="167" t="s">
        <v>3469</v>
      </c>
    </row>
    <row r="1251" spans="16:32" x14ac:dyDescent="0.25">
      <c r="P1251" s="167" t="s">
        <v>739</v>
      </c>
      <c r="Q1251" s="167">
        <v>353</v>
      </c>
      <c r="R1251" s="167" t="s">
        <v>3407</v>
      </c>
      <c r="S1251" s="167" t="s">
        <v>2872</v>
      </c>
      <c r="T1251" s="167">
        <v>2</v>
      </c>
      <c r="U1251" s="167" t="s">
        <v>2873</v>
      </c>
      <c r="V1251" s="167" t="s">
        <v>3409</v>
      </c>
      <c r="AB1251" s="167" t="s">
        <v>1948</v>
      </c>
      <c r="AC1251" s="167">
        <v>353</v>
      </c>
      <c r="AD1251" s="203">
        <v>43180</v>
      </c>
      <c r="AE1251" s="203">
        <v>0</v>
      </c>
      <c r="AF1251" s="167" t="s">
        <v>3469</v>
      </c>
    </row>
    <row r="1252" spans="16:32" x14ac:dyDescent="0.25">
      <c r="P1252" s="167" t="s">
        <v>739</v>
      </c>
      <c r="Q1252" s="167">
        <v>353</v>
      </c>
      <c r="R1252" s="167" t="s">
        <v>3407</v>
      </c>
      <c r="S1252" s="167" t="s">
        <v>2872</v>
      </c>
      <c r="T1252" s="167">
        <v>10</v>
      </c>
      <c r="U1252" s="167" t="s">
        <v>2873</v>
      </c>
      <c r="V1252" s="167" t="s">
        <v>3409</v>
      </c>
      <c r="AB1252" s="167" t="s">
        <v>1948</v>
      </c>
      <c r="AC1252" s="167">
        <v>353</v>
      </c>
      <c r="AD1252" s="203">
        <v>43180</v>
      </c>
      <c r="AE1252" s="203">
        <v>0</v>
      </c>
      <c r="AF1252" s="167" t="s">
        <v>3469</v>
      </c>
    </row>
    <row r="1253" spans="16:32" x14ac:dyDescent="0.25">
      <c r="P1253" s="167" t="s">
        <v>739</v>
      </c>
      <c r="Q1253" s="167">
        <v>353</v>
      </c>
      <c r="R1253" s="167" t="s">
        <v>3407</v>
      </c>
      <c r="S1253" s="167" t="s">
        <v>2876</v>
      </c>
      <c r="T1253" s="167">
        <v>6</v>
      </c>
      <c r="U1253" s="167" t="s">
        <v>2877</v>
      </c>
      <c r="V1253" s="167" t="s">
        <v>3409</v>
      </c>
      <c r="AB1253" s="167" t="s">
        <v>1950</v>
      </c>
      <c r="AC1253" s="167">
        <v>347</v>
      </c>
      <c r="AD1253" s="203">
        <v>43118</v>
      </c>
      <c r="AE1253" s="203">
        <v>43133</v>
      </c>
      <c r="AF1253" s="167" t="s">
        <v>3470</v>
      </c>
    </row>
    <row r="1254" spans="16:32" x14ac:dyDescent="0.25">
      <c r="P1254" s="167" t="s">
        <v>739</v>
      </c>
      <c r="Q1254" s="167">
        <v>353</v>
      </c>
      <c r="R1254" s="167" t="s">
        <v>3407</v>
      </c>
      <c r="S1254" s="167" t="s">
        <v>2880</v>
      </c>
      <c r="T1254" s="167">
        <v>3</v>
      </c>
      <c r="U1254" s="167" t="s">
        <v>2881</v>
      </c>
      <c r="V1254" s="167" t="s">
        <v>3409</v>
      </c>
      <c r="AB1254" s="167" t="s">
        <v>1950</v>
      </c>
      <c r="AC1254" s="167">
        <v>340</v>
      </c>
      <c r="AD1254" s="203">
        <v>43133</v>
      </c>
      <c r="AE1254" s="203">
        <v>43168</v>
      </c>
      <c r="AF1254" s="167" t="s">
        <v>3470</v>
      </c>
    </row>
    <row r="1255" spans="16:32" x14ac:dyDescent="0.25">
      <c r="P1255" s="167" t="s">
        <v>739</v>
      </c>
      <c r="Q1255" s="167">
        <v>353</v>
      </c>
      <c r="R1255" s="167" t="s">
        <v>3407</v>
      </c>
      <c r="S1255" s="167" t="s">
        <v>2880</v>
      </c>
      <c r="T1255" s="167">
        <v>8</v>
      </c>
      <c r="U1255" s="167" t="s">
        <v>2881</v>
      </c>
      <c r="V1255" s="167" t="s">
        <v>3409</v>
      </c>
      <c r="AB1255" s="167" t="s">
        <v>1950</v>
      </c>
      <c r="AC1255" s="167">
        <v>364</v>
      </c>
      <c r="AD1255" s="203">
        <v>43168</v>
      </c>
      <c r="AE1255" s="203">
        <v>43179</v>
      </c>
      <c r="AF1255" s="167" t="s">
        <v>3470</v>
      </c>
    </row>
    <row r="1256" spans="16:32" x14ac:dyDescent="0.25">
      <c r="P1256" s="167" t="s">
        <v>739</v>
      </c>
      <c r="Q1256" s="167">
        <v>353</v>
      </c>
      <c r="R1256" s="167" t="s">
        <v>3407</v>
      </c>
      <c r="S1256" s="167" t="s">
        <v>2884</v>
      </c>
      <c r="T1256" s="167">
        <v>1</v>
      </c>
      <c r="U1256" s="167" t="s">
        <v>2885</v>
      </c>
      <c r="V1256" s="167" t="s">
        <v>3409</v>
      </c>
      <c r="AB1256" s="167" t="s">
        <v>1950</v>
      </c>
      <c r="AC1256" s="167">
        <v>353</v>
      </c>
      <c r="AD1256" s="203">
        <v>43180</v>
      </c>
      <c r="AE1256" s="203">
        <v>0</v>
      </c>
      <c r="AF1256" s="167" t="s">
        <v>3469</v>
      </c>
    </row>
    <row r="1257" spans="16:32" x14ac:dyDescent="0.25">
      <c r="P1257" s="167" t="s">
        <v>739</v>
      </c>
      <c r="Q1257" s="167">
        <v>353</v>
      </c>
      <c r="R1257" s="167" t="s">
        <v>3407</v>
      </c>
      <c r="S1257" s="167" t="s">
        <v>2884</v>
      </c>
      <c r="T1257" s="167">
        <v>10</v>
      </c>
      <c r="U1257" s="167" t="s">
        <v>2885</v>
      </c>
      <c r="V1257" s="167" t="s">
        <v>3409</v>
      </c>
      <c r="AB1257" s="167" t="s">
        <v>1951</v>
      </c>
      <c r="AC1257" s="167">
        <v>327</v>
      </c>
      <c r="AD1257" s="203">
        <v>43074</v>
      </c>
      <c r="AE1257" s="203">
        <v>43131</v>
      </c>
      <c r="AF1257" s="167" t="s">
        <v>3470</v>
      </c>
    </row>
    <row r="1258" spans="16:32" x14ac:dyDescent="0.25">
      <c r="P1258" s="167" t="s">
        <v>739</v>
      </c>
      <c r="Q1258" s="167">
        <v>353</v>
      </c>
      <c r="R1258" s="167" t="s">
        <v>3407</v>
      </c>
      <c r="S1258" s="167" t="s">
        <v>2884</v>
      </c>
      <c r="T1258" s="167">
        <v>1</v>
      </c>
      <c r="U1258" s="167" t="s">
        <v>2885</v>
      </c>
      <c r="V1258" s="167" t="s">
        <v>3409</v>
      </c>
      <c r="AB1258" s="167" t="s">
        <v>1951</v>
      </c>
      <c r="AC1258" s="167">
        <v>327</v>
      </c>
      <c r="AD1258" s="203">
        <v>43074</v>
      </c>
      <c r="AE1258" s="203">
        <v>43131</v>
      </c>
      <c r="AF1258" s="167" t="s">
        <v>3470</v>
      </c>
    </row>
    <row r="1259" spans="16:32" x14ac:dyDescent="0.25">
      <c r="P1259" s="167" t="s">
        <v>739</v>
      </c>
      <c r="Q1259" s="167">
        <v>353</v>
      </c>
      <c r="R1259" s="167" t="s">
        <v>3407</v>
      </c>
      <c r="S1259" s="167" t="s">
        <v>1093</v>
      </c>
      <c r="T1259" s="167">
        <v>84</v>
      </c>
      <c r="U1259" s="167" t="s">
        <v>2900</v>
      </c>
      <c r="V1259" s="167" t="s">
        <v>3409</v>
      </c>
      <c r="AB1259" s="167" t="s">
        <v>1951</v>
      </c>
      <c r="AC1259" s="167">
        <v>339</v>
      </c>
      <c r="AD1259" s="203">
        <v>43087</v>
      </c>
      <c r="AE1259" s="203">
        <v>43111</v>
      </c>
      <c r="AF1259" s="167" t="s">
        <v>3470</v>
      </c>
    </row>
    <row r="1260" spans="16:32" x14ac:dyDescent="0.25">
      <c r="P1260" s="167" t="s">
        <v>739</v>
      </c>
      <c r="Q1260" s="167">
        <v>353</v>
      </c>
      <c r="R1260" s="167" t="s">
        <v>3407</v>
      </c>
      <c r="S1260" s="167" t="s">
        <v>2901</v>
      </c>
      <c r="T1260" s="167">
        <v>192</v>
      </c>
      <c r="U1260" s="167" t="s">
        <v>2902</v>
      </c>
      <c r="V1260" s="167" t="s">
        <v>3409</v>
      </c>
      <c r="AB1260" s="167" t="s">
        <v>1951</v>
      </c>
      <c r="AC1260" s="167">
        <v>347</v>
      </c>
      <c r="AD1260" s="203">
        <v>43118</v>
      </c>
      <c r="AE1260" s="203">
        <v>43133</v>
      </c>
      <c r="AF1260" s="167" t="s">
        <v>3470</v>
      </c>
    </row>
    <row r="1261" spans="16:32" x14ac:dyDescent="0.25">
      <c r="P1261" s="167" t="s">
        <v>739</v>
      </c>
      <c r="Q1261" s="167">
        <v>353</v>
      </c>
      <c r="R1261" s="167" t="s">
        <v>3407</v>
      </c>
      <c r="S1261" s="167" t="s">
        <v>2904</v>
      </c>
      <c r="T1261" s="167">
        <v>1</v>
      </c>
      <c r="U1261" s="167" t="s">
        <v>2905</v>
      </c>
      <c r="V1261" s="167" t="s">
        <v>3409</v>
      </c>
      <c r="AB1261" s="167" t="s">
        <v>1951</v>
      </c>
      <c r="AC1261" s="167">
        <v>352</v>
      </c>
      <c r="AD1261" s="203">
        <v>43133</v>
      </c>
      <c r="AE1261" s="203">
        <v>43179</v>
      </c>
      <c r="AF1261" s="167" t="s">
        <v>3470</v>
      </c>
    </row>
    <row r="1262" spans="16:32" x14ac:dyDescent="0.25">
      <c r="P1262" s="167" t="s">
        <v>739</v>
      </c>
      <c r="Q1262" s="167">
        <v>353</v>
      </c>
      <c r="R1262" s="167" t="s">
        <v>3407</v>
      </c>
      <c r="S1262" s="167" t="s">
        <v>2904</v>
      </c>
      <c r="T1262" s="167">
        <v>5</v>
      </c>
      <c r="U1262" s="167" t="s">
        <v>2905</v>
      </c>
      <c r="V1262" s="167" t="s">
        <v>3409</v>
      </c>
      <c r="AB1262" s="167" t="s">
        <v>1951</v>
      </c>
      <c r="AC1262" s="167">
        <v>364</v>
      </c>
      <c r="AD1262" s="203">
        <v>43168</v>
      </c>
      <c r="AE1262" s="203">
        <v>43179</v>
      </c>
      <c r="AF1262" s="167" t="s">
        <v>3470</v>
      </c>
    </row>
    <row r="1263" spans="16:32" x14ac:dyDescent="0.25">
      <c r="P1263" s="167" t="s">
        <v>739</v>
      </c>
      <c r="Q1263" s="167">
        <v>353</v>
      </c>
      <c r="R1263" s="167" t="s">
        <v>3407</v>
      </c>
      <c r="S1263" s="167" t="s">
        <v>1328</v>
      </c>
      <c r="T1263" s="167">
        <v>2</v>
      </c>
      <c r="U1263" s="167" t="s">
        <v>3437</v>
      </c>
      <c r="V1263" s="167" t="s">
        <v>3409</v>
      </c>
      <c r="AB1263" s="167" t="s">
        <v>1951</v>
      </c>
      <c r="AC1263" s="167">
        <v>374</v>
      </c>
      <c r="AD1263" s="203">
        <v>43195</v>
      </c>
      <c r="AE1263" s="203">
        <v>0</v>
      </c>
      <c r="AF1263" s="167" t="s">
        <v>3469</v>
      </c>
    </row>
    <row r="1264" spans="16:32" x14ac:dyDescent="0.25">
      <c r="P1264" s="167" t="s">
        <v>739</v>
      </c>
      <c r="Q1264" s="167">
        <v>353</v>
      </c>
      <c r="R1264" s="167" t="s">
        <v>3407</v>
      </c>
      <c r="S1264" s="167" t="s">
        <v>3372</v>
      </c>
      <c r="T1264" s="167">
        <v>1</v>
      </c>
      <c r="U1264" s="167" t="s">
        <v>3438</v>
      </c>
      <c r="V1264" s="167" t="s">
        <v>3409</v>
      </c>
      <c r="AB1264" s="167" t="s">
        <v>1952</v>
      </c>
      <c r="AC1264" s="167">
        <v>323</v>
      </c>
      <c r="AD1264" s="203">
        <v>43074</v>
      </c>
      <c r="AE1264" s="203">
        <v>43111</v>
      </c>
      <c r="AF1264" s="167" t="s">
        <v>3470</v>
      </c>
    </row>
    <row r="1265" spans="16:32" x14ac:dyDescent="0.25">
      <c r="P1265" s="167" t="s">
        <v>739</v>
      </c>
      <c r="Q1265" s="167">
        <v>353</v>
      </c>
      <c r="R1265" s="167" t="s">
        <v>3407</v>
      </c>
      <c r="S1265" s="167" t="s">
        <v>2911</v>
      </c>
      <c r="T1265" s="167">
        <v>3</v>
      </c>
      <c r="U1265" s="167" t="s">
        <v>2912</v>
      </c>
      <c r="V1265" s="167" t="s">
        <v>3409</v>
      </c>
      <c r="AB1265" s="167" t="s">
        <v>1952</v>
      </c>
      <c r="AC1265" s="167">
        <v>327</v>
      </c>
      <c r="AD1265" s="203">
        <v>43074</v>
      </c>
      <c r="AE1265" s="203">
        <v>43131</v>
      </c>
      <c r="AF1265" s="167" t="s">
        <v>3470</v>
      </c>
    </row>
    <row r="1266" spans="16:32" x14ac:dyDescent="0.25">
      <c r="P1266" s="167" t="s">
        <v>739</v>
      </c>
      <c r="Q1266" s="167">
        <v>353</v>
      </c>
      <c r="R1266" s="167" t="s">
        <v>3407</v>
      </c>
      <c r="S1266" s="167" t="s">
        <v>2913</v>
      </c>
      <c r="T1266" s="167">
        <v>7</v>
      </c>
      <c r="U1266" s="167" t="s">
        <v>2914</v>
      </c>
      <c r="V1266" s="167" t="s">
        <v>3409</v>
      </c>
      <c r="AB1266" s="167" t="s">
        <v>1952</v>
      </c>
      <c r="AC1266" s="167">
        <v>347</v>
      </c>
      <c r="AD1266" s="203">
        <v>43118</v>
      </c>
      <c r="AE1266" s="203">
        <v>43133</v>
      </c>
      <c r="AF1266" s="167" t="s">
        <v>3470</v>
      </c>
    </row>
    <row r="1267" spans="16:32" x14ac:dyDescent="0.25">
      <c r="P1267" s="167" t="s">
        <v>739</v>
      </c>
      <c r="Q1267" s="167">
        <v>353</v>
      </c>
      <c r="R1267" s="167" t="s">
        <v>3407</v>
      </c>
      <c r="S1267" s="167" t="s">
        <v>2913</v>
      </c>
      <c r="T1267" s="167">
        <v>2</v>
      </c>
      <c r="U1267" s="167" t="s">
        <v>2914</v>
      </c>
      <c r="V1267" s="167" t="s">
        <v>3409</v>
      </c>
      <c r="AB1267" s="167" t="s">
        <v>1952</v>
      </c>
      <c r="AC1267" s="167">
        <v>364</v>
      </c>
      <c r="AD1267" s="203">
        <v>43168</v>
      </c>
      <c r="AE1267" s="203">
        <v>43179</v>
      </c>
      <c r="AF1267" s="167" t="s">
        <v>3470</v>
      </c>
    </row>
    <row r="1268" spans="16:32" x14ac:dyDescent="0.25">
      <c r="P1268" s="167" t="s">
        <v>739</v>
      </c>
      <c r="Q1268" s="167">
        <v>353</v>
      </c>
      <c r="R1268" s="167" t="s">
        <v>3407</v>
      </c>
      <c r="S1268" s="167" t="s">
        <v>2915</v>
      </c>
      <c r="T1268" s="167">
        <v>10</v>
      </c>
      <c r="U1268" s="167" t="s">
        <v>2916</v>
      </c>
      <c r="V1268" s="167" t="s">
        <v>3409</v>
      </c>
      <c r="AB1268" s="167" t="s">
        <v>1952</v>
      </c>
      <c r="AC1268" s="167">
        <v>374</v>
      </c>
      <c r="AD1268" s="203">
        <v>43195</v>
      </c>
      <c r="AE1268" s="203">
        <v>0</v>
      </c>
      <c r="AF1268" s="167" t="s">
        <v>3469</v>
      </c>
    </row>
    <row r="1269" spans="16:32" x14ac:dyDescent="0.25">
      <c r="P1269" s="167" t="s">
        <v>739</v>
      </c>
      <c r="Q1269" s="167">
        <v>353</v>
      </c>
      <c r="R1269" s="167" t="s">
        <v>3407</v>
      </c>
      <c r="S1269" s="167" t="s">
        <v>2915</v>
      </c>
      <c r="T1269" s="167">
        <v>3</v>
      </c>
      <c r="U1269" s="167" t="s">
        <v>2916</v>
      </c>
      <c r="V1269" s="167" t="s">
        <v>3409</v>
      </c>
      <c r="AB1269" s="167" t="s">
        <v>3479</v>
      </c>
      <c r="AC1269" s="167">
        <v>327</v>
      </c>
      <c r="AD1269" s="203">
        <v>43074</v>
      </c>
      <c r="AE1269" s="203">
        <v>43131</v>
      </c>
      <c r="AF1269" s="167" t="s">
        <v>3470</v>
      </c>
    </row>
    <row r="1270" spans="16:32" x14ac:dyDescent="0.25">
      <c r="P1270" s="167" t="s">
        <v>739</v>
      </c>
      <c r="Q1270" s="167">
        <v>353</v>
      </c>
      <c r="R1270" s="167" t="s">
        <v>3407</v>
      </c>
      <c r="S1270" s="167" t="s">
        <v>2915</v>
      </c>
      <c r="T1270" s="167">
        <v>8</v>
      </c>
      <c r="U1270" s="167" t="s">
        <v>2916</v>
      </c>
      <c r="V1270" s="167" t="s">
        <v>3409</v>
      </c>
      <c r="AB1270" s="167" t="s">
        <v>3479</v>
      </c>
      <c r="AC1270" s="167">
        <v>347</v>
      </c>
      <c r="AD1270" s="203">
        <v>43118</v>
      </c>
      <c r="AE1270" s="203">
        <v>43133</v>
      </c>
      <c r="AF1270" s="167" t="s">
        <v>3470</v>
      </c>
    </row>
    <row r="1271" spans="16:32" x14ac:dyDescent="0.25">
      <c r="P1271" s="167" t="s">
        <v>739</v>
      </c>
      <c r="Q1271" s="167">
        <v>353</v>
      </c>
      <c r="R1271" s="167" t="s">
        <v>3407</v>
      </c>
      <c r="S1271" s="167" t="s">
        <v>3374</v>
      </c>
      <c r="T1271" s="167">
        <v>24</v>
      </c>
      <c r="U1271" s="167" t="s">
        <v>3439</v>
      </c>
      <c r="V1271" s="167" t="s">
        <v>3409</v>
      </c>
      <c r="AB1271" s="167" t="s">
        <v>3479</v>
      </c>
      <c r="AC1271" s="167">
        <v>340</v>
      </c>
      <c r="AD1271" s="203">
        <v>43133</v>
      </c>
      <c r="AE1271" s="203">
        <v>43168</v>
      </c>
      <c r="AF1271" s="167" t="s">
        <v>3470</v>
      </c>
    </row>
    <row r="1272" spans="16:32" x14ac:dyDescent="0.25">
      <c r="P1272" s="167" t="s">
        <v>739</v>
      </c>
      <c r="Q1272" s="167">
        <v>353</v>
      </c>
      <c r="R1272" s="167" t="s">
        <v>3407</v>
      </c>
      <c r="S1272" s="167" t="s">
        <v>2918</v>
      </c>
      <c r="T1272" s="167">
        <v>5</v>
      </c>
      <c r="U1272" s="167" t="s">
        <v>2919</v>
      </c>
      <c r="V1272" s="167" t="s">
        <v>3409</v>
      </c>
      <c r="AB1272" s="167" t="s">
        <v>3479</v>
      </c>
      <c r="AC1272" s="167">
        <v>364</v>
      </c>
      <c r="AD1272" s="203">
        <v>43168</v>
      </c>
      <c r="AE1272" s="203">
        <v>43179</v>
      </c>
      <c r="AF1272" s="167" t="s">
        <v>3470</v>
      </c>
    </row>
    <row r="1273" spans="16:32" x14ac:dyDescent="0.25">
      <c r="P1273" s="167" t="s">
        <v>739</v>
      </c>
      <c r="Q1273" s="167">
        <v>353</v>
      </c>
      <c r="R1273" s="167" t="s">
        <v>3407</v>
      </c>
      <c r="S1273" s="167" t="s">
        <v>2925</v>
      </c>
      <c r="T1273" s="167">
        <v>2</v>
      </c>
      <c r="U1273" s="167" t="s">
        <v>2926</v>
      </c>
      <c r="V1273" s="167" t="s">
        <v>3409</v>
      </c>
      <c r="AB1273" s="167" t="s">
        <v>1954</v>
      </c>
      <c r="AC1273" s="167">
        <v>347</v>
      </c>
      <c r="AD1273" s="203">
        <v>43118</v>
      </c>
      <c r="AE1273" s="203">
        <v>43133</v>
      </c>
      <c r="AF1273" s="167" t="s">
        <v>3470</v>
      </c>
    </row>
    <row r="1274" spans="16:32" x14ac:dyDescent="0.25">
      <c r="P1274" s="167" t="s">
        <v>739</v>
      </c>
      <c r="Q1274" s="167">
        <v>353</v>
      </c>
      <c r="R1274" s="167" t="s">
        <v>3407</v>
      </c>
      <c r="S1274" s="167" t="s">
        <v>2925</v>
      </c>
      <c r="T1274" s="167">
        <v>3</v>
      </c>
      <c r="U1274" s="167" t="s">
        <v>2926</v>
      </c>
      <c r="V1274" s="167" t="s">
        <v>3409</v>
      </c>
      <c r="AB1274" s="167" t="s">
        <v>1954</v>
      </c>
      <c r="AC1274" s="167">
        <v>340</v>
      </c>
      <c r="AD1274" s="203">
        <v>43133</v>
      </c>
      <c r="AE1274" s="203">
        <v>43168</v>
      </c>
      <c r="AF1274" s="167" t="s">
        <v>3470</v>
      </c>
    </row>
    <row r="1275" spans="16:32" x14ac:dyDescent="0.25">
      <c r="P1275" s="167" t="s">
        <v>739</v>
      </c>
      <c r="Q1275" s="167">
        <v>353</v>
      </c>
      <c r="R1275" s="167" t="s">
        <v>3407</v>
      </c>
      <c r="S1275" s="167" t="s">
        <v>2929</v>
      </c>
      <c r="T1275" s="167">
        <v>15</v>
      </c>
      <c r="U1275" s="167" t="s">
        <v>2930</v>
      </c>
      <c r="V1275" s="167" t="s">
        <v>3409</v>
      </c>
      <c r="AB1275" s="167" t="s">
        <v>1954</v>
      </c>
      <c r="AC1275" s="167">
        <v>340</v>
      </c>
      <c r="AD1275" s="203">
        <v>43133</v>
      </c>
      <c r="AE1275" s="203">
        <v>43168</v>
      </c>
      <c r="AF1275" s="167" t="s">
        <v>3470</v>
      </c>
    </row>
    <row r="1276" spans="16:32" x14ac:dyDescent="0.25">
      <c r="P1276" s="167" t="s">
        <v>739</v>
      </c>
      <c r="Q1276" s="167">
        <v>353</v>
      </c>
      <c r="R1276" s="167" t="s">
        <v>3407</v>
      </c>
      <c r="S1276" s="167" t="s">
        <v>2929</v>
      </c>
      <c r="T1276" s="167">
        <v>2</v>
      </c>
      <c r="U1276" s="167" t="s">
        <v>2930</v>
      </c>
      <c r="V1276" s="167" t="s">
        <v>3409</v>
      </c>
      <c r="AB1276" s="167" t="s">
        <v>1954</v>
      </c>
      <c r="AC1276" s="167">
        <v>364</v>
      </c>
      <c r="AD1276" s="203">
        <v>43168</v>
      </c>
      <c r="AE1276" s="203">
        <v>43179</v>
      </c>
      <c r="AF1276" s="167" t="s">
        <v>3470</v>
      </c>
    </row>
    <row r="1277" spans="16:32" x14ac:dyDescent="0.25">
      <c r="P1277" s="167" t="s">
        <v>739</v>
      </c>
      <c r="Q1277" s="167">
        <v>353</v>
      </c>
      <c r="R1277" s="167" t="s">
        <v>3407</v>
      </c>
      <c r="S1277" s="167" t="s">
        <v>2929</v>
      </c>
      <c r="T1277" s="167">
        <v>17</v>
      </c>
      <c r="U1277" s="167" t="s">
        <v>2930</v>
      </c>
      <c r="V1277" s="167" t="s">
        <v>3409</v>
      </c>
      <c r="AB1277" s="167" t="s">
        <v>1954</v>
      </c>
      <c r="AC1277" s="167">
        <v>353</v>
      </c>
      <c r="AD1277" s="203">
        <v>43180</v>
      </c>
      <c r="AE1277" s="203">
        <v>0</v>
      </c>
      <c r="AF1277" s="167" t="s">
        <v>3469</v>
      </c>
    </row>
    <row r="1278" spans="16:32" x14ac:dyDescent="0.25">
      <c r="P1278" s="167" t="s">
        <v>739</v>
      </c>
      <c r="Q1278" s="167">
        <v>353</v>
      </c>
      <c r="R1278" s="167" t="s">
        <v>3407</v>
      </c>
      <c r="S1278" s="167" t="s">
        <v>2931</v>
      </c>
      <c r="T1278" s="167">
        <v>3</v>
      </c>
      <c r="U1278" s="167" t="s">
        <v>2932</v>
      </c>
      <c r="V1278" s="167" t="s">
        <v>3409</v>
      </c>
      <c r="AB1278" s="167" t="s">
        <v>1955</v>
      </c>
      <c r="AC1278" s="167">
        <v>323</v>
      </c>
      <c r="AD1278" s="203">
        <v>43074</v>
      </c>
      <c r="AE1278" s="203">
        <v>43111</v>
      </c>
      <c r="AF1278" s="167" t="s">
        <v>3470</v>
      </c>
    </row>
    <row r="1279" spans="16:32" x14ac:dyDescent="0.25">
      <c r="P1279" s="167" t="s">
        <v>739</v>
      </c>
      <c r="Q1279" s="167">
        <v>353</v>
      </c>
      <c r="R1279" s="167" t="s">
        <v>3407</v>
      </c>
      <c r="S1279" s="167" t="s">
        <v>2933</v>
      </c>
      <c r="T1279" s="167">
        <v>5</v>
      </c>
      <c r="U1279" s="167" t="s">
        <v>2934</v>
      </c>
      <c r="V1279" s="167" t="s">
        <v>3409</v>
      </c>
      <c r="AB1279" s="167" t="s">
        <v>1955</v>
      </c>
      <c r="AC1279" s="167">
        <v>327</v>
      </c>
      <c r="AD1279" s="203">
        <v>43074</v>
      </c>
      <c r="AE1279" s="203">
        <v>43131</v>
      </c>
      <c r="AF1279" s="167" t="s">
        <v>3470</v>
      </c>
    </row>
    <row r="1280" spans="16:32" x14ac:dyDescent="0.25">
      <c r="P1280" s="167" t="s">
        <v>739</v>
      </c>
      <c r="Q1280" s="167">
        <v>353</v>
      </c>
      <c r="R1280" s="167" t="s">
        <v>3407</v>
      </c>
      <c r="S1280" s="167" t="s">
        <v>2935</v>
      </c>
      <c r="T1280" s="167">
        <v>5</v>
      </c>
      <c r="U1280" s="167" t="s">
        <v>2936</v>
      </c>
      <c r="V1280" s="167" t="s">
        <v>3409</v>
      </c>
      <c r="AB1280" s="167" t="s">
        <v>1955</v>
      </c>
      <c r="AC1280" s="167">
        <v>347</v>
      </c>
      <c r="AD1280" s="203">
        <v>43118</v>
      </c>
      <c r="AE1280" s="203">
        <v>43133</v>
      </c>
      <c r="AF1280" s="167" t="s">
        <v>3470</v>
      </c>
    </row>
    <row r="1281" spans="16:32" x14ac:dyDescent="0.25">
      <c r="P1281" s="167" t="s">
        <v>739</v>
      </c>
      <c r="Q1281" s="167">
        <v>353</v>
      </c>
      <c r="R1281" s="167" t="s">
        <v>3407</v>
      </c>
      <c r="S1281" s="167" t="s">
        <v>2935</v>
      </c>
      <c r="T1281" s="167">
        <v>3</v>
      </c>
      <c r="U1281" s="167" t="s">
        <v>2936</v>
      </c>
      <c r="V1281" s="167" t="s">
        <v>3409</v>
      </c>
      <c r="AB1281" s="167" t="s">
        <v>1956</v>
      </c>
      <c r="AC1281" s="167">
        <v>323</v>
      </c>
      <c r="AD1281" s="203">
        <v>43074</v>
      </c>
      <c r="AE1281" s="203">
        <v>43111</v>
      </c>
      <c r="AF1281" s="167" t="s">
        <v>3470</v>
      </c>
    </row>
    <row r="1282" spans="16:32" x14ac:dyDescent="0.25">
      <c r="P1282" s="167" t="s">
        <v>739</v>
      </c>
      <c r="Q1282" s="167">
        <v>353</v>
      </c>
      <c r="R1282" s="167" t="s">
        <v>3407</v>
      </c>
      <c r="S1282" s="167" t="s">
        <v>2937</v>
      </c>
      <c r="T1282" s="167">
        <v>1</v>
      </c>
      <c r="U1282" s="167" t="s">
        <v>2938</v>
      </c>
      <c r="V1282" s="167" t="s">
        <v>3409</v>
      </c>
      <c r="AB1282" s="167" t="s">
        <v>1958</v>
      </c>
      <c r="AC1282" s="167">
        <v>323</v>
      </c>
      <c r="AD1282" s="203">
        <v>43074</v>
      </c>
      <c r="AE1282" s="203">
        <v>43111</v>
      </c>
      <c r="AF1282" s="167" t="s">
        <v>3470</v>
      </c>
    </row>
    <row r="1283" spans="16:32" x14ac:dyDescent="0.25">
      <c r="P1283" s="167" t="s">
        <v>739</v>
      </c>
      <c r="Q1283" s="167">
        <v>353</v>
      </c>
      <c r="R1283" s="167" t="s">
        <v>3407</v>
      </c>
      <c r="S1283" s="167" t="s">
        <v>2937</v>
      </c>
      <c r="T1283" s="167">
        <v>2</v>
      </c>
      <c r="U1283" s="167" t="s">
        <v>2938</v>
      </c>
      <c r="V1283" s="167" t="s">
        <v>3409</v>
      </c>
      <c r="AB1283" s="167" t="s">
        <v>1958</v>
      </c>
      <c r="AC1283" s="167">
        <v>327</v>
      </c>
      <c r="AD1283" s="203">
        <v>43074</v>
      </c>
      <c r="AE1283" s="203">
        <v>43131</v>
      </c>
      <c r="AF1283" s="167" t="s">
        <v>3470</v>
      </c>
    </row>
    <row r="1284" spans="16:32" x14ac:dyDescent="0.25">
      <c r="P1284" s="167" t="s">
        <v>739</v>
      </c>
      <c r="Q1284" s="167">
        <v>353</v>
      </c>
      <c r="R1284" s="167" t="s">
        <v>3407</v>
      </c>
      <c r="S1284" s="167" t="s">
        <v>2937</v>
      </c>
      <c r="T1284" s="167">
        <v>2</v>
      </c>
      <c r="U1284" s="167" t="s">
        <v>2938</v>
      </c>
      <c r="V1284" s="167" t="s">
        <v>3409</v>
      </c>
      <c r="AB1284" s="167" t="s">
        <v>1958</v>
      </c>
      <c r="AC1284" s="167">
        <v>335</v>
      </c>
      <c r="AD1284" s="203">
        <v>43133</v>
      </c>
      <c r="AE1284" s="203">
        <v>43147</v>
      </c>
      <c r="AF1284" s="167" t="s">
        <v>3470</v>
      </c>
    </row>
    <row r="1285" spans="16:32" x14ac:dyDescent="0.25">
      <c r="P1285" s="167" t="s">
        <v>739</v>
      </c>
      <c r="Q1285" s="167">
        <v>353</v>
      </c>
      <c r="R1285" s="167" t="s">
        <v>3407</v>
      </c>
      <c r="S1285" s="167" t="s">
        <v>2941</v>
      </c>
      <c r="T1285" s="167">
        <v>5</v>
      </c>
      <c r="U1285" s="167" t="s">
        <v>2942</v>
      </c>
      <c r="V1285" s="167" t="s">
        <v>3409</v>
      </c>
      <c r="AB1285" s="167" t="s">
        <v>1958</v>
      </c>
      <c r="AC1285" s="167">
        <v>353</v>
      </c>
      <c r="AD1285" s="203">
        <v>43180</v>
      </c>
      <c r="AE1285" s="203">
        <v>0</v>
      </c>
      <c r="AF1285" s="167" t="s">
        <v>3469</v>
      </c>
    </row>
    <row r="1286" spans="16:32" x14ac:dyDescent="0.25">
      <c r="P1286" s="167" t="s">
        <v>739</v>
      </c>
      <c r="Q1286" s="167">
        <v>353</v>
      </c>
      <c r="R1286" s="167" t="s">
        <v>3407</v>
      </c>
      <c r="S1286" s="167" t="s">
        <v>2943</v>
      </c>
      <c r="T1286" s="167">
        <v>2</v>
      </c>
      <c r="U1286" s="167" t="s">
        <v>2944</v>
      </c>
      <c r="V1286" s="167" t="s">
        <v>3409</v>
      </c>
      <c r="AB1286" s="167" t="s">
        <v>1959</v>
      </c>
      <c r="AC1286" s="167">
        <v>323</v>
      </c>
      <c r="AD1286" s="203">
        <v>43074</v>
      </c>
      <c r="AE1286" s="203">
        <v>43111</v>
      </c>
      <c r="AF1286" s="167" t="s">
        <v>3470</v>
      </c>
    </row>
    <row r="1287" spans="16:32" x14ac:dyDescent="0.25">
      <c r="P1287" s="167" t="s">
        <v>739</v>
      </c>
      <c r="Q1287" s="167">
        <v>353</v>
      </c>
      <c r="R1287" s="167" t="s">
        <v>3407</v>
      </c>
      <c r="S1287" s="167" t="s">
        <v>2943</v>
      </c>
      <c r="T1287" s="167">
        <v>1</v>
      </c>
      <c r="U1287" s="167" t="s">
        <v>2944</v>
      </c>
      <c r="V1287" s="167" t="s">
        <v>3409</v>
      </c>
      <c r="AB1287" s="167" t="s">
        <v>1959</v>
      </c>
      <c r="AC1287" s="167">
        <v>347</v>
      </c>
      <c r="AD1287" s="203">
        <v>43118</v>
      </c>
      <c r="AE1287" s="203">
        <v>43133</v>
      </c>
      <c r="AF1287" s="167" t="s">
        <v>3470</v>
      </c>
    </row>
    <row r="1288" spans="16:32" x14ac:dyDescent="0.25">
      <c r="P1288" s="167" t="s">
        <v>739</v>
      </c>
      <c r="Q1288" s="167">
        <v>353</v>
      </c>
      <c r="R1288" s="167" t="s">
        <v>3407</v>
      </c>
      <c r="S1288" s="167" t="s">
        <v>2943</v>
      </c>
      <c r="T1288" s="167">
        <v>3</v>
      </c>
      <c r="U1288" s="167" t="s">
        <v>2944</v>
      </c>
      <c r="V1288" s="167" t="s">
        <v>3409</v>
      </c>
      <c r="AB1288" s="167" t="s">
        <v>1959</v>
      </c>
      <c r="AC1288" s="167">
        <v>340</v>
      </c>
      <c r="AD1288" s="203">
        <v>43133</v>
      </c>
      <c r="AE1288" s="203">
        <v>43168</v>
      </c>
      <c r="AF1288" s="167" t="s">
        <v>3470</v>
      </c>
    </row>
    <row r="1289" spans="16:32" x14ac:dyDescent="0.25">
      <c r="P1289" s="167" t="s">
        <v>739</v>
      </c>
      <c r="Q1289" s="167">
        <v>353</v>
      </c>
      <c r="R1289" s="167" t="s">
        <v>3407</v>
      </c>
      <c r="S1289" s="167" t="s">
        <v>2943</v>
      </c>
      <c r="T1289" s="167">
        <v>1</v>
      </c>
      <c r="U1289" s="167" t="s">
        <v>2944</v>
      </c>
      <c r="V1289" s="167" t="s">
        <v>3409</v>
      </c>
      <c r="AB1289" s="167" t="s">
        <v>1959</v>
      </c>
      <c r="AC1289" s="167">
        <v>340</v>
      </c>
      <c r="AD1289" s="203">
        <v>43133</v>
      </c>
      <c r="AE1289" s="203">
        <v>43168</v>
      </c>
      <c r="AF1289" s="167" t="s">
        <v>3470</v>
      </c>
    </row>
    <row r="1290" spans="16:32" x14ac:dyDescent="0.25">
      <c r="P1290" s="167" t="s">
        <v>739</v>
      </c>
      <c r="Q1290" s="167">
        <v>353</v>
      </c>
      <c r="R1290" s="167" t="s">
        <v>3407</v>
      </c>
      <c r="S1290" s="167" t="s">
        <v>2945</v>
      </c>
      <c r="T1290" s="167">
        <v>5</v>
      </c>
      <c r="U1290" s="167" t="s">
        <v>2946</v>
      </c>
      <c r="V1290" s="167" t="s">
        <v>3409</v>
      </c>
      <c r="AB1290" s="167" t="s">
        <v>1961</v>
      </c>
      <c r="AC1290" s="167">
        <v>347</v>
      </c>
      <c r="AD1290" s="203">
        <v>43118</v>
      </c>
      <c r="AE1290" s="203">
        <v>43133</v>
      </c>
      <c r="AF1290" s="167" t="s">
        <v>3470</v>
      </c>
    </row>
    <row r="1291" spans="16:32" x14ac:dyDescent="0.25">
      <c r="P1291" s="167" t="s">
        <v>739</v>
      </c>
      <c r="Q1291" s="167">
        <v>353</v>
      </c>
      <c r="R1291" s="167" t="s">
        <v>3407</v>
      </c>
      <c r="S1291" s="167" t="s">
        <v>2945</v>
      </c>
      <c r="T1291" s="167">
        <v>3</v>
      </c>
      <c r="U1291" s="167" t="s">
        <v>2946</v>
      </c>
      <c r="V1291" s="167" t="s">
        <v>3409</v>
      </c>
      <c r="AB1291" s="167" t="s">
        <v>1961</v>
      </c>
      <c r="AC1291" s="167">
        <v>340</v>
      </c>
      <c r="AD1291" s="203">
        <v>43133</v>
      </c>
      <c r="AE1291" s="203">
        <v>43168</v>
      </c>
      <c r="AF1291" s="167" t="s">
        <v>3470</v>
      </c>
    </row>
    <row r="1292" spans="16:32" x14ac:dyDescent="0.25">
      <c r="P1292" s="167" t="s">
        <v>739</v>
      </c>
      <c r="Q1292" s="167">
        <v>353</v>
      </c>
      <c r="R1292" s="167" t="s">
        <v>3407</v>
      </c>
      <c r="S1292" s="167" t="s">
        <v>2947</v>
      </c>
      <c r="T1292" s="167">
        <v>5</v>
      </c>
      <c r="U1292" s="167" t="s">
        <v>2948</v>
      </c>
      <c r="V1292" s="167" t="s">
        <v>3409</v>
      </c>
      <c r="AB1292" s="167" t="s">
        <v>1961</v>
      </c>
      <c r="AC1292" s="167">
        <v>364</v>
      </c>
      <c r="AD1292" s="203">
        <v>43168</v>
      </c>
      <c r="AE1292" s="203">
        <v>43179</v>
      </c>
      <c r="AF1292" s="167" t="s">
        <v>3470</v>
      </c>
    </row>
    <row r="1293" spans="16:32" x14ac:dyDescent="0.25">
      <c r="P1293" s="167" t="s">
        <v>739</v>
      </c>
      <c r="Q1293" s="167">
        <v>353</v>
      </c>
      <c r="R1293" s="167" t="s">
        <v>3407</v>
      </c>
      <c r="S1293" s="167" t="s">
        <v>2947</v>
      </c>
      <c r="T1293" s="167">
        <v>4</v>
      </c>
      <c r="U1293" s="167" t="s">
        <v>2948</v>
      </c>
      <c r="V1293" s="167" t="s">
        <v>3409</v>
      </c>
      <c r="AB1293" s="167" t="s">
        <v>1961</v>
      </c>
      <c r="AC1293" s="167">
        <v>353</v>
      </c>
      <c r="AD1293" s="203">
        <v>43180</v>
      </c>
      <c r="AE1293" s="203">
        <v>0</v>
      </c>
      <c r="AF1293" s="167" t="s">
        <v>3469</v>
      </c>
    </row>
    <row r="1294" spans="16:32" x14ac:dyDescent="0.25">
      <c r="P1294" s="167" t="s">
        <v>739</v>
      </c>
      <c r="Q1294" s="167">
        <v>353</v>
      </c>
      <c r="R1294" s="167" t="s">
        <v>3407</v>
      </c>
      <c r="S1294" s="167" t="s">
        <v>2947</v>
      </c>
      <c r="T1294" s="167">
        <v>5</v>
      </c>
      <c r="U1294" s="167" t="s">
        <v>2948</v>
      </c>
      <c r="V1294" s="167" t="s">
        <v>3409</v>
      </c>
      <c r="AB1294" s="167" t="s">
        <v>1963</v>
      </c>
      <c r="AC1294" s="167">
        <v>323</v>
      </c>
      <c r="AD1294" s="203">
        <v>43074</v>
      </c>
      <c r="AE1294" s="203">
        <v>43111</v>
      </c>
      <c r="AF1294" s="167" t="s">
        <v>3470</v>
      </c>
    </row>
    <row r="1295" spans="16:32" x14ac:dyDescent="0.25">
      <c r="P1295" s="167" t="s">
        <v>739</v>
      </c>
      <c r="Q1295" s="167">
        <v>353</v>
      </c>
      <c r="R1295" s="167" t="s">
        <v>3407</v>
      </c>
      <c r="S1295" s="167" t="s">
        <v>2951</v>
      </c>
      <c r="T1295" s="167">
        <v>10</v>
      </c>
      <c r="U1295" s="167" t="s">
        <v>2952</v>
      </c>
      <c r="V1295" s="167" t="s">
        <v>3409</v>
      </c>
      <c r="AB1295" s="167" t="s">
        <v>1963</v>
      </c>
      <c r="AC1295" s="167">
        <v>327</v>
      </c>
      <c r="AD1295" s="203">
        <v>43074</v>
      </c>
      <c r="AE1295" s="203">
        <v>43131</v>
      </c>
      <c r="AF1295" s="167" t="s">
        <v>3470</v>
      </c>
    </row>
    <row r="1296" spans="16:32" x14ac:dyDescent="0.25">
      <c r="P1296" s="167" t="s">
        <v>739</v>
      </c>
      <c r="Q1296" s="167">
        <v>353</v>
      </c>
      <c r="R1296" s="167" t="s">
        <v>3407</v>
      </c>
      <c r="S1296" s="167" t="s">
        <v>2953</v>
      </c>
      <c r="T1296" s="167">
        <v>3</v>
      </c>
      <c r="U1296" s="167" t="s">
        <v>2954</v>
      </c>
      <c r="V1296" s="167" t="s">
        <v>3409</v>
      </c>
      <c r="AB1296" s="167" t="s">
        <v>1963</v>
      </c>
      <c r="AC1296" s="167">
        <v>347</v>
      </c>
      <c r="AD1296" s="203">
        <v>43118</v>
      </c>
      <c r="AE1296" s="203">
        <v>43133</v>
      </c>
      <c r="AF1296" s="167" t="s">
        <v>3470</v>
      </c>
    </row>
    <row r="1297" spans="16:32" x14ac:dyDescent="0.25">
      <c r="P1297" s="167" t="s">
        <v>739</v>
      </c>
      <c r="Q1297" s="167">
        <v>353</v>
      </c>
      <c r="R1297" s="167" t="s">
        <v>3407</v>
      </c>
      <c r="S1297" s="167" t="s">
        <v>2955</v>
      </c>
      <c r="T1297" s="167">
        <v>1</v>
      </c>
      <c r="U1297" s="167" t="s">
        <v>2956</v>
      </c>
      <c r="V1297" s="167" t="s">
        <v>3409</v>
      </c>
      <c r="AB1297" s="167" t="s">
        <v>1963</v>
      </c>
      <c r="AC1297" s="167">
        <v>340</v>
      </c>
      <c r="AD1297" s="203">
        <v>43133</v>
      </c>
      <c r="AE1297" s="203">
        <v>43168</v>
      </c>
      <c r="AF1297" s="167" t="s">
        <v>3470</v>
      </c>
    </row>
    <row r="1298" spans="16:32" x14ac:dyDescent="0.25">
      <c r="P1298" s="167" t="s">
        <v>739</v>
      </c>
      <c r="Q1298" s="167">
        <v>353</v>
      </c>
      <c r="R1298" s="167" t="s">
        <v>3407</v>
      </c>
      <c r="S1298" s="167" t="s">
        <v>2955</v>
      </c>
      <c r="T1298" s="167">
        <v>5</v>
      </c>
      <c r="U1298" s="167" t="s">
        <v>2956</v>
      </c>
      <c r="V1298" s="167" t="s">
        <v>3409</v>
      </c>
      <c r="AB1298" s="167" t="s">
        <v>1963</v>
      </c>
      <c r="AC1298" s="167">
        <v>340</v>
      </c>
      <c r="AD1298" s="203">
        <v>43133</v>
      </c>
      <c r="AE1298" s="203">
        <v>43168</v>
      </c>
      <c r="AF1298" s="167" t="s">
        <v>3470</v>
      </c>
    </row>
    <row r="1299" spans="16:32" x14ac:dyDescent="0.25">
      <c r="P1299" s="167" t="s">
        <v>739</v>
      </c>
      <c r="Q1299" s="167">
        <v>353</v>
      </c>
      <c r="R1299" s="167" t="s">
        <v>3407</v>
      </c>
      <c r="S1299" s="167" t="s">
        <v>2957</v>
      </c>
      <c r="T1299" s="167">
        <v>4</v>
      </c>
      <c r="U1299" s="167" t="s">
        <v>2958</v>
      </c>
      <c r="V1299" s="167" t="s">
        <v>3409</v>
      </c>
      <c r="AB1299" s="167" t="s">
        <v>1963</v>
      </c>
      <c r="AC1299" s="167">
        <v>357</v>
      </c>
      <c r="AD1299" s="203">
        <v>43139</v>
      </c>
      <c r="AE1299" s="203">
        <v>43164</v>
      </c>
      <c r="AF1299" s="167" t="s">
        <v>3470</v>
      </c>
    </row>
    <row r="1300" spans="16:32" x14ac:dyDescent="0.25">
      <c r="P1300" s="167" t="s">
        <v>739</v>
      </c>
      <c r="Q1300" s="167">
        <v>353</v>
      </c>
      <c r="R1300" s="167" t="s">
        <v>3407</v>
      </c>
      <c r="S1300" s="167" t="s">
        <v>2957</v>
      </c>
      <c r="T1300" s="167">
        <v>4</v>
      </c>
      <c r="U1300" s="167" t="s">
        <v>2958</v>
      </c>
      <c r="V1300" s="167" t="s">
        <v>3409</v>
      </c>
      <c r="AB1300" s="167" t="s">
        <v>1963</v>
      </c>
      <c r="AC1300" s="167">
        <v>353</v>
      </c>
      <c r="AD1300" s="203">
        <v>43180</v>
      </c>
      <c r="AE1300" s="203">
        <v>0</v>
      </c>
      <c r="AF1300" s="167" t="s">
        <v>3469</v>
      </c>
    </row>
    <row r="1301" spans="16:32" x14ac:dyDescent="0.25">
      <c r="P1301" s="167" t="s">
        <v>739</v>
      </c>
      <c r="Q1301" s="167">
        <v>353</v>
      </c>
      <c r="R1301" s="167" t="s">
        <v>3407</v>
      </c>
      <c r="S1301" s="167" t="s">
        <v>2957</v>
      </c>
      <c r="T1301" s="167">
        <v>2</v>
      </c>
      <c r="U1301" s="167" t="s">
        <v>2958</v>
      </c>
      <c r="V1301" s="167" t="s">
        <v>3409</v>
      </c>
      <c r="AB1301" s="167" t="s">
        <v>1963</v>
      </c>
      <c r="AC1301" s="167">
        <v>353</v>
      </c>
      <c r="AD1301" s="203">
        <v>43180</v>
      </c>
      <c r="AE1301" s="203">
        <v>0</v>
      </c>
      <c r="AF1301" s="167" t="s">
        <v>3469</v>
      </c>
    </row>
    <row r="1302" spans="16:32" x14ac:dyDescent="0.25">
      <c r="P1302" s="167" t="s">
        <v>739</v>
      </c>
      <c r="Q1302" s="167">
        <v>353</v>
      </c>
      <c r="R1302" s="167" t="s">
        <v>3407</v>
      </c>
      <c r="S1302" s="167" t="s">
        <v>2957</v>
      </c>
      <c r="T1302" s="167">
        <v>4</v>
      </c>
      <c r="U1302" s="167" t="s">
        <v>2958</v>
      </c>
      <c r="V1302" s="167" t="s">
        <v>3409</v>
      </c>
      <c r="AB1302" s="167" t="s">
        <v>1963</v>
      </c>
      <c r="AC1302" s="167">
        <v>353</v>
      </c>
      <c r="AD1302" s="203">
        <v>43180</v>
      </c>
      <c r="AE1302" s="203">
        <v>0</v>
      </c>
      <c r="AF1302" s="167" t="s">
        <v>3469</v>
      </c>
    </row>
    <row r="1303" spans="16:32" x14ac:dyDescent="0.25">
      <c r="P1303" s="167" t="s">
        <v>739</v>
      </c>
      <c r="Q1303" s="167">
        <v>353</v>
      </c>
      <c r="R1303" s="167" t="s">
        <v>3407</v>
      </c>
      <c r="S1303" s="167" t="s">
        <v>2957</v>
      </c>
      <c r="T1303" s="167">
        <v>4</v>
      </c>
      <c r="U1303" s="167" t="s">
        <v>2958</v>
      </c>
      <c r="V1303" s="167" t="s">
        <v>3409</v>
      </c>
      <c r="AB1303" s="167" t="s">
        <v>1965</v>
      </c>
      <c r="AC1303" s="167">
        <v>364</v>
      </c>
      <c r="AD1303" s="203">
        <v>43168</v>
      </c>
      <c r="AE1303" s="203">
        <v>43179</v>
      </c>
      <c r="AF1303" s="167" t="s">
        <v>3470</v>
      </c>
    </row>
    <row r="1304" spans="16:32" x14ac:dyDescent="0.25">
      <c r="P1304" s="167" t="s">
        <v>739</v>
      </c>
      <c r="Q1304" s="167">
        <v>353</v>
      </c>
      <c r="R1304" s="167" t="s">
        <v>3407</v>
      </c>
      <c r="S1304" s="167" t="s">
        <v>3375</v>
      </c>
      <c r="T1304" s="167">
        <v>1</v>
      </c>
      <c r="U1304" s="167" t="s">
        <v>3440</v>
      </c>
      <c r="V1304" s="167" t="s">
        <v>3409</v>
      </c>
      <c r="AB1304" s="167" t="s">
        <v>1965</v>
      </c>
      <c r="AC1304" s="167">
        <v>353</v>
      </c>
      <c r="AD1304" s="203">
        <v>43180</v>
      </c>
      <c r="AE1304" s="203">
        <v>0</v>
      </c>
      <c r="AF1304" s="167" t="s">
        <v>3469</v>
      </c>
    </row>
    <row r="1305" spans="16:32" x14ac:dyDescent="0.25">
      <c r="P1305" s="167" t="s">
        <v>739</v>
      </c>
      <c r="Q1305" s="167">
        <v>353</v>
      </c>
      <c r="R1305" s="167" t="s">
        <v>3407</v>
      </c>
      <c r="S1305" s="167" t="s">
        <v>2960</v>
      </c>
      <c r="T1305" s="167">
        <v>1</v>
      </c>
      <c r="U1305" s="167" t="s">
        <v>2961</v>
      </c>
      <c r="V1305" s="167" t="s">
        <v>3409</v>
      </c>
      <c r="AB1305" s="167" t="s">
        <v>1967</v>
      </c>
      <c r="AC1305" s="167">
        <v>347</v>
      </c>
      <c r="AD1305" s="203">
        <v>43118</v>
      </c>
      <c r="AE1305" s="203">
        <v>43133</v>
      </c>
      <c r="AF1305" s="167" t="s">
        <v>3470</v>
      </c>
    </row>
    <row r="1306" spans="16:32" x14ac:dyDescent="0.25">
      <c r="P1306" s="167" t="s">
        <v>739</v>
      </c>
      <c r="Q1306" s="167">
        <v>353</v>
      </c>
      <c r="R1306" s="167" t="s">
        <v>3407</v>
      </c>
      <c r="S1306" s="167" t="s">
        <v>2966</v>
      </c>
      <c r="T1306" s="167">
        <v>3</v>
      </c>
      <c r="U1306" s="167" t="s">
        <v>2967</v>
      </c>
      <c r="V1306" s="167" t="s">
        <v>3409</v>
      </c>
      <c r="AB1306" s="167" t="s">
        <v>1967</v>
      </c>
      <c r="AC1306" s="167">
        <v>340</v>
      </c>
      <c r="AD1306" s="203">
        <v>43133</v>
      </c>
      <c r="AE1306" s="203">
        <v>43168</v>
      </c>
      <c r="AF1306" s="167" t="s">
        <v>3470</v>
      </c>
    </row>
    <row r="1307" spans="16:32" x14ac:dyDescent="0.25">
      <c r="P1307" s="167" t="s">
        <v>739</v>
      </c>
      <c r="Q1307" s="167">
        <v>353</v>
      </c>
      <c r="R1307" s="167" t="s">
        <v>3407</v>
      </c>
      <c r="S1307" s="167" t="s">
        <v>2966</v>
      </c>
      <c r="T1307" s="167">
        <v>42</v>
      </c>
      <c r="U1307" s="167" t="s">
        <v>2967</v>
      </c>
      <c r="V1307" s="167" t="s">
        <v>3409</v>
      </c>
      <c r="AB1307" s="167" t="s">
        <v>1967</v>
      </c>
      <c r="AC1307" s="167">
        <v>357</v>
      </c>
      <c r="AD1307" s="203">
        <v>43139</v>
      </c>
      <c r="AE1307" s="203">
        <v>43164</v>
      </c>
      <c r="AF1307" s="167" t="s">
        <v>3470</v>
      </c>
    </row>
    <row r="1308" spans="16:32" x14ac:dyDescent="0.25">
      <c r="P1308" s="167" t="s">
        <v>739</v>
      </c>
      <c r="Q1308" s="167">
        <v>353</v>
      </c>
      <c r="R1308" s="167" t="s">
        <v>3407</v>
      </c>
      <c r="S1308" s="167" t="s">
        <v>2968</v>
      </c>
      <c r="T1308" s="167">
        <v>3</v>
      </c>
      <c r="U1308" s="167" t="s">
        <v>2969</v>
      </c>
      <c r="V1308" s="167" t="s">
        <v>3409</v>
      </c>
      <c r="AB1308" s="167" t="s">
        <v>1967</v>
      </c>
      <c r="AC1308" s="167">
        <v>364</v>
      </c>
      <c r="AD1308" s="203">
        <v>43168</v>
      </c>
      <c r="AE1308" s="203">
        <v>43179</v>
      </c>
      <c r="AF1308" s="167" t="s">
        <v>3470</v>
      </c>
    </row>
    <row r="1309" spans="16:32" x14ac:dyDescent="0.25">
      <c r="P1309" s="167" t="s">
        <v>739</v>
      </c>
      <c r="Q1309" s="167">
        <v>353</v>
      </c>
      <c r="R1309" s="167" t="s">
        <v>3407</v>
      </c>
      <c r="S1309" s="167" t="s">
        <v>2972</v>
      </c>
      <c r="T1309" s="167">
        <v>5</v>
      </c>
      <c r="U1309" s="167" t="s">
        <v>2973</v>
      </c>
      <c r="V1309" s="167" t="s">
        <v>3409</v>
      </c>
      <c r="AB1309" s="167" t="s">
        <v>1967</v>
      </c>
      <c r="AC1309" s="167">
        <v>353</v>
      </c>
      <c r="AD1309" s="203">
        <v>43180</v>
      </c>
      <c r="AE1309" s="203">
        <v>0</v>
      </c>
      <c r="AF1309" s="167" t="s">
        <v>3469</v>
      </c>
    </row>
    <row r="1310" spans="16:32" x14ac:dyDescent="0.25">
      <c r="P1310" s="167" t="s">
        <v>739</v>
      </c>
      <c r="Q1310" s="167">
        <v>353</v>
      </c>
      <c r="R1310" s="167" t="s">
        <v>3407</v>
      </c>
      <c r="S1310" s="167" t="s">
        <v>2972</v>
      </c>
      <c r="T1310" s="167">
        <v>2</v>
      </c>
      <c r="U1310" s="167" t="s">
        <v>2973</v>
      </c>
      <c r="V1310" s="167" t="s">
        <v>3409</v>
      </c>
      <c r="AB1310" s="167" t="s">
        <v>1967</v>
      </c>
      <c r="AC1310" s="167">
        <v>353</v>
      </c>
      <c r="AD1310" s="203">
        <v>43180</v>
      </c>
      <c r="AE1310" s="203">
        <v>0</v>
      </c>
      <c r="AF1310" s="167" t="s">
        <v>3469</v>
      </c>
    </row>
    <row r="1311" spans="16:32" x14ac:dyDescent="0.25">
      <c r="P1311" s="167" t="s">
        <v>739</v>
      </c>
      <c r="Q1311" s="167">
        <v>353</v>
      </c>
      <c r="R1311" s="167" t="s">
        <v>3407</v>
      </c>
      <c r="S1311" s="167" t="s">
        <v>2972</v>
      </c>
      <c r="T1311" s="167">
        <v>4</v>
      </c>
      <c r="U1311" s="167" t="s">
        <v>2973</v>
      </c>
      <c r="V1311" s="167" t="s">
        <v>3409</v>
      </c>
      <c r="AB1311" s="167" t="s">
        <v>1967</v>
      </c>
      <c r="AC1311" s="167">
        <v>353</v>
      </c>
      <c r="AD1311" s="203">
        <v>43180</v>
      </c>
      <c r="AE1311" s="203">
        <v>0</v>
      </c>
      <c r="AF1311" s="167" t="s">
        <v>3469</v>
      </c>
    </row>
    <row r="1312" spans="16:32" x14ac:dyDescent="0.25">
      <c r="P1312" s="167" t="s">
        <v>739</v>
      </c>
      <c r="Q1312" s="167">
        <v>353</v>
      </c>
      <c r="R1312" s="167" t="s">
        <v>3407</v>
      </c>
      <c r="S1312" s="167" t="s">
        <v>2972</v>
      </c>
      <c r="T1312" s="167">
        <v>8</v>
      </c>
      <c r="U1312" s="167" t="s">
        <v>2973</v>
      </c>
      <c r="V1312" s="167" t="s">
        <v>3409</v>
      </c>
      <c r="AB1312" s="167" t="s">
        <v>1967</v>
      </c>
      <c r="AC1312" s="167">
        <v>353</v>
      </c>
      <c r="AD1312" s="203">
        <v>43180</v>
      </c>
      <c r="AE1312" s="203">
        <v>0</v>
      </c>
      <c r="AF1312" s="167" t="s">
        <v>3469</v>
      </c>
    </row>
    <row r="1313" spans="16:32" x14ac:dyDescent="0.25">
      <c r="P1313" s="167" t="s">
        <v>739</v>
      </c>
      <c r="Q1313" s="167">
        <v>353</v>
      </c>
      <c r="R1313" s="167" t="s">
        <v>3407</v>
      </c>
      <c r="S1313" s="167" t="s">
        <v>2972</v>
      </c>
      <c r="T1313" s="167">
        <v>4</v>
      </c>
      <c r="U1313" s="167" t="s">
        <v>2973</v>
      </c>
      <c r="V1313" s="167" t="s">
        <v>3409</v>
      </c>
      <c r="AB1313" s="167" t="s">
        <v>1969</v>
      </c>
      <c r="AC1313" s="167">
        <v>323</v>
      </c>
      <c r="AD1313" s="203">
        <v>43074</v>
      </c>
      <c r="AE1313" s="203">
        <v>43111</v>
      </c>
      <c r="AF1313" s="167" t="s">
        <v>3470</v>
      </c>
    </row>
    <row r="1314" spans="16:32" x14ac:dyDescent="0.25">
      <c r="P1314" s="167" t="s">
        <v>739</v>
      </c>
      <c r="Q1314" s="167">
        <v>353</v>
      </c>
      <c r="R1314" s="167" t="s">
        <v>3407</v>
      </c>
      <c r="S1314" s="167" t="s">
        <v>3005</v>
      </c>
      <c r="T1314" s="167">
        <v>13</v>
      </c>
      <c r="U1314" s="167" t="s">
        <v>3006</v>
      </c>
      <c r="V1314" s="167" t="s">
        <v>3409</v>
      </c>
      <c r="AB1314" s="167" t="s">
        <v>1969</v>
      </c>
      <c r="AC1314" s="167">
        <v>347</v>
      </c>
      <c r="AD1314" s="203">
        <v>43118</v>
      </c>
      <c r="AE1314" s="203">
        <v>43133</v>
      </c>
      <c r="AF1314" s="167" t="s">
        <v>3470</v>
      </c>
    </row>
    <row r="1315" spans="16:32" x14ac:dyDescent="0.25">
      <c r="P1315" s="167" t="s">
        <v>739</v>
      </c>
      <c r="Q1315" s="167">
        <v>353</v>
      </c>
      <c r="R1315" s="167" t="s">
        <v>3407</v>
      </c>
      <c r="S1315" s="167" t="s">
        <v>3007</v>
      </c>
      <c r="T1315" s="167">
        <v>12</v>
      </c>
      <c r="U1315" s="167" t="s">
        <v>3008</v>
      </c>
      <c r="V1315" s="167" t="s">
        <v>3409</v>
      </c>
      <c r="AB1315" s="167" t="s">
        <v>1969</v>
      </c>
      <c r="AC1315" s="167">
        <v>340</v>
      </c>
      <c r="AD1315" s="203">
        <v>43133</v>
      </c>
      <c r="AE1315" s="203">
        <v>43168</v>
      </c>
      <c r="AF1315" s="167" t="s">
        <v>3470</v>
      </c>
    </row>
    <row r="1316" spans="16:32" x14ac:dyDescent="0.25">
      <c r="P1316" s="167" t="s">
        <v>739</v>
      </c>
      <c r="Q1316" s="167">
        <v>353</v>
      </c>
      <c r="R1316" s="167" t="s">
        <v>3407</v>
      </c>
      <c r="S1316" s="167" t="s">
        <v>3009</v>
      </c>
      <c r="T1316" s="167">
        <v>6</v>
      </c>
      <c r="U1316" s="167" t="s">
        <v>3010</v>
      </c>
      <c r="V1316" s="167" t="s">
        <v>3409</v>
      </c>
      <c r="AB1316" s="167" t="s">
        <v>1969</v>
      </c>
      <c r="AC1316" s="167">
        <v>340</v>
      </c>
      <c r="AD1316" s="203">
        <v>43133</v>
      </c>
      <c r="AE1316" s="203">
        <v>43168</v>
      </c>
      <c r="AF1316" s="167" t="s">
        <v>3470</v>
      </c>
    </row>
    <row r="1317" spans="16:32" x14ac:dyDescent="0.25">
      <c r="P1317" s="167" t="s">
        <v>739</v>
      </c>
      <c r="Q1317" s="167">
        <v>353</v>
      </c>
      <c r="R1317" s="167" t="s">
        <v>3407</v>
      </c>
      <c r="S1317" s="167" t="s">
        <v>3009</v>
      </c>
      <c r="T1317" s="167">
        <v>3</v>
      </c>
      <c r="U1317" s="167" t="s">
        <v>3010</v>
      </c>
      <c r="V1317" s="167" t="s">
        <v>3409</v>
      </c>
      <c r="AB1317" s="167" t="s">
        <v>1969</v>
      </c>
      <c r="AC1317" s="167">
        <v>364</v>
      </c>
      <c r="AD1317" s="203">
        <v>43168</v>
      </c>
      <c r="AE1317" s="203">
        <v>43179</v>
      </c>
      <c r="AF1317" s="167" t="s">
        <v>3470</v>
      </c>
    </row>
    <row r="1318" spans="16:32" x14ac:dyDescent="0.25">
      <c r="P1318" s="167" t="s">
        <v>739</v>
      </c>
      <c r="Q1318" s="167">
        <v>353</v>
      </c>
      <c r="R1318" s="167" t="s">
        <v>3407</v>
      </c>
      <c r="S1318" s="167" t="s">
        <v>3009</v>
      </c>
      <c r="T1318" s="167">
        <v>5</v>
      </c>
      <c r="U1318" s="167" t="s">
        <v>3010</v>
      </c>
      <c r="V1318" s="167" t="s">
        <v>3409</v>
      </c>
      <c r="AB1318" s="167" t="s">
        <v>1969</v>
      </c>
      <c r="AC1318" s="167">
        <v>353</v>
      </c>
      <c r="AD1318" s="203">
        <v>43180</v>
      </c>
      <c r="AE1318" s="203">
        <v>0</v>
      </c>
      <c r="AF1318" s="167" t="s">
        <v>3469</v>
      </c>
    </row>
    <row r="1319" spans="16:32" x14ac:dyDescent="0.25">
      <c r="P1319" s="167" t="s">
        <v>739</v>
      </c>
      <c r="Q1319" s="167">
        <v>353</v>
      </c>
      <c r="R1319" s="167" t="s">
        <v>3407</v>
      </c>
      <c r="S1319" s="167" t="s">
        <v>3009</v>
      </c>
      <c r="T1319" s="167">
        <v>1</v>
      </c>
      <c r="U1319" s="167" t="s">
        <v>3010</v>
      </c>
      <c r="V1319" s="167" t="s">
        <v>3409</v>
      </c>
      <c r="AB1319" s="167" t="s">
        <v>1970</v>
      </c>
      <c r="AC1319" s="167">
        <v>347</v>
      </c>
      <c r="AD1319" s="203">
        <v>43118</v>
      </c>
      <c r="AE1319" s="203">
        <v>43133</v>
      </c>
      <c r="AF1319" s="167" t="s">
        <v>3470</v>
      </c>
    </row>
    <row r="1320" spans="16:32" x14ac:dyDescent="0.25">
      <c r="P1320" s="167" t="s">
        <v>739</v>
      </c>
      <c r="Q1320" s="167">
        <v>353</v>
      </c>
      <c r="R1320" s="167" t="s">
        <v>3407</v>
      </c>
      <c r="S1320" s="167" t="s">
        <v>3011</v>
      </c>
      <c r="T1320" s="167">
        <v>2</v>
      </c>
      <c r="U1320" s="167" t="s">
        <v>3012</v>
      </c>
      <c r="V1320" s="167" t="s">
        <v>3409</v>
      </c>
      <c r="AB1320" s="167" t="s">
        <v>1970</v>
      </c>
      <c r="AC1320" s="167">
        <v>340</v>
      </c>
      <c r="AD1320" s="203">
        <v>43133</v>
      </c>
      <c r="AE1320" s="203">
        <v>43168</v>
      </c>
      <c r="AF1320" s="167" t="s">
        <v>3470</v>
      </c>
    </row>
    <row r="1321" spans="16:32" x14ac:dyDescent="0.25">
      <c r="P1321" s="167" t="s">
        <v>739</v>
      </c>
      <c r="Q1321" s="167">
        <v>353</v>
      </c>
      <c r="R1321" s="167" t="s">
        <v>3407</v>
      </c>
      <c r="S1321" s="167" t="s">
        <v>3013</v>
      </c>
      <c r="T1321" s="167">
        <v>2</v>
      </c>
      <c r="U1321" s="167" t="s">
        <v>3014</v>
      </c>
      <c r="V1321" s="167" t="s">
        <v>3409</v>
      </c>
      <c r="AB1321" s="167" t="s">
        <v>1970</v>
      </c>
      <c r="AC1321" s="167">
        <v>340</v>
      </c>
      <c r="AD1321" s="203">
        <v>43133</v>
      </c>
      <c r="AE1321" s="203">
        <v>43168</v>
      </c>
      <c r="AF1321" s="167" t="s">
        <v>3470</v>
      </c>
    </row>
    <row r="1322" spans="16:32" x14ac:dyDescent="0.25">
      <c r="P1322" s="167" t="s">
        <v>739</v>
      </c>
      <c r="Q1322" s="167">
        <v>353</v>
      </c>
      <c r="R1322" s="167" t="s">
        <v>3407</v>
      </c>
      <c r="S1322" s="167" t="s">
        <v>3015</v>
      </c>
      <c r="T1322" s="167">
        <v>1</v>
      </c>
      <c r="U1322" s="167" t="s">
        <v>3016</v>
      </c>
      <c r="V1322" s="167" t="s">
        <v>3409</v>
      </c>
      <c r="AB1322" s="167" t="s">
        <v>1970</v>
      </c>
      <c r="AC1322" s="167">
        <v>353</v>
      </c>
      <c r="AD1322" s="203">
        <v>43180</v>
      </c>
      <c r="AE1322" s="203">
        <v>0</v>
      </c>
      <c r="AF1322" s="167" t="s">
        <v>3469</v>
      </c>
    </row>
    <row r="1323" spans="16:32" x14ac:dyDescent="0.25">
      <c r="P1323" s="167" t="s">
        <v>739</v>
      </c>
      <c r="Q1323" s="167">
        <v>353</v>
      </c>
      <c r="R1323" s="167" t="s">
        <v>3407</v>
      </c>
      <c r="S1323" s="167" t="s">
        <v>3017</v>
      </c>
      <c r="T1323" s="167">
        <v>6</v>
      </c>
      <c r="U1323" s="167" t="s">
        <v>3018</v>
      </c>
      <c r="V1323" s="167" t="s">
        <v>3409</v>
      </c>
      <c r="AB1323" s="167" t="s">
        <v>1970</v>
      </c>
      <c r="AC1323" s="167">
        <v>353</v>
      </c>
      <c r="AD1323" s="203">
        <v>43180</v>
      </c>
      <c r="AE1323" s="203">
        <v>0</v>
      </c>
      <c r="AF1323" s="167" t="s">
        <v>3469</v>
      </c>
    </row>
    <row r="1324" spans="16:32" x14ac:dyDescent="0.25">
      <c r="P1324" s="167" t="s">
        <v>739</v>
      </c>
      <c r="Q1324" s="167">
        <v>353</v>
      </c>
      <c r="R1324" s="167" t="s">
        <v>3407</v>
      </c>
      <c r="S1324" s="167" t="s">
        <v>3017</v>
      </c>
      <c r="T1324" s="167">
        <v>7</v>
      </c>
      <c r="U1324" s="167" t="s">
        <v>3018</v>
      </c>
      <c r="V1324" s="167" t="s">
        <v>3409</v>
      </c>
      <c r="AB1324" s="167" t="s">
        <v>1970</v>
      </c>
      <c r="AC1324" s="167">
        <v>353</v>
      </c>
      <c r="AD1324" s="203">
        <v>43180</v>
      </c>
      <c r="AE1324" s="203">
        <v>0</v>
      </c>
      <c r="AF1324" s="167" t="s">
        <v>3469</v>
      </c>
    </row>
    <row r="1325" spans="16:32" x14ac:dyDescent="0.25">
      <c r="P1325" s="167" t="s">
        <v>739</v>
      </c>
      <c r="Q1325" s="167">
        <v>353</v>
      </c>
      <c r="R1325" s="167" t="s">
        <v>3407</v>
      </c>
      <c r="S1325" s="167" t="s">
        <v>3017</v>
      </c>
      <c r="T1325" s="167">
        <v>2</v>
      </c>
      <c r="U1325" s="167" t="s">
        <v>3018</v>
      </c>
      <c r="V1325" s="167" t="s">
        <v>3409</v>
      </c>
      <c r="AB1325" s="167" t="s">
        <v>1971</v>
      </c>
      <c r="AC1325" s="167">
        <v>323</v>
      </c>
      <c r="AD1325" s="203">
        <v>43074</v>
      </c>
      <c r="AE1325" s="203">
        <v>43111</v>
      </c>
      <c r="AF1325" s="167" t="s">
        <v>3470</v>
      </c>
    </row>
    <row r="1326" spans="16:32" x14ac:dyDescent="0.25">
      <c r="P1326" s="167" t="s">
        <v>739</v>
      </c>
      <c r="Q1326" s="167">
        <v>353</v>
      </c>
      <c r="R1326" s="167" t="s">
        <v>3407</v>
      </c>
      <c r="S1326" s="167" t="s">
        <v>3376</v>
      </c>
      <c r="T1326" s="167">
        <v>1</v>
      </c>
      <c r="U1326" s="167" t="s">
        <v>3441</v>
      </c>
      <c r="V1326" s="167" t="s">
        <v>3409</v>
      </c>
      <c r="AB1326" s="167" t="s">
        <v>1971</v>
      </c>
      <c r="AC1326" s="167">
        <v>327</v>
      </c>
      <c r="AD1326" s="203">
        <v>43074</v>
      </c>
      <c r="AE1326" s="203">
        <v>43131</v>
      </c>
      <c r="AF1326" s="167" t="s">
        <v>3470</v>
      </c>
    </row>
    <row r="1327" spans="16:32" x14ac:dyDescent="0.25">
      <c r="P1327" s="167" t="s">
        <v>739</v>
      </c>
      <c r="Q1327" s="167">
        <v>353</v>
      </c>
      <c r="R1327" s="167" t="s">
        <v>3407</v>
      </c>
      <c r="S1327" s="167" t="s">
        <v>3376</v>
      </c>
      <c r="T1327" s="167">
        <v>1</v>
      </c>
      <c r="U1327" s="167" t="s">
        <v>3441</v>
      </c>
      <c r="V1327" s="167" t="s">
        <v>3409</v>
      </c>
      <c r="AB1327" s="167" t="s">
        <v>1973</v>
      </c>
      <c r="AC1327" s="167">
        <v>347</v>
      </c>
      <c r="AD1327" s="203">
        <v>43118</v>
      </c>
      <c r="AE1327" s="203">
        <v>43133</v>
      </c>
      <c r="AF1327" s="167" t="s">
        <v>3470</v>
      </c>
    </row>
    <row r="1328" spans="16:32" x14ac:dyDescent="0.25">
      <c r="P1328" s="167" t="s">
        <v>739</v>
      </c>
      <c r="Q1328" s="167">
        <v>353</v>
      </c>
      <c r="R1328" s="167" t="s">
        <v>3407</v>
      </c>
      <c r="S1328" s="167" t="s">
        <v>3020</v>
      </c>
      <c r="T1328" s="167">
        <v>4</v>
      </c>
      <c r="U1328" s="167" t="s">
        <v>3021</v>
      </c>
      <c r="V1328" s="167" t="s">
        <v>3409</v>
      </c>
      <c r="AB1328" s="167" t="s">
        <v>1973</v>
      </c>
      <c r="AC1328" s="167">
        <v>335</v>
      </c>
      <c r="AD1328" s="203">
        <v>43133</v>
      </c>
      <c r="AE1328" s="203">
        <v>43147</v>
      </c>
      <c r="AF1328" s="167" t="s">
        <v>3470</v>
      </c>
    </row>
    <row r="1329" spans="16:32" x14ac:dyDescent="0.25">
      <c r="P1329" s="167" t="s">
        <v>739</v>
      </c>
      <c r="Q1329" s="167">
        <v>353</v>
      </c>
      <c r="R1329" s="167" t="s">
        <v>3407</v>
      </c>
      <c r="S1329" s="167" t="s">
        <v>3020</v>
      </c>
      <c r="T1329" s="167">
        <v>6</v>
      </c>
      <c r="U1329" s="167" t="s">
        <v>3021</v>
      </c>
      <c r="V1329" s="167" t="s">
        <v>3409</v>
      </c>
      <c r="AB1329" s="167" t="s">
        <v>1973</v>
      </c>
      <c r="AC1329" s="167">
        <v>340</v>
      </c>
      <c r="AD1329" s="203">
        <v>43133</v>
      </c>
      <c r="AE1329" s="203">
        <v>43168</v>
      </c>
      <c r="AF1329" s="167" t="s">
        <v>3470</v>
      </c>
    </row>
    <row r="1330" spans="16:32" x14ac:dyDescent="0.25">
      <c r="P1330" s="167" t="s">
        <v>739</v>
      </c>
      <c r="Q1330" s="167">
        <v>353</v>
      </c>
      <c r="R1330" s="167" t="s">
        <v>3407</v>
      </c>
      <c r="S1330" s="167" t="s">
        <v>3020</v>
      </c>
      <c r="T1330" s="167">
        <v>10</v>
      </c>
      <c r="U1330" s="167" t="s">
        <v>3021</v>
      </c>
      <c r="V1330" s="167" t="s">
        <v>3409</v>
      </c>
      <c r="AB1330" s="167" t="s">
        <v>1973</v>
      </c>
      <c r="AC1330" s="167">
        <v>340</v>
      </c>
      <c r="AD1330" s="203">
        <v>43133</v>
      </c>
      <c r="AE1330" s="203">
        <v>43168</v>
      </c>
      <c r="AF1330" s="167" t="s">
        <v>3470</v>
      </c>
    </row>
    <row r="1331" spans="16:32" x14ac:dyDescent="0.25">
      <c r="P1331" s="167" t="s">
        <v>739</v>
      </c>
      <c r="Q1331" s="167">
        <v>353</v>
      </c>
      <c r="R1331" s="167" t="s">
        <v>3407</v>
      </c>
      <c r="S1331" s="167" t="s">
        <v>3025</v>
      </c>
      <c r="T1331" s="167">
        <v>4</v>
      </c>
      <c r="U1331" s="167" t="s">
        <v>3026</v>
      </c>
      <c r="V1331" s="167" t="s">
        <v>3409</v>
      </c>
      <c r="AB1331" s="167" t="s">
        <v>1973</v>
      </c>
      <c r="AC1331" s="167">
        <v>374</v>
      </c>
      <c r="AD1331" s="203">
        <v>43195</v>
      </c>
      <c r="AE1331" s="203">
        <v>0</v>
      </c>
      <c r="AF1331" s="167" t="s">
        <v>3469</v>
      </c>
    </row>
    <row r="1332" spans="16:32" x14ac:dyDescent="0.25">
      <c r="P1332" s="167" t="s">
        <v>739</v>
      </c>
      <c r="Q1332" s="167">
        <v>353</v>
      </c>
      <c r="R1332" s="167" t="s">
        <v>3407</v>
      </c>
      <c r="S1332" s="167" t="s">
        <v>3025</v>
      </c>
      <c r="T1332" s="167">
        <v>2</v>
      </c>
      <c r="U1332" s="167" t="s">
        <v>3026</v>
      </c>
      <c r="V1332" s="167" t="s">
        <v>3409</v>
      </c>
      <c r="AB1332" s="167" t="s">
        <v>1975</v>
      </c>
      <c r="AC1332" s="167">
        <v>323</v>
      </c>
      <c r="AD1332" s="203">
        <v>43074</v>
      </c>
      <c r="AE1332" s="203">
        <v>43111</v>
      </c>
      <c r="AF1332" s="167" t="s">
        <v>3470</v>
      </c>
    </row>
    <row r="1333" spans="16:32" x14ac:dyDescent="0.25">
      <c r="P1333" s="167" t="s">
        <v>739</v>
      </c>
      <c r="Q1333" s="167">
        <v>353</v>
      </c>
      <c r="R1333" s="167" t="s">
        <v>3407</v>
      </c>
      <c r="S1333" s="167" t="s">
        <v>3027</v>
      </c>
      <c r="T1333" s="167">
        <v>7</v>
      </c>
      <c r="U1333" s="167" t="s">
        <v>3028</v>
      </c>
      <c r="V1333" s="167" t="s">
        <v>3409</v>
      </c>
      <c r="AB1333" s="167" t="s">
        <v>1975</v>
      </c>
      <c r="AC1333" s="167">
        <v>347</v>
      </c>
      <c r="AD1333" s="203">
        <v>43118</v>
      </c>
      <c r="AE1333" s="203">
        <v>43133</v>
      </c>
      <c r="AF1333" s="167" t="s">
        <v>3470</v>
      </c>
    </row>
    <row r="1334" spans="16:32" x14ac:dyDescent="0.25">
      <c r="P1334" s="167" t="s">
        <v>739</v>
      </c>
      <c r="Q1334" s="167">
        <v>353</v>
      </c>
      <c r="R1334" s="167" t="s">
        <v>3407</v>
      </c>
      <c r="S1334" s="167" t="s">
        <v>3030</v>
      </c>
      <c r="T1334" s="167">
        <v>11</v>
      </c>
      <c r="U1334" s="167" t="s">
        <v>3031</v>
      </c>
      <c r="V1334" s="167" t="s">
        <v>3409</v>
      </c>
      <c r="AB1334" s="167" t="s">
        <v>1975</v>
      </c>
      <c r="AC1334" s="167">
        <v>340</v>
      </c>
      <c r="AD1334" s="203">
        <v>43133</v>
      </c>
      <c r="AE1334" s="203">
        <v>43168</v>
      </c>
      <c r="AF1334" s="167" t="s">
        <v>3470</v>
      </c>
    </row>
    <row r="1335" spans="16:32" x14ac:dyDescent="0.25">
      <c r="P1335" s="167" t="s">
        <v>739</v>
      </c>
      <c r="Q1335" s="167">
        <v>353</v>
      </c>
      <c r="R1335" s="167" t="s">
        <v>3407</v>
      </c>
      <c r="S1335" s="167" t="s">
        <v>3030</v>
      </c>
      <c r="T1335" s="167">
        <v>9</v>
      </c>
      <c r="U1335" s="167" t="s">
        <v>3031</v>
      </c>
      <c r="V1335" s="167" t="s">
        <v>3409</v>
      </c>
      <c r="AB1335" s="167" t="s">
        <v>1975</v>
      </c>
      <c r="AC1335" s="167">
        <v>340</v>
      </c>
      <c r="AD1335" s="203">
        <v>43133</v>
      </c>
      <c r="AE1335" s="203">
        <v>43168</v>
      </c>
      <c r="AF1335" s="167" t="s">
        <v>3470</v>
      </c>
    </row>
    <row r="1336" spans="16:32" x14ac:dyDescent="0.25">
      <c r="P1336" s="167" t="s">
        <v>739</v>
      </c>
      <c r="Q1336" s="167">
        <v>353</v>
      </c>
      <c r="R1336" s="167" t="s">
        <v>3407</v>
      </c>
      <c r="S1336" s="167" t="s">
        <v>3034</v>
      </c>
      <c r="T1336" s="167">
        <v>7</v>
      </c>
      <c r="U1336" s="167" t="s">
        <v>3035</v>
      </c>
      <c r="V1336" s="167" t="s">
        <v>3409</v>
      </c>
      <c r="AB1336" s="167" t="s">
        <v>1975</v>
      </c>
      <c r="AC1336" s="167">
        <v>364</v>
      </c>
      <c r="AD1336" s="203">
        <v>43168</v>
      </c>
      <c r="AE1336" s="203">
        <v>43179</v>
      </c>
      <c r="AF1336" s="167" t="s">
        <v>3470</v>
      </c>
    </row>
    <row r="1337" spans="16:32" x14ac:dyDescent="0.25">
      <c r="P1337" s="167" t="s">
        <v>739</v>
      </c>
      <c r="Q1337" s="167">
        <v>353</v>
      </c>
      <c r="R1337" s="167" t="s">
        <v>3407</v>
      </c>
      <c r="S1337" s="167" t="s">
        <v>3034</v>
      </c>
      <c r="T1337" s="167">
        <v>30</v>
      </c>
      <c r="U1337" s="167" t="s">
        <v>3035</v>
      </c>
      <c r="V1337" s="167" t="s">
        <v>3409</v>
      </c>
      <c r="AB1337" s="167" t="s">
        <v>1975</v>
      </c>
      <c r="AC1337" s="167">
        <v>353</v>
      </c>
      <c r="AD1337" s="203">
        <v>43180</v>
      </c>
      <c r="AE1337" s="203">
        <v>0</v>
      </c>
      <c r="AF1337" s="167" t="s">
        <v>3469</v>
      </c>
    </row>
    <row r="1338" spans="16:32" x14ac:dyDescent="0.25">
      <c r="P1338" s="167" t="s">
        <v>739</v>
      </c>
      <c r="Q1338" s="167">
        <v>353</v>
      </c>
      <c r="R1338" s="167" t="s">
        <v>3407</v>
      </c>
      <c r="S1338" s="167" t="s">
        <v>3042</v>
      </c>
      <c r="T1338" s="167">
        <v>1152</v>
      </c>
      <c r="U1338" s="167" t="s">
        <v>3043</v>
      </c>
      <c r="V1338" s="167" t="s">
        <v>3409</v>
      </c>
      <c r="AB1338" s="167" t="s">
        <v>1975</v>
      </c>
      <c r="AC1338" s="167">
        <v>353</v>
      </c>
      <c r="AD1338" s="203">
        <v>43180</v>
      </c>
      <c r="AE1338" s="203">
        <v>0</v>
      </c>
      <c r="AF1338" s="167" t="s">
        <v>3469</v>
      </c>
    </row>
    <row r="1339" spans="16:32" x14ac:dyDescent="0.25">
      <c r="P1339" s="167" t="s">
        <v>739</v>
      </c>
      <c r="Q1339" s="167">
        <v>353</v>
      </c>
      <c r="R1339" s="167" t="s">
        <v>3407</v>
      </c>
      <c r="S1339" s="167" t="s">
        <v>3044</v>
      </c>
      <c r="T1339" s="167">
        <v>96</v>
      </c>
      <c r="U1339" s="167" t="s">
        <v>3045</v>
      </c>
      <c r="V1339" s="167" t="s">
        <v>3409</v>
      </c>
      <c r="AB1339" s="167" t="s">
        <v>3456</v>
      </c>
      <c r="AC1339" s="167">
        <v>347</v>
      </c>
      <c r="AD1339" s="203">
        <v>43118</v>
      </c>
      <c r="AE1339" s="203">
        <v>43133</v>
      </c>
      <c r="AF1339" s="167" t="s">
        <v>3470</v>
      </c>
    </row>
    <row r="1340" spans="16:32" x14ac:dyDescent="0.25">
      <c r="P1340" s="167" t="s">
        <v>739</v>
      </c>
      <c r="Q1340" s="167">
        <v>353</v>
      </c>
      <c r="R1340" s="167" t="s">
        <v>3407</v>
      </c>
      <c r="S1340" s="167" t="s">
        <v>3378</v>
      </c>
      <c r="T1340" s="167">
        <v>2</v>
      </c>
      <c r="U1340" s="167" t="s">
        <v>3442</v>
      </c>
      <c r="V1340" s="167" t="s">
        <v>3409</v>
      </c>
      <c r="AB1340" s="167" t="s">
        <v>3456</v>
      </c>
      <c r="AC1340" s="167">
        <v>340</v>
      </c>
      <c r="AD1340" s="203">
        <v>43133</v>
      </c>
      <c r="AE1340" s="203">
        <v>43168</v>
      </c>
      <c r="AF1340" s="167" t="s">
        <v>3470</v>
      </c>
    </row>
    <row r="1341" spans="16:32" x14ac:dyDescent="0.25">
      <c r="P1341" s="167" t="s">
        <v>739</v>
      </c>
      <c r="Q1341" s="167">
        <v>353</v>
      </c>
      <c r="R1341" s="167" t="s">
        <v>3407</v>
      </c>
      <c r="S1341" s="167" t="s">
        <v>3061</v>
      </c>
      <c r="T1341" s="167">
        <v>7</v>
      </c>
      <c r="U1341" s="167" t="s">
        <v>3062</v>
      </c>
      <c r="V1341" s="167" t="s">
        <v>3409</v>
      </c>
      <c r="AB1341" s="167" t="s">
        <v>3456</v>
      </c>
      <c r="AC1341" s="167">
        <v>340</v>
      </c>
      <c r="AD1341" s="203">
        <v>43133</v>
      </c>
      <c r="AE1341" s="203">
        <v>43168</v>
      </c>
      <c r="AF1341" s="167" t="s">
        <v>3470</v>
      </c>
    </row>
    <row r="1342" spans="16:32" x14ac:dyDescent="0.25">
      <c r="P1342" s="167" t="s">
        <v>739</v>
      </c>
      <c r="Q1342" s="167">
        <v>353</v>
      </c>
      <c r="R1342" s="167" t="s">
        <v>3407</v>
      </c>
      <c r="S1342" s="167" t="s">
        <v>957</v>
      </c>
      <c r="T1342" s="167">
        <v>20</v>
      </c>
      <c r="U1342" s="167" t="s">
        <v>3076</v>
      </c>
      <c r="V1342" s="167" t="s">
        <v>3409</v>
      </c>
      <c r="AB1342" s="167" t="s">
        <v>3456</v>
      </c>
      <c r="AC1342" s="167">
        <v>374</v>
      </c>
      <c r="AD1342" s="203">
        <v>43195</v>
      </c>
      <c r="AE1342" s="203">
        <v>0</v>
      </c>
      <c r="AF1342" s="167" t="s">
        <v>3469</v>
      </c>
    </row>
    <row r="1343" spans="16:32" x14ac:dyDescent="0.25">
      <c r="P1343" s="167" t="s">
        <v>739</v>
      </c>
      <c r="Q1343" s="167">
        <v>353</v>
      </c>
      <c r="R1343" s="167" t="s">
        <v>3407</v>
      </c>
      <c r="S1343" s="167" t="s">
        <v>3083</v>
      </c>
      <c r="T1343" s="167">
        <v>3</v>
      </c>
      <c r="U1343" s="167" t="s">
        <v>3084</v>
      </c>
      <c r="V1343" s="167" t="s">
        <v>3409</v>
      </c>
      <c r="AB1343" s="167" t="s">
        <v>1976</v>
      </c>
      <c r="AC1343" s="167">
        <v>347</v>
      </c>
      <c r="AD1343" s="203">
        <v>43118</v>
      </c>
      <c r="AE1343" s="203">
        <v>43133</v>
      </c>
      <c r="AF1343" s="167" t="s">
        <v>3470</v>
      </c>
    </row>
    <row r="1344" spans="16:32" x14ac:dyDescent="0.25">
      <c r="P1344" s="167" t="s">
        <v>739</v>
      </c>
      <c r="Q1344" s="167">
        <v>353</v>
      </c>
      <c r="R1344" s="167" t="s">
        <v>3407</v>
      </c>
      <c r="S1344" s="167" t="s">
        <v>3083</v>
      </c>
      <c r="T1344" s="167">
        <v>10</v>
      </c>
      <c r="U1344" s="167" t="s">
        <v>3084</v>
      </c>
      <c r="V1344" s="167" t="s">
        <v>3409</v>
      </c>
      <c r="AB1344" s="167" t="s">
        <v>1976</v>
      </c>
      <c r="AC1344" s="167">
        <v>340</v>
      </c>
      <c r="AD1344" s="203">
        <v>43133</v>
      </c>
      <c r="AE1344" s="203">
        <v>43168</v>
      </c>
      <c r="AF1344" s="167" t="s">
        <v>3470</v>
      </c>
    </row>
    <row r="1345" spans="16:32" x14ac:dyDescent="0.25">
      <c r="P1345" s="167" t="s">
        <v>739</v>
      </c>
      <c r="Q1345" s="167">
        <v>353</v>
      </c>
      <c r="R1345" s="167" t="s">
        <v>3407</v>
      </c>
      <c r="S1345" s="167" t="s">
        <v>3083</v>
      </c>
      <c r="T1345" s="167">
        <v>5</v>
      </c>
      <c r="U1345" s="167" t="s">
        <v>3084</v>
      </c>
      <c r="V1345" s="167" t="s">
        <v>3409</v>
      </c>
      <c r="AB1345" s="167" t="s">
        <v>1976</v>
      </c>
      <c r="AC1345" s="167">
        <v>357</v>
      </c>
      <c r="AD1345" s="203">
        <v>43139</v>
      </c>
      <c r="AE1345" s="203">
        <v>43164</v>
      </c>
      <c r="AF1345" s="167" t="s">
        <v>3470</v>
      </c>
    </row>
    <row r="1346" spans="16:32" x14ac:dyDescent="0.25">
      <c r="P1346" s="167" t="s">
        <v>739</v>
      </c>
      <c r="Q1346" s="167">
        <v>353</v>
      </c>
      <c r="R1346" s="167" t="s">
        <v>3407</v>
      </c>
      <c r="S1346" s="167" t="s">
        <v>3083</v>
      </c>
      <c r="T1346" s="167">
        <v>5</v>
      </c>
      <c r="U1346" s="167" t="s">
        <v>3084</v>
      </c>
      <c r="V1346" s="167" t="s">
        <v>3409</v>
      </c>
      <c r="AB1346" s="167" t="s">
        <v>1976</v>
      </c>
      <c r="AC1346" s="167">
        <v>353</v>
      </c>
      <c r="AD1346" s="203">
        <v>43180</v>
      </c>
      <c r="AE1346" s="203">
        <v>0</v>
      </c>
      <c r="AF1346" s="167" t="s">
        <v>3469</v>
      </c>
    </row>
    <row r="1347" spans="16:32" x14ac:dyDescent="0.25">
      <c r="P1347" s="167" t="s">
        <v>739</v>
      </c>
      <c r="Q1347" s="167">
        <v>353</v>
      </c>
      <c r="R1347" s="167" t="s">
        <v>3407</v>
      </c>
      <c r="S1347" s="167" t="s">
        <v>3085</v>
      </c>
      <c r="T1347" s="167">
        <v>5</v>
      </c>
      <c r="U1347" s="167" t="s">
        <v>3086</v>
      </c>
      <c r="V1347" s="167" t="s">
        <v>3409</v>
      </c>
      <c r="AB1347" s="167" t="s">
        <v>1976</v>
      </c>
      <c r="AC1347" s="167">
        <v>353</v>
      </c>
      <c r="AD1347" s="203">
        <v>43180</v>
      </c>
      <c r="AE1347" s="203">
        <v>0</v>
      </c>
      <c r="AF1347" s="167" t="s">
        <v>3469</v>
      </c>
    </row>
    <row r="1348" spans="16:32" x14ac:dyDescent="0.25">
      <c r="P1348" s="167" t="s">
        <v>739</v>
      </c>
      <c r="Q1348" s="167">
        <v>353</v>
      </c>
      <c r="R1348" s="167" t="s">
        <v>3407</v>
      </c>
      <c r="S1348" s="167" t="s">
        <v>3085</v>
      </c>
      <c r="T1348" s="167">
        <v>5</v>
      </c>
      <c r="U1348" s="167" t="s">
        <v>3086</v>
      </c>
      <c r="V1348" s="167" t="s">
        <v>3409</v>
      </c>
      <c r="AB1348" s="167" t="s">
        <v>1976</v>
      </c>
      <c r="AC1348" s="167">
        <v>353</v>
      </c>
      <c r="AD1348" s="203">
        <v>43180</v>
      </c>
      <c r="AE1348" s="203">
        <v>0</v>
      </c>
      <c r="AF1348" s="167" t="s">
        <v>3469</v>
      </c>
    </row>
    <row r="1349" spans="16:32" x14ac:dyDescent="0.25">
      <c r="P1349" s="167" t="s">
        <v>739</v>
      </c>
      <c r="Q1349" s="167">
        <v>353</v>
      </c>
      <c r="R1349" s="167" t="s">
        <v>3407</v>
      </c>
      <c r="S1349" s="167" t="s">
        <v>3085</v>
      </c>
      <c r="T1349" s="167">
        <v>10</v>
      </c>
      <c r="U1349" s="167" t="s">
        <v>3086</v>
      </c>
      <c r="V1349" s="167" t="s">
        <v>3409</v>
      </c>
      <c r="AB1349" s="167" t="s">
        <v>1976</v>
      </c>
      <c r="AC1349" s="167">
        <v>374</v>
      </c>
      <c r="AD1349" s="203">
        <v>43195</v>
      </c>
      <c r="AE1349" s="203">
        <v>0</v>
      </c>
      <c r="AF1349" s="167" t="s">
        <v>3469</v>
      </c>
    </row>
    <row r="1350" spans="16:32" x14ac:dyDescent="0.25">
      <c r="P1350" s="167" t="s">
        <v>739</v>
      </c>
      <c r="Q1350" s="167">
        <v>353</v>
      </c>
      <c r="R1350" s="167" t="s">
        <v>3407</v>
      </c>
      <c r="S1350" s="167" t="s">
        <v>3090</v>
      </c>
      <c r="T1350" s="167">
        <v>1</v>
      </c>
      <c r="U1350" s="167" t="s">
        <v>3091</v>
      </c>
      <c r="V1350" s="167" t="s">
        <v>3409</v>
      </c>
      <c r="AB1350" s="167" t="s">
        <v>1977</v>
      </c>
      <c r="AC1350" s="167">
        <v>323</v>
      </c>
      <c r="AD1350" s="203">
        <v>43074</v>
      </c>
      <c r="AE1350" s="203">
        <v>43111</v>
      </c>
      <c r="AF1350" s="167" t="s">
        <v>3470</v>
      </c>
    </row>
    <row r="1351" spans="16:32" x14ac:dyDescent="0.25">
      <c r="P1351" s="167" t="s">
        <v>739</v>
      </c>
      <c r="Q1351" s="167">
        <v>353</v>
      </c>
      <c r="R1351" s="167" t="s">
        <v>3407</v>
      </c>
      <c r="S1351" s="167" t="s">
        <v>3090</v>
      </c>
      <c r="T1351" s="167">
        <v>3</v>
      </c>
      <c r="U1351" s="167" t="s">
        <v>3091</v>
      </c>
      <c r="V1351" s="167" t="s">
        <v>3409</v>
      </c>
      <c r="AB1351" s="167" t="s">
        <v>1977</v>
      </c>
      <c r="AC1351" s="167">
        <v>327</v>
      </c>
      <c r="AD1351" s="203">
        <v>43074</v>
      </c>
      <c r="AE1351" s="203">
        <v>43131</v>
      </c>
      <c r="AF1351" s="167" t="s">
        <v>3470</v>
      </c>
    </row>
    <row r="1352" spans="16:32" x14ac:dyDescent="0.25">
      <c r="P1352" s="167" t="s">
        <v>739</v>
      </c>
      <c r="Q1352" s="167">
        <v>353</v>
      </c>
      <c r="R1352" s="167" t="s">
        <v>3407</v>
      </c>
      <c r="S1352" s="167" t="s">
        <v>3090</v>
      </c>
      <c r="T1352" s="167">
        <v>3</v>
      </c>
      <c r="U1352" s="167" t="s">
        <v>3091</v>
      </c>
      <c r="V1352" s="167" t="s">
        <v>3409</v>
      </c>
      <c r="AB1352" s="167" t="s">
        <v>1977</v>
      </c>
      <c r="AC1352" s="167">
        <v>327</v>
      </c>
      <c r="AD1352" s="203">
        <v>43074</v>
      </c>
      <c r="AE1352" s="203">
        <v>43131</v>
      </c>
      <c r="AF1352" s="167" t="s">
        <v>3470</v>
      </c>
    </row>
    <row r="1353" spans="16:32" x14ac:dyDescent="0.25">
      <c r="P1353" s="167" t="s">
        <v>739</v>
      </c>
      <c r="Q1353" s="167">
        <v>353</v>
      </c>
      <c r="R1353" s="167" t="s">
        <v>3407</v>
      </c>
      <c r="S1353" s="167" t="s">
        <v>3093</v>
      </c>
      <c r="T1353" s="167">
        <v>26</v>
      </c>
      <c r="U1353" s="167" t="s">
        <v>3094</v>
      </c>
      <c r="V1353" s="167" t="s">
        <v>3409</v>
      </c>
      <c r="AB1353" s="167" t="s">
        <v>1977</v>
      </c>
      <c r="AC1353" s="167">
        <v>347</v>
      </c>
      <c r="AD1353" s="203">
        <v>43118</v>
      </c>
      <c r="AE1353" s="203">
        <v>43133</v>
      </c>
      <c r="AF1353" s="167" t="s">
        <v>3470</v>
      </c>
    </row>
    <row r="1354" spans="16:32" x14ac:dyDescent="0.25">
      <c r="P1354" s="167" t="s">
        <v>739</v>
      </c>
      <c r="Q1354" s="167">
        <v>353</v>
      </c>
      <c r="R1354" s="167" t="s">
        <v>3407</v>
      </c>
      <c r="S1354" s="167" t="s">
        <v>3095</v>
      </c>
      <c r="T1354" s="167">
        <v>1</v>
      </c>
      <c r="U1354" s="167" t="s">
        <v>3096</v>
      </c>
      <c r="V1354" s="167" t="s">
        <v>3409</v>
      </c>
      <c r="AB1354" s="167" t="s">
        <v>1977</v>
      </c>
      <c r="AC1354" s="167">
        <v>335</v>
      </c>
      <c r="AD1354" s="203">
        <v>43133</v>
      </c>
      <c r="AE1354" s="203">
        <v>43147</v>
      </c>
      <c r="AF1354" s="167" t="s">
        <v>3470</v>
      </c>
    </row>
    <row r="1355" spans="16:32" x14ac:dyDescent="0.25">
      <c r="P1355" s="167" t="s">
        <v>739</v>
      </c>
      <c r="Q1355" s="167">
        <v>353</v>
      </c>
      <c r="R1355" s="167" t="s">
        <v>3407</v>
      </c>
      <c r="S1355" s="167" t="s">
        <v>3095</v>
      </c>
      <c r="T1355" s="167">
        <v>2</v>
      </c>
      <c r="U1355" s="167" t="s">
        <v>3096</v>
      </c>
      <c r="V1355" s="167" t="s">
        <v>3409</v>
      </c>
      <c r="AB1355" s="167" t="s">
        <v>1977</v>
      </c>
      <c r="AC1355" s="167">
        <v>340</v>
      </c>
      <c r="AD1355" s="203">
        <v>43133</v>
      </c>
      <c r="AE1355" s="203">
        <v>43168</v>
      </c>
      <c r="AF1355" s="167" t="s">
        <v>3470</v>
      </c>
    </row>
    <row r="1356" spans="16:32" x14ac:dyDescent="0.25">
      <c r="P1356" s="167" t="s">
        <v>739</v>
      </c>
      <c r="Q1356" s="167">
        <v>353</v>
      </c>
      <c r="R1356" s="167" t="s">
        <v>3407</v>
      </c>
      <c r="S1356" s="167" t="s">
        <v>3095</v>
      </c>
      <c r="T1356" s="167">
        <v>1</v>
      </c>
      <c r="U1356" s="167" t="s">
        <v>3096</v>
      </c>
      <c r="V1356" s="167" t="s">
        <v>3409</v>
      </c>
      <c r="AB1356" s="167" t="s">
        <v>1977</v>
      </c>
      <c r="AC1356" s="167">
        <v>340</v>
      </c>
      <c r="AD1356" s="203">
        <v>43133</v>
      </c>
      <c r="AE1356" s="203">
        <v>43168</v>
      </c>
      <c r="AF1356" s="167" t="s">
        <v>3470</v>
      </c>
    </row>
    <row r="1357" spans="16:32" x14ac:dyDescent="0.25">
      <c r="P1357" s="167" t="s">
        <v>739</v>
      </c>
      <c r="Q1357" s="167">
        <v>353</v>
      </c>
      <c r="R1357" s="167" t="s">
        <v>3407</v>
      </c>
      <c r="S1357" s="167" t="s">
        <v>3095</v>
      </c>
      <c r="T1357" s="167">
        <v>2</v>
      </c>
      <c r="U1357" s="167" t="s">
        <v>3096</v>
      </c>
      <c r="V1357" s="167" t="s">
        <v>3409</v>
      </c>
      <c r="AB1357" s="167" t="s">
        <v>1977</v>
      </c>
      <c r="AC1357" s="167">
        <v>364</v>
      </c>
      <c r="AD1357" s="203">
        <v>43168</v>
      </c>
      <c r="AE1357" s="203">
        <v>43179</v>
      </c>
      <c r="AF1357" s="167" t="s">
        <v>3470</v>
      </c>
    </row>
    <row r="1358" spans="16:32" x14ac:dyDescent="0.25">
      <c r="P1358" s="167" t="s">
        <v>739</v>
      </c>
      <c r="Q1358" s="167">
        <v>353</v>
      </c>
      <c r="R1358" s="167" t="s">
        <v>3407</v>
      </c>
      <c r="S1358" s="167" t="s">
        <v>3095</v>
      </c>
      <c r="T1358" s="167">
        <v>10</v>
      </c>
      <c r="U1358" s="167" t="s">
        <v>3096</v>
      </c>
      <c r="V1358" s="167" t="s">
        <v>3409</v>
      </c>
      <c r="AB1358" s="167" t="s">
        <v>1977</v>
      </c>
      <c r="AC1358" s="167">
        <v>353</v>
      </c>
      <c r="AD1358" s="203">
        <v>43180</v>
      </c>
      <c r="AE1358" s="203">
        <v>0</v>
      </c>
      <c r="AF1358" s="167" t="s">
        <v>3469</v>
      </c>
    </row>
    <row r="1359" spans="16:32" x14ac:dyDescent="0.25">
      <c r="P1359" s="167" t="s">
        <v>739</v>
      </c>
      <c r="Q1359" s="167">
        <v>353</v>
      </c>
      <c r="R1359" s="167" t="s">
        <v>3407</v>
      </c>
      <c r="S1359" s="167" t="s">
        <v>3095</v>
      </c>
      <c r="T1359" s="167">
        <v>4</v>
      </c>
      <c r="U1359" s="167" t="s">
        <v>3096</v>
      </c>
      <c r="V1359" s="167" t="s">
        <v>3409</v>
      </c>
      <c r="AB1359" s="167" t="s">
        <v>1977</v>
      </c>
      <c r="AC1359" s="167">
        <v>353</v>
      </c>
      <c r="AD1359" s="203">
        <v>43180</v>
      </c>
      <c r="AE1359" s="203">
        <v>0</v>
      </c>
      <c r="AF1359" s="167" t="s">
        <v>3469</v>
      </c>
    </row>
    <row r="1360" spans="16:32" x14ac:dyDescent="0.25">
      <c r="P1360" s="167" t="s">
        <v>739</v>
      </c>
      <c r="Q1360" s="167">
        <v>353</v>
      </c>
      <c r="R1360" s="167" t="s">
        <v>3407</v>
      </c>
      <c r="S1360" s="167" t="s">
        <v>3379</v>
      </c>
      <c r="T1360" s="167">
        <v>1</v>
      </c>
      <c r="U1360" s="167" t="s">
        <v>3443</v>
      </c>
      <c r="V1360" s="167" t="s">
        <v>3409</v>
      </c>
      <c r="AB1360" s="167" t="s">
        <v>1977</v>
      </c>
      <c r="AC1360" s="167">
        <v>353</v>
      </c>
      <c r="AD1360" s="203">
        <v>43180</v>
      </c>
      <c r="AE1360" s="203">
        <v>0</v>
      </c>
      <c r="AF1360" s="167" t="s">
        <v>3469</v>
      </c>
    </row>
    <row r="1361" spans="16:32" x14ac:dyDescent="0.25">
      <c r="P1361" s="167" t="s">
        <v>739</v>
      </c>
      <c r="Q1361" s="167">
        <v>353</v>
      </c>
      <c r="R1361" s="167" t="s">
        <v>3407</v>
      </c>
      <c r="S1361" s="167" t="s">
        <v>3379</v>
      </c>
      <c r="T1361" s="167">
        <v>2</v>
      </c>
      <c r="U1361" s="167" t="s">
        <v>3443</v>
      </c>
      <c r="V1361" s="167" t="s">
        <v>3409</v>
      </c>
      <c r="AB1361" s="167" t="s">
        <v>1977</v>
      </c>
      <c r="AC1361" s="167">
        <v>353</v>
      </c>
      <c r="AD1361" s="203">
        <v>43180</v>
      </c>
      <c r="AE1361" s="203">
        <v>0</v>
      </c>
      <c r="AF1361" s="167" t="s">
        <v>3469</v>
      </c>
    </row>
    <row r="1362" spans="16:32" x14ac:dyDescent="0.25">
      <c r="P1362" s="167" t="s">
        <v>739</v>
      </c>
      <c r="Q1362" s="167">
        <v>353</v>
      </c>
      <c r="R1362" s="167" t="s">
        <v>3407</v>
      </c>
      <c r="S1362" s="167" t="s">
        <v>3103</v>
      </c>
      <c r="T1362" s="167">
        <v>3</v>
      </c>
      <c r="U1362" s="167" t="s">
        <v>3104</v>
      </c>
      <c r="V1362" s="167" t="s">
        <v>3409</v>
      </c>
      <c r="AB1362" s="167" t="s">
        <v>1978</v>
      </c>
      <c r="AC1362" s="167">
        <v>323</v>
      </c>
      <c r="AD1362" s="203">
        <v>43074</v>
      </c>
      <c r="AE1362" s="203">
        <v>43111</v>
      </c>
      <c r="AF1362" s="167" t="s">
        <v>3470</v>
      </c>
    </row>
    <row r="1363" spans="16:32" x14ac:dyDescent="0.25">
      <c r="P1363" s="167" t="s">
        <v>739</v>
      </c>
      <c r="Q1363" s="167">
        <v>353</v>
      </c>
      <c r="R1363" s="167" t="s">
        <v>3407</v>
      </c>
      <c r="S1363" s="167" t="s">
        <v>3108</v>
      </c>
      <c r="T1363" s="167">
        <v>2</v>
      </c>
      <c r="U1363" s="167" t="s">
        <v>3109</v>
      </c>
      <c r="V1363" s="167" t="s">
        <v>3409</v>
      </c>
      <c r="AB1363" s="167" t="s">
        <v>1978</v>
      </c>
      <c r="AC1363" s="167">
        <v>347</v>
      </c>
      <c r="AD1363" s="203">
        <v>43118</v>
      </c>
      <c r="AE1363" s="203">
        <v>43133</v>
      </c>
      <c r="AF1363" s="167" t="s">
        <v>3470</v>
      </c>
    </row>
    <row r="1364" spans="16:32" x14ac:dyDescent="0.25">
      <c r="P1364" s="167" t="s">
        <v>739</v>
      </c>
      <c r="Q1364" s="167">
        <v>353</v>
      </c>
      <c r="R1364" s="167" t="s">
        <v>3407</v>
      </c>
      <c r="S1364" s="167" t="s">
        <v>3108</v>
      </c>
      <c r="T1364" s="167">
        <v>3</v>
      </c>
      <c r="U1364" s="167" t="s">
        <v>3109</v>
      </c>
      <c r="V1364" s="167" t="s">
        <v>3409</v>
      </c>
      <c r="AB1364" s="167" t="s">
        <v>1978</v>
      </c>
      <c r="AC1364" s="167">
        <v>340</v>
      </c>
      <c r="AD1364" s="203">
        <v>43133</v>
      </c>
      <c r="AE1364" s="203">
        <v>43168</v>
      </c>
      <c r="AF1364" s="167" t="s">
        <v>3470</v>
      </c>
    </row>
    <row r="1365" spans="16:32" x14ac:dyDescent="0.25">
      <c r="P1365" s="167" t="s">
        <v>739</v>
      </c>
      <c r="Q1365" s="167">
        <v>353</v>
      </c>
      <c r="R1365" s="167" t="s">
        <v>3407</v>
      </c>
      <c r="S1365" s="167" t="s">
        <v>3108</v>
      </c>
      <c r="T1365" s="167">
        <v>7</v>
      </c>
      <c r="U1365" s="167" t="s">
        <v>3109</v>
      </c>
      <c r="V1365" s="167" t="s">
        <v>3409</v>
      </c>
      <c r="AB1365" s="167" t="s">
        <v>3457</v>
      </c>
      <c r="AC1365" s="167">
        <v>327</v>
      </c>
      <c r="AD1365" s="203">
        <v>43074</v>
      </c>
      <c r="AE1365" s="203">
        <v>43131</v>
      </c>
      <c r="AF1365" s="167" t="s">
        <v>3470</v>
      </c>
    </row>
    <row r="1366" spans="16:32" x14ac:dyDescent="0.25">
      <c r="P1366" s="167" t="s">
        <v>739</v>
      </c>
      <c r="Q1366" s="167">
        <v>353</v>
      </c>
      <c r="R1366" s="167" t="s">
        <v>3407</v>
      </c>
      <c r="S1366" s="167" t="s">
        <v>3108</v>
      </c>
      <c r="T1366" s="167">
        <v>2</v>
      </c>
      <c r="U1366" s="167" t="s">
        <v>3109</v>
      </c>
      <c r="V1366" s="167" t="s">
        <v>3409</v>
      </c>
      <c r="AB1366" s="167" t="s">
        <v>3457</v>
      </c>
      <c r="AC1366" s="167">
        <v>347</v>
      </c>
      <c r="AD1366" s="203">
        <v>43118</v>
      </c>
      <c r="AE1366" s="203">
        <v>43133</v>
      </c>
      <c r="AF1366" s="167" t="s">
        <v>3470</v>
      </c>
    </row>
    <row r="1367" spans="16:32" x14ac:dyDescent="0.25">
      <c r="P1367" s="167" t="s">
        <v>739</v>
      </c>
      <c r="Q1367" s="167">
        <v>353</v>
      </c>
      <c r="R1367" s="167" t="s">
        <v>3407</v>
      </c>
      <c r="S1367" s="167" t="s">
        <v>1102</v>
      </c>
      <c r="T1367" s="167">
        <v>3</v>
      </c>
      <c r="U1367" s="167" t="s">
        <v>3110</v>
      </c>
      <c r="V1367" s="167" t="s">
        <v>3409</v>
      </c>
      <c r="AB1367" s="167" t="s">
        <v>3457</v>
      </c>
      <c r="AC1367" s="167">
        <v>340</v>
      </c>
      <c r="AD1367" s="203">
        <v>43133</v>
      </c>
      <c r="AE1367" s="203">
        <v>43168</v>
      </c>
      <c r="AF1367" s="167" t="s">
        <v>3470</v>
      </c>
    </row>
    <row r="1368" spans="16:32" x14ac:dyDescent="0.25">
      <c r="P1368" s="167" t="s">
        <v>739</v>
      </c>
      <c r="Q1368" s="167">
        <v>353</v>
      </c>
      <c r="R1368" s="167" t="s">
        <v>3407</v>
      </c>
      <c r="S1368" s="167" t="s">
        <v>3112</v>
      </c>
      <c r="T1368" s="167">
        <v>5</v>
      </c>
      <c r="U1368" s="167" t="s">
        <v>3113</v>
      </c>
      <c r="V1368" s="167" t="s">
        <v>3409</v>
      </c>
      <c r="AB1368" s="167" t="s">
        <v>3457</v>
      </c>
      <c r="AC1368" s="167">
        <v>340</v>
      </c>
      <c r="AD1368" s="203">
        <v>43133</v>
      </c>
      <c r="AE1368" s="203">
        <v>43168</v>
      </c>
      <c r="AF1368" s="167" t="s">
        <v>3470</v>
      </c>
    </row>
    <row r="1369" spans="16:32" x14ac:dyDescent="0.25">
      <c r="P1369" s="167" t="s">
        <v>739</v>
      </c>
      <c r="Q1369" s="167">
        <v>353</v>
      </c>
      <c r="R1369" s="167" t="s">
        <v>3407</v>
      </c>
      <c r="S1369" s="167" t="s">
        <v>3135</v>
      </c>
      <c r="T1369" s="167">
        <v>30</v>
      </c>
      <c r="U1369" s="167" t="s">
        <v>3136</v>
      </c>
      <c r="V1369" s="167" t="s">
        <v>3409</v>
      </c>
      <c r="AB1369" s="167" t="s">
        <v>3457</v>
      </c>
      <c r="AC1369" s="167">
        <v>357</v>
      </c>
      <c r="AD1369" s="203">
        <v>43139</v>
      </c>
      <c r="AE1369" s="203">
        <v>43164</v>
      </c>
      <c r="AF1369" s="167" t="s">
        <v>3470</v>
      </c>
    </row>
    <row r="1370" spans="16:32" x14ac:dyDescent="0.25">
      <c r="P1370" s="167" t="s">
        <v>739</v>
      </c>
      <c r="Q1370" s="167">
        <v>353</v>
      </c>
      <c r="R1370" s="167" t="s">
        <v>3407</v>
      </c>
      <c r="S1370" s="167" t="s">
        <v>3135</v>
      </c>
      <c r="T1370" s="167">
        <v>9</v>
      </c>
      <c r="U1370" s="167" t="s">
        <v>3136</v>
      </c>
      <c r="V1370" s="167" t="s">
        <v>3409</v>
      </c>
      <c r="AB1370" s="167" t="s">
        <v>3457</v>
      </c>
      <c r="AC1370" s="167">
        <v>364</v>
      </c>
      <c r="AD1370" s="203">
        <v>43168</v>
      </c>
      <c r="AE1370" s="203">
        <v>43179</v>
      </c>
      <c r="AF1370" s="167" t="s">
        <v>3470</v>
      </c>
    </row>
    <row r="1371" spans="16:32" x14ac:dyDescent="0.25">
      <c r="P1371" s="167" t="s">
        <v>739</v>
      </c>
      <c r="Q1371" s="167">
        <v>353</v>
      </c>
      <c r="R1371" s="167" t="s">
        <v>3407</v>
      </c>
      <c r="S1371" s="167" t="s">
        <v>3135</v>
      </c>
      <c r="T1371" s="167">
        <v>10</v>
      </c>
      <c r="U1371" s="167" t="s">
        <v>3136</v>
      </c>
      <c r="V1371" s="167" t="s">
        <v>3409</v>
      </c>
      <c r="AB1371" s="167" t="s">
        <v>3457</v>
      </c>
      <c r="AC1371" s="167">
        <v>374</v>
      </c>
      <c r="AD1371" s="203">
        <v>43195</v>
      </c>
      <c r="AE1371" s="203">
        <v>0</v>
      </c>
      <c r="AF1371" s="167" t="s">
        <v>3469</v>
      </c>
    </row>
    <row r="1372" spans="16:32" x14ac:dyDescent="0.25">
      <c r="P1372" s="167" t="s">
        <v>739</v>
      </c>
      <c r="Q1372" s="167">
        <v>353</v>
      </c>
      <c r="R1372" s="167" t="s">
        <v>3407</v>
      </c>
      <c r="S1372" s="167" t="s">
        <v>3135</v>
      </c>
      <c r="T1372" s="167">
        <v>16</v>
      </c>
      <c r="U1372" s="167" t="s">
        <v>3136</v>
      </c>
      <c r="V1372" s="167" t="s">
        <v>3409</v>
      </c>
      <c r="AB1372" s="167" t="s">
        <v>3421</v>
      </c>
      <c r="AC1372" s="167">
        <v>327</v>
      </c>
      <c r="AD1372" s="203">
        <v>43074</v>
      </c>
      <c r="AE1372" s="203">
        <v>43131</v>
      </c>
      <c r="AF1372" s="167" t="s">
        <v>3470</v>
      </c>
    </row>
    <row r="1373" spans="16:32" x14ac:dyDescent="0.25">
      <c r="P1373" s="167" t="s">
        <v>739</v>
      </c>
      <c r="Q1373" s="167">
        <v>353</v>
      </c>
      <c r="R1373" s="167" t="s">
        <v>3407</v>
      </c>
      <c r="S1373" s="167" t="s">
        <v>3135</v>
      </c>
      <c r="T1373" s="167">
        <v>16</v>
      </c>
      <c r="U1373" s="167" t="s">
        <v>3136</v>
      </c>
      <c r="V1373" s="167" t="s">
        <v>3409</v>
      </c>
      <c r="AB1373" s="167" t="s">
        <v>3421</v>
      </c>
      <c r="AC1373" s="167">
        <v>364</v>
      </c>
      <c r="AD1373" s="203">
        <v>43168</v>
      </c>
      <c r="AE1373" s="203">
        <v>43179</v>
      </c>
      <c r="AF1373" s="167" t="s">
        <v>3470</v>
      </c>
    </row>
    <row r="1374" spans="16:32" x14ac:dyDescent="0.25">
      <c r="P1374" s="167" t="s">
        <v>739</v>
      </c>
      <c r="Q1374" s="167">
        <v>353</v>
      </c>
      <c r="R1374" s="167" t="s">
        <v>3407</v>
      </c>
      <c r="S1374" s="167" t="s">
        <v>3380</v>
      </c>
      <c r="T1374" s="167">
        <v>1</v>
      </c>
      <c r="U1374" s="167" t="s">
        <v>3444</v>
      </c>
      <c r="V1374" s="167" t="s">
        <v>3409</v>
      </c>
      <c r="AB1374" s="167" t="s">
        <v>3421</v>
      </c>
      <c r="AC1374" s="167">
        <v>353</v>
      </c>
      <c r="AD1374" s="203">
        <v>43180</v>
      </c>
      <c r="AE1374" s="203">
        <v>0</v>
      </c>
      <c r="AF1374" s="167" t="s">
        <v>3469</v>
      </c>
    </row>
    <row r="1375" spans="16:32" x14ac:dyDescent="0.25">
      <c r="P1375" s="167" t="s">
        <v>739</v>
      </c>
      <c r="Q1375" s="167">
        <v>353</v>
      </c>
      <c r="R1375" s="167" t="s">
        <v>3407</v>
      </c>
      <c r="S1375" s="167" t="s">
        <v>1103</v>
      </c>
      <c r="T1375" s="167">
        <v>15</v>
      </c>
      <c r="U1375" s="167" t="s">
        <v>3138</v>
      </c>
      <c r="V1375" s="167" t="s">
        <v>3409</v>
      </c>
      <c r="AB1375" s="167" t="s">
        <v>1979</v>
      </c>
      <c r="AC1375" s="167">
        <v>327</v>
      </c>
      <c r="AD1375" s="203">
        <v>43074</v>
      </c>
      <c r="AE1375" s="203">
        <v>43131</v>
      </c>
      <c r="AF1375" s="167" t="s">
        <v>3470</v>
      </c>
    </row>
    <row r="1376" spans="16:32" x14ac:dyDescent="0.25">
      <c r="P1376" s="167" t="s">
        <v>739</v>
      </c>
      <c r="Q1376" s="167">
        <v>353</v>
      </c>
      <c r="R1376" s="167" t="s">
        <v>3407</v>
      </c>
      <c r="S1376" s="167" t="s">
        <v>1103</v>
      </c>
      <c r="T1376" s="167">
        <v>6</v>
      </c>
      <c r="U1376" s="167" t="s">
        <v>3138</v>
      </c>
      <c r="V1376" s="167" t="s">
        <v>3409</v>
      </c>
      <c r="AB1376" s="167" t="s">
        <v>1979</v>
      </c>
      <c r="AC1376" s="167">
        <v>327</v>
      </c>
      <c r="AD1376" s="203">
        <v>43074</v>
      </c>
      <c r="AE1376" s="203">
        <v>43131</v>
      </c>
      <c r="AF1376" s="167" t="s">
        <v>3470</v>
      </c>
    </row>
    <row r="1377" spans="16:32" x14ac:dyDescent="0.25">
      <c r="P1377" s="167" t="s">
        <v>739</v>
      </c>
      <c r="Q1377" s="167">
        <v>353</v>
      </c>
      <c r="R1377" s="167" t="s">
        <v>3407</v>
      </c>
      <c r="S1377" s="167" t="s">
        <v>1103</v>
      </c>
      <c r="T1377" s="167">
        <v>6</v>
      </c>
      <c r="U1377" s="167" t="s">
        <v>3138</v>
      </c>
      <c r="V1377" s="167" t="s">
        <v>3409</v>
      </c>
      <c r="AB1377" s="167" t="s">
        <v>1979</v>
      </c>
      <c r="AC1377" s="167">
        <v>327</v>
      </c>
      <c r="AD1377" s="203">
        <v>43074</v>
      </c>
      <c r="AE1377" s="203">
        <v>43131</v>
      </c>
      <c r="AF1377" s="167" t="s">
        <v>3470</v>
      </c>
    </row>
    <row r="1378" spans="16:32" x14ac:dyDescent="0.25">
      <c r="P1378" s="167" t="s">
        <v>739</v>
      </c>
      <c r="Q1378" s="167">
        <v>353</v>
      </c>
      <c r="R1378" s="167" t="s">
        <v>3407</v>
      </c>
      <c r="S1378" s="167" t="s">
        <v>1104</v>
      </c>
      <c r="T1378" s="167">
        <v>1</v>
      </c>
      <c r="U1378" s="167" t="s">
        <v>3139</v>
      </c>
      <c r="V1378" s="167" t="s">
        <v>3409</v>
      </c>
      <c r="AB1378" s="167" t="s">
        <v>1979</v>
      </c>
      <c r="AC1378" s="167">
        <v>327</v>
      </c>
      <c r="AD1378" s="203">
        <v>43074</v>
      </c>
      <c r="AE1378" s="203">
        <v>43131</v>
      </c>
      <c r="AF1378" s="167" t="s">
        <v>3470</v>
      </c>
    </row>
    <row r="1379" spans="16:32" x14ac:dyDescent="0.25">
      <c r="P1379" s="167" t="s">
        <v>739</v>
      </c>
      <c r="Q1379" s="167">
        <v>353</v>
      </c>
      <c r="R1379" s="167" t="s">
        <v>3407</v>
      </c>
      <c r="S1379" s="167" t="s">
        <v>3140</v>
      </c>
      <c r="T1379" s="167">
        <v>7</v>
      </c>
      <c r="U1379" s="167" t="s">
        <v>3141</v>
      </c>
      <c r="V1379" s="167" t="s">
        <v>3409</v>
      </c>
      <c r="AB1379" s="167" t="s">
        <v>1979</v>
      </c>
      <c r="AC1379" s="167">
        <v>327</v>
      </c>
      <c r="AD1379" s="203">
        <v>43074</v>
      </c>
      <c r="AE1379" s="203">
        <v>43131</v>
      </c>
      <c r="AF1379" s="167" t="s">
        <v>3470</v>
      </c>
    </row>
    <row r="1380" spans="16:32" x14ac:dyDescent="0.25">
      <c r="P1380" s="167" t="s">
        <v>739</v>
      </c>
      <c r="Q1380" s="167">
        <v>353</v>
      </c>
      <c r="R1380" s="167" t="s">
        <v>3407</v>
      </c>
      <c r="S1380" s="167" t="s">
        <v>3140</v>
      </c>
      <c r="T1380" s="167">
        <v>3</v>
      </c>
      <c r="U1380" s="167" t="s">
        <v>3141</v>
      </c>
      <c r="V1380" s="167" t="s">
        <v>3409</v>
      </c>
      <c r="AB1380" s="167" t="s">
        <v>1979</v>
      </c>
      <c r="AC1380" s="167">
        <v>347</v>
      </c>
      <c r="AD1380" s="203">
        <v>43118</v>
      </c>
      <c r="AE1380" s="203">
        <v>43133</v>
      </c>
      <c r="AF1380" s="167" t="s">
        <v>3470</v>
      </c>
    </row>
    <row r="1381" spans="16:32" x14ac:dyDescent="0.25">
      <c r="P1381" s="167" t="s">
        <v>739</v>
      </c>
      <c r="Q1381" s="167">
        <v>353</v>
      </c>
      <c r="R1381" s="167" t="s">
        <v>3407</v>
      </c>
      <c r="S1381" s="167" t="s">
        <v>3147</v>
      </c>
      <c r="T1381" s="167">
        <v>5</v>
      </c>
      <c r="U1381" s="167" t="s">
        <v>3148</v>
      </c>
      <c r="V1381" s="167" t="s">
        <v>3409</v>
      </c>
      <c r="AB1381" s="167" t="s">
        <v>1979</v>
      </c>
      <c r="AC1381" s="167">
        <v>340</v>
      </c>
      <c r="AD1381" s="203">
        <v>43133</v>
      </c>
      <c r="AE1381" s="203">
        <v>43168</v>
      </c>
      <c r="AF1381" s="167" t="s">
        <v>3470</v>
      </c>
    </row>
    <row r="1382" spans="16:32" x14ac:dyDescent="0.25">
      <c r="P1382" s="167" t="s">
        <v>739</v>
      </c>
      <c r="Q1382" s="167">
        <v>353</v>
      </c>
      <c r="R1382" s="167" t="s">
        <v>3407</v>
      </c>
      <c r="S1382" s="167" t="s">
        <v>3147</v>
      </c>
      <c r="T1382" s="167">
        <v>5</v>
      </c>
      <c r="U1382" s="167" t="s">
        <v>3148</v>
      </c>
      <c r="V1382" s="167" t="s">
        <v>3409</v>
      </c>
      <c r="AB1382" s="167" t="s">
        <v>1979</v>
      </c>
      <c r="AC1382" s="167">
        <v>340</v>
      </c>
      <c r="AD1382" s="203">
        <v>43133</v>
      </c>
      <c r="AE1382" s="203">
        <v>43168</v>
      </c>
      <c r="AF1382" s="167" t="s">
        <v>3470</v>
      </c>
    </row>
    <row r="1383" spans="16:32" x14ac:dyDescent="0.25">
      <c r="P1383" s="167" t="s">
        <v>739</v>
      </c>
      <c r="Q1383" s="167">
        <v>353</v>
      </c>
      <c r="R1383" s="167" t="s">
        <v>3407</v>
      </c>
      <c r="S1383" s="167" t="s">
        <v>3151</v>
      </c>
      <c r="T1383" s="167">
        <v>3</v>
      </c>
      <c r="U1383" s="167" t="s">
        <v>3152</v>
      </c>
      <c r="V1383" s="167" t="s">
        <v>3409</v>
      </c>
      <c r="AB1383" s="167" t="s">
        <v>1979</v>
      </c>
      <c r="AC1383" s="167">
        <v>340</v>
      </c>
      <c r="AD1383" s="203">
        <v>43133</v>
      </c>
      <c r="AE1383" s="203">
        <v>43168</v>
      </c>
      <c r="AF1383" s="167" t="s">
        <v>3470</v>
      </c>
    </row>
    <row r="1384" spans="16:32" x14ac:dyDescent="0.25">
      <c r="P1384" s="167" t="s">
        <v>739</v>
      </c>
      <c r="Q1384" s="167">
        <v>353</v>
      </c>
      <c r="R1384" s="167" t="s">
        <v>3407</v>
      </c>
      <c r="S1384" s="167" t="s">
        <v>3229</v>
      </c>
      <c r="T1384" s="167">
        <v>4</v>
      </c>
      <c r="U1384" s="167" t="s">
        <v>3230</v>
      </c>
      <c r="V1384" s="167" t="s">
        <v>3409</v>
      </c>
      <c r="AB1384" s="167" t="s">
        <v>1979</v>
      </c>
      <c r="AC1384" s="167">
        <v>357</v>
      </c>
      <c r="AD1384" s="203">
        <v>43139</v>
      </c>
      <c r="AE1384" s="203">
        <v>43164</v>
      </c>
      <c r="AF1384" s="167" t="s">
        <v>3470</v>
      </c>
    </row>
    <row r="1385" spans="16:32" x14ac:dyDescent="0.25">
      <c r="P1385" s="167" t="s">
        <v>739</v>
      </c>
      <c r="Q1385" s="167">
        <v>353</v>
      </c>
      <c r="R1385" s="167" t="s">
        <v>3407</v>
      </c>
      <c r="S1385" s="167" t="s">
        <v>3229</v>
      </c>
      <c r="T1385" s="167">
        <v>1</v>
      </c>
      <c r="U1385" s="167" t="s">
        <v>3230</v>
      </c>
      <c r="V1385" s="167" t="s">
        <v>3409</v>
      </c>
      <c r="AB1385" s="167" t="s">
        <v>1979</v>
      </c>
      <c r="AC1385" s="167">
        <v>353</v>
      </c>
      <c r="AD1385" s="203">
        <v>43180</v>
      </c>
      <c r="AE1385" s="203">
        <v>0</v>
      </c>
      <c r="AF1385" s="167" t="s">
        <v>3469</v>
      </c>
    </row>
    <row r="1386" spans="16:32" x14ac:dyDescent="0.25">
      <c r="P1386" s="167" t="s">
        <v>739</v>
      </c>
      <c r="Q1386" s="167">
        <v>353</v>
      </c>
      <c r="R1386" s="167" t="s">
        <v>3407</v>
      </c>
      <c r="S1386" s="167" t="s">
        <v>3229</v>
      </c>
      <c r="T1386" s="167">
        <v>4</v>
      </c>
      <c r="U1386" s="167" t="s">
        <v>3230</v>
      </c>
      <c r="V1386" s="167" t="s">
        <v>3409</v>
      </c>
      <c r="AB1386" s="167" t="s">
        <v>1979</v>
      </c>
      <c r="AC1386" s="167">
        <v>353</v>
      </c>
      <c r="AD1386" s="203">
        <v>43180</v>
      </c>
      <c r="AE1386" s="203">
        <v>0</v>
      </c>
      <c r="AF1386" s="167" t="s">
        <v>3469</v>
      </c>
    </row>
    <row r="1387" spans="16:32" x14ac:dyDescent="0.25">
      <c r="P1387" s="167" t="s">
        <v>739</v>
      </c>
      <c r="Q1387" s="167">
        <v>353</v>
      </c>
      <c r="R1387" s="167" t="s">
        <v>3407</v>
      </c>
      <c r="S1387" s="167" t="s">
        <v>3229</v>
      </c>
      <c r="T1387" s="167">
        <v>7</v>
      </c>
      <c r="U1387" s="167" t="s">
        <v>3230</v>
      </c>
      <c r="V1387" s="167" t="s">
        <v>3409</v>
      </c>
      <c r="AB1387" s="167" t="s">
        <v>1979</v>
      </c>
      <c r="AC1387" s="167">
        <v>353</v>
      </c>
      <c r="AD1387" s="203">
        <v>43180</v>
      </c>
      <c r="AE1387" s="203">
        <v>0</v>
      </c>
      <c r="AF1387" s="167" t="s">
        <v>3469</v>
      </c>
    </row>
    <row r="1388" spans="16:32" x14ac:dyDescent="0.25">
      <c r="P1388" s="167" t="s">
        <v>739</v>
      </c>
      <c r="Q1388" s="167">
        <v>353</v>
      </c>
      <c r="R1388" s="167" t="s">
        <v>3407</v>
      </c>
      <c r="S1388" s="167" t="s">
        <v>3234</v>
      </c>
      <c r="T1388" s="167">
        <v>25</v>
      </c>
      <c r="U1388" s="167" t="s">
        <v>3235</v>
      </c>
      <c r="V1388" s="167" t="s">
        <v>3409</v>
      </c>
      <c r="AB1388" s="167" t="s">
        <v>1979</v>
      </c>
      <c r="AC1388" s="167">
        <v>353</v>
      </c>
      <c r="AD1388" s="203">
        <v>43180</v>
      </c>
      <c r="AE1388" s="203">
        <v>0</v>
      </c>
      <c r="AF1388" s="167" t="s">
        <v>3469</v>
      </c>
    </row>
    <row r="1389" spans="16:32" x14ac:dyDescent="0.25">
      <c r="P1389" s="167" t="s">
        <v>739</v>
      </c>
      <c r="Q1389" s="167">
        <v>353</v>
      </c>
      <c r="R1389" s="167" t="s">
        <v>3407</v>
      </c>
      <c r="S1389" s="167" t="s">
        <v>3234</v>
      </c>
      <c r="T1389" s="167">
        <v>44</v>
      </c>
      <c r="U1389" s="167" t="s">
        <v>3235</v>
      </c>
      <c r="V1389" s="167" t="s">
        <v>3409</v>
      </c>
      <c r="AB1389" s="167" t="s">
        <v>1981</v>
      </c>
      <c r="AC1389" s="167">
        <v>347</v>
      </c>
      <c r="AD1389" s="203">
        <v>43118</v>
      </c>
      <c r="AE1389" s="203">
        <v>43133</v>
      </c>
      <c r="AF1389" s="167" t="s">
        <v>3470</v>
      </c>
    </row>
    <row r="1390" spans="16:32" x14ac:dyDescent="0.25">
      <c r="P1390" s="167" t="s">
        <v>739</v>
      </c>
      <c r="Q1390" s="167">
        <v>353</v>
      </c>
      <c r="R1390" s="167" t="s">
        <v>3407</v>
      </c>
      <c r="S1390" s="167" t="s">
        <v>3236</v>
      </c>
      <c r="T1390" s="167">
        <v>347</v>
      </c>
      <c r="U1390" s="167" t="s">
        <v>3237</v>
      </c>
      <c r="V1390" s="167" t="s">
        <v>3409</v>
      </c>
      <c r="AB1390" s="167" t="s">
        <v>1981</v>
      </c>
      <c r="AC1390" s="167">
        <v>340</v>
      </c>
      <c r="AD1390" s="203">
        <v>43133</v>
      </c>
      <c r="AE1390" s="203">
        <v>43168</v>
      </c>
      <c r="AF1390" s="167" t="s">
        <v>3470</v>
      </c>
    </row>
    <row r="1391" spans="16:32" x14ac:dyDescent="0.25">
      <c r="P1391" s="167" t="s">
        <v>739</v>
      </c>
      <c r="Q1391" s="167">
        <v>353</v>
      </c>
      <c r="R1391" s="167" t="s">
        <v>3407</v>
      </c>
      <c r="S1391" s="167" t="s">
        <v>3236</v>
      </c>
      <c r="T1391" s="167">
        <v>1</v>
      </c>
      <c r="U1391" s="167" t="s">
        <v>3237</v>
      </c>
      <c r="V1391" s="167" t="s">
        <v>3409</v>
      </c>
      <c r="AB1391" s="167" t="s">
        <v>1981</v>
      </c>
      <c r="AC1391" s="167">
        <v>357</v>
      </c>
      <c r="AD1391" s="203">
        <v>43139</v>
      </c>
      <c r="AE1391" s="203">
        <v>43164</v>
      </c>
      <c r="AF1391" s="167" t="s">
        <v>3470</v>
      </c>
    </row>
    <row r="1392" spans="16:32" x14ac:dyDescent="0.25">
      <c r="P1392" s="167" t="s">
        <v>739</v>
      </c>
      <c r="Q1392" s="167">
        <v>353</v>
      </c>
      <c r="R1392" s="167" t="s">
        <v>3407</v>
      </c>
      <c r="S1392" s="167" t="s">
        <v>3236</v>
      </c>
      <c r="T1392" s="167">
        <v>183</v>
      </c>
      <c r="U1392" s="167" t="s">
        <v>3237</v>
      </c>
      <c r="V1392" s="167" t="s">
        <v>3409</v>
      </c>
      <c r="AB1392" s="167" t="s">
        <v>1981</v>
      </c>
      <c r="AC1392" s="167">
        <v>353</v>
      </c>
      <c r="AD1392" s="203">
        <v>43180</v>
      </c>
      <c r="AE1392" s="203">
        <v>0</v>
      </c>
      <c r="AF1392" s="167" t="s">
        <v>3469</v>
      </c>
    </row>
    <row r="1393" spans="16:32" x14ac:dyDescent="0.25">
      <c r="P1393" s="167" t="s">
        <v>739</v>
      </c>
      <c r="Q1393" s="167">
        <v>353</v>
      </c>
      <c r="R1393" s="167" t="s">
        <v>3407</v>
      </c>
      <c r="S1393" s="167" t="s">
        <v>3236</v>
      </c>
      <c r="T1393" s="167">
        <v>30</v>
      </c>
      <c r="U1393" s="167" t="s">
        <v>3237</v>
      </c>
      <c r="V1393" s="167" t="s">
        <v>3409</v>
      </c>
      <c r="AB1393" s="167" t="s">
        <v>1981</v>
      </c>
      <c r="AC1393" s="167">
        <v>353</v>
      </c>
      <c r="AD1393" s="203">
        <v>43180</v>
      </c>
      <c r="AE1393" s="203">
        <v>0</v>
      </c>
      <c r="AF1393" s="167" t="s">
        <v>3469</v>
      </c>
    </row>
    <row r="1394" spans="16:32" x14ac:dyDescent="0.25">
      <c r="P1394" s="167" t="s">
        <v>739</v>
      </c>
      <c r="Q1394" s="167">
        <v>353</v>
      </c>
      <c r="R1394" s="167" t="s">
        <v>3407</v>
      </c>
      <c r="S1394" s="167" t="s">
        <v>3236</v>
      </c>
      <c r="T1394" s="167">
        <v>66</v>
      </c>
      <c r="U1394" s="167" t="s">
        <v>3237</v>
      </c>
      <c r="V1394" s="167" t="s">
        <v>3409</v>
      </c>
      <c r="AB1394" s="167" t="s">
        <v>1983</v>
      </c>
      <c r="AC1394" s="167">
        <v>347</v>
      </c>
      <c r="AD1394" s="203">
        <v>43118</v>
      </c>
      <c r="AE1394" s="203">
        <v>43133</v>
      </c>
      <c r="AF1394" s="167" t="s">
        <v>3470</v>
      </c>
    </row>
    <row r="1395" spans="16:32" x14ac:dyDescent="0.25">
      <c r="P1395" s="167" t="s">
        <v>739</v>
      </c>
      <c r="Q1395" s="167">
        <v>353</v>
      </c>
      <c r="R1395" s="167" t="s">
        <v>3407</v>
      </c>
      <c r="S1395" s="167" t="s">
        <v>3236</v>
      </c>
      <c r="T1395" s="167">
        <v>3</v>
      </c>
      <c r="U1395" s="167" t="s">
        <v>3237</v>
      </c>
      <c r="V1395" s="167" t="s">
        <v>3409</v>
      </c>
      <c r="AB1395" s="167" t="s">
        <v>1983</v>
      </c>
      <c r="AC1395" s="167">
        <v>340</v>
      </c>
      <c r="AD1395" s="203">
        <v>43133</v>
      </c>
      <c r="AE1395" s="203">
        <v>43168</v>
      </c>
      <c r="AF1395" s="167" t="s">
        <v>3470</v>
      </c>
    </row>
    <row r="1396" spans="16:32" x14ac:dyDescent="0.25">
      <c r="P1396" s="167" t="s">
        <v>739</v>
      </c>
      <c r="Q1396" s="167">
        <v>353</v>
      </c>
      <c r="R1396" s="167" t="s">
        <v>3407</v>
      </c>
      <c r="S1396" s="167" t="s">
        <v>3236</v>
      </c>
      <c r="T1396" s="167">
        <v>176</v>
      </c>
      <c r="U1396" s="167" t="s">
        <v>3237</v>
      </c>
      <c r="V1396" s="167" t="s">
        <v>3409</v>
      </c>
      <c r="AB1396" s="167" t="s">
        <v>1983</v>
      </c>
      <c r="AC1396" s="167">
        <v>357</v>
      </c>
      <c r="AD1396" s="203">
        <v>43139</v>
      </c>
      <c r="AE1396" s="203">
        <v>43164</v>
      </c>
      <c r="AF1396" s="167" t="s">
        <v>3470</v>
      </c>
    </row>
    <row r="1397" spans="16:32" x14ac:dyDescent="0.25">
      <c r="P1397" s="167" t="s">
        <v>739</v>
      </c>
      <c r="Q1397" s="167">
        <v>353</v>
      </c>
      <c r="R1397" s="167" t="s">
        <v>3407</v>
      </c>
      <c r="S1397" s="167" t="s">
        <v>3251</v>
      </c>
      <c r="T1397" s="167">
        <v>14</v>
      </c>
      <c r="U1397" s="167" t="s">
        <v>3252</v>
      </c>
      <c r="V1397" s="167" t="s">
        <v>3409</v>
      </c>
      <c r="AB1397" s="167" t="s">
        <v>1983</v>
      </c>
      <c r="AC1397" s="167">
        <v>353</v>
      </c>
      <c r="AD1397" s="203">
        <v>43180</v>
      </c>
      <c r="AE1397" s="203">
        <v>0</v>
      </c>
      <c r="AF1397" s="167" t="s">
        <v>3469</v>
      </c>
    </row>
    <row r="1398" spans="16:32" x14ac:dyDescent="0.25">
      <c r="P1398" s="167" t="s">
        <v>739</v>
      </c>
      <c r="Q1398" s="167">
        <v>353</v>
      </c>
      <c r="R1398" s="167" t="s">
        <v>3407</v>
      </c>
      <c r="S1398" s="167" t="s">
        <v>3251</v>
      </c>
      <c r="T1398" s="167">
        <v>10</v>
      </c>
      <c r="U1398" s="167" t="s">
        <v>3252</v>
      </c>
      <c r="V1398" s="167" t="s">
        <v>3409</v>
      </c>
      <c r="AB1398" s="167" t="s">
        <v>1985</v>
      </c>
      <c r="AC1398" s="167">
        <v>347</v>
      </c>
      <c r="AD1398" s="203">
        <v>43118</v>
      </c>
      <c r="AE1398" s="203">
        <v>43133</v>
      </c>
      <c r="AF1398" s="167" t="s">
        <v>3470</v>
      </c>
    </row>
    <row r="1399" spans="16:32" x14ac:dyDescent="0.25">
      <c r="P1399" s="167" t="s">
        <v>739</v>
      </c>
      <c r="Q1399" s="167">
        <v>353</v>
      </c>
      <c r="R1399" s="167" t="s">
        <v>3407</v>
      </c>
      <c r="S1399" s="167" t="s">
        <v>3251</v>
      </c>
      <c r="T1399" s="167">
        <v>2</v>
      </c>
      <c r="U1399" s="167" t="s">
        <v>3252</v>
      </c>
      <c r="V1399" s="167" t="s">
        <v>3409</v>
      </c>
      <c r="AB1399" s="167" t="s">
        <v>1985</v>
      </c>
      <c r="AC1399" s="167">
        <v>340</v>
      </c>
      <c r="AD1399" s="203">
        <v>43133</v>
      </c>
      <c r="AE1399" s="203">
        <v>43168</v>
      </c>
      <c r="AF1399" s="167" t="s">
        <v>3470</v>
      </c>
    </row>
    <row r="1400" spans="16:32" x14ac:dyDescent="0.25">
      <c r="P1400" s="167" t="s">
        <v>739</v>
      </c>
      <c r="Q1400" s="167">
        <v>353</v>
      </c>
      <c r="R1400" s="167" t="s">
        <v>3407</v>
      </c>
      <c r="S1400" s="167" t="s">
        <v>3262</v>
      </c>
      <c r="T1400" s="167">
        <v>12</v>
      </c>
      <c r="U1400" s="167" t="s">
        <v>3263</v>
      </c>
      <c r="V1400" s="167" t="s">
        <v>3409</v>
      </c>
      <c r="AB1400" s="167" t="s">
        <v>1985</v>
      </c>
      <c r="AC1400" s="167">
        <v>340</v>
      </c>
      <c r="AD1400" s="203">
        <v>43133</v>
      </c>
      <c r="AE1400" s="203">
        <v>43168</v>
      </c>
      <c r="AF1400" s="167" t="s">
        <v>3470</v>
      </c>
    </row>
    <row r="1401" spans="16:32" x14ac:dyDescent="0.25">
      <c r="P1401" s="167" t="s">
        <v>739</v>
      </c>
      <c r="Q1401" s="167">
        <v>353</v>
      </c>
      <c r="R1401" s="167" t="s">
        <v>3407</v>
      </c>
      <c r="S1401" s="167" t="s">
        <v>3262</v>
      </c>
      <c r="T1401" s="167">
        <v>3</v>
      </c>
      <c r="U1401" s="167" t="s">
        <v>3263</v>
      </c>
      <c r="V1401" s="167" t="s">
        <v>3409</v>
      </c>
      <c r="AB1401" s="167" t="s">
        <v>1985</v>
      </c>
      <c r="AC1401" s="167">
        <v>340</v>
      </c>
      <c r="AD1401" s="203">
        <v>43133</v>
      </c>
      <c r="AE1401" s="203">
        <v>43168</v>
      </c>
      <c r="AF1401" s="167" t="s">
        <v>3470</v>
      </c>
    </row>
    <row r="1402" spans="16:32" x14ac:dyDescent="0.25">
      <c r="P1402" s="167" t="s">
        <v>739</v>
      </c>
      <c r="Q1402" s="167">
        <v>353</v>
      </c>
      <c r="R1402" s="167" t="s">
        <v>3407</v>
      </c>
      <c r="S1402" s="167" t="s">
        <v>3264</v>
      </c>
      <c r="T1402" s="167">
        <v>2</v>
      </c>
      <c r="U1402" s="167" t="s">
        <v>3265</v>
      </c>
      <c r="V1402" s="167" t="s">
        <v>3409</v>
      </c>
      <c r="AB1402" s="167" t="s">
        <v>1985</v>
      </c>
      <c r="AC1402" s="167">
        <v>353</v>
      </c>
      <c r="AD1402" s="203">
        <v>43180</v>
      </c>
      <c r="AE1402" s="203">
        <v>0</v>
      </c>
      <c r="AF1402" s="167" t="s">
        <v>3469</v>
      </c>
    </row>
    <row r="1403" spans="16:32" x14ac:dyDescent="0.25">
      <c r="P1403" s="167" t="s">
        <v>739</v>
      </c>
      <c r="Q1403" s="167">
        <v>353</v>
      </c>
      <c r="R1403" s="167" t="s">
        <v>3407</v>
      </c>
      <c r="S1403" s="167" t="s">
        <v>3266</v>
      </c>
      <c r="T1403" s="167">
        <v>2</v>
      </c>
      <c r="U1403" s="167" t="s">
        <v>3267</v>
      </c>
      <c r="V1403" s="167" t="s">
        <v>3409</v>
      </c>
      <c r="AB1403" s="167" t="s">
        <v>1985</v>
      </c>
      <c r="AC1403" s="167">
        <v>353</v>
      </c>
      <c r="AD1403" s="203">
        <v>43180</v>
      </c>
      <c r="AE1403" s="203">
        <v>0</v>
      </c>
      <c r="AF1403" s="167" t="s">
        <v>3469</v>
      </c>
    </row>
    <row r="1404" spans="16:32" x14ac:dyDescent="0.25">
      <c r="P1404" s="167" t="s">
        <v>739</v>
      </c>
      <c r="Q1404" s="167">
        <v>353</v>
      </c>
      <c r="R1404" s="167" t="s">
        <v>3407</v>
      </c>
      <c r="S1404" s="167" t="s">
        <v>3268</v>
      </c>
      <c r="T1404" s="167">
        <v>2</v>
      </c>
      <c r="U1404" s="167" t="s">
        <v>3269</v>
      </c>
      <c r="V1404" s="167" t="s">
        <v>3409</v>
      </c>
      <c r="AB1404" s="167" t="s">
        <v>1985</v>
      </c>
      <c r="AC1404" s="167">
        <v>353</v>
      </c>
      <c r="AD1404" s="203">
        <v>43180</v>
      </c>
      <c r="AE1404" s="203">
        <v>0</v>
      </c>
      <c r="AF1404" s="167" t="s">
        <v>3469</v>
      </c>
    </row>
    <row r="1405" spans="16:32" x14ac:dyDescent="0.25">
      <c r="P1405" s="167" t="s">
        <v>739</v>
      </c>
      <c r="Q1405" s="167">
        <v>353</v>
      </c>
      <c r="R1405" s="167" t="s">
        <v>3407</v>
      </c>
      <c r="S1405" s="167" t="s">
        <v>3270</v>
      </c>
      <c r="T1405" s="167">
        <v>2</v>
      </c>
      <c r="U1405" s="167" t="s">
        <v>3271</v>
      </c>
      <c r="V1405" s="167" t="s">
        <v>3409</v>
      </c>
      <c r="AB1405" s="167" t="s">
        <v>1986</v>
      </c>
      <c r="AC1405" s="167">
        <v>327</v>
      </c>
      <c r="AD1405" s="203">
        <v>43074</v>
      </c>
      <c r="AE1405" s="203">
        <v>43131</v>
      </c>
      <c r="AF1405" s="167" t="s">
        <v>3470</v>
      </c>
    </row>
    <row r="1406" spans="16:32" x14ac:dyDescent="0.25">
      <c r="P1406" s="167" t="s">
        <v>739</v>
      </c>
      <c r="Q1406" s="167">
        <v>353</v>
      </c>
      <c r="R1406" s="167" t="s">
        <v>3407</v>
      </c>
      <c r="S1406" s="167" t="s">
        <v>3272</v>
      </c>
      <c r="T1406" s="167">
        <v>3</v>
      </c>
      <c r="U1406" s="167" t="s">
        <v>3273</v>
      </c>
      <c r="V1406" s="167" t="s">
        <v>3409</v>
      </c>
      <c r="AB1406" s="167" t="s">
        <v>1986</v>
      </c>
      <c r="AC1406" s="167">
        <v>347</v>
      </c>
      <c r="AD1406" s="203">
        <v>43118</v>
      </c>
      <c r="AE1406" s="203">
        <v>43133</v>
      </c>
      <c r="AF1406" s="167" t="s">
        <v>3470</v>
      </c>
    </row>
    <row r="1407" spans="16:32" x14ac:dyDescent="0.25">
      <c r="P1407" s="167" t="s">
        <v>739</v>
      </c>
      <c r="Q1407" s="167">
        <v>353</v>
      </c>
      <c r="R1407" s="167" t="s">
        <v>3407</v>
      </c>
      <c r="S1407" s="167" t="s">
        <v>3274</v>
      </c>
      <c r="T1407" s="167">
        <v>3</v>
      </c>
      <c r="U1407" s="167" t="s">
        <v>3275</v>
      </c>
      <c r="V1407" s="167" t="s">
        <v>3409</v>
      </c>
      <c r="AB1407" s="167" t="s">
        <v>1986</v>
      </c>
      <c r="AC1407" s="167">
        <v>357</v>
      </c>
      <c r="AD1407" s="203">
        <v>43139</v>
      </c>
      <c r="AE1407" s="203">
        <v>43164</v>
      </c>
      <c r="AF1407" s="167" t="s">
        <v>3470</v>
      </c>
    </row>
    <row r="1408" spans="16:32" x14ac:dyDescent="0.25">
      <c r="P1408" s="167" t="s">
        <v>739</v>
      </c>
      <c r="Q1408" s="167">
        <v>353</v>
      </c>
      <c r="R1408" s="167" t="s">
        <v>3407</v>
      </c>
      <c r="S1408" s="167" t="s">
        <v>3279</v>
      </c>
      <c r="T1408" s="167">
        <v>1</v>
      </c>
      <c r="U1408" s="167" t="s">
        <v>3280</v>
      </c>
      <c r="V1408" s="167" t="s">
        <v>3409</v>
      </c>
      <c r="AB1408" s="167" t="s">
        <v>1986</v>
      </c>
      <c r="AC1408" s="167">
        <v>364</v>
      </c>
      <c r="AD1408" s="203">
        <v>43168</v>
      </c>
      <c r="AE1408" s="203">
        <v>43179</v>
      </c>
      <c r="AF1408" s="167" t="s">
        <v>3470</v>
      </c>
    </row>
    <row r="1409" spans="16:32" x14ac:dyDescent="0.25">
      <c r="P1409" s="167" t="s">
        <v>739</v>
      </c>
      <c r="Q1409" s="167">
        <v>353</v>
      </c>
      <c r="R1409" s="167" t="s">
        <v>3407</v>
      </c>
      <c r="S1409" s="167" t="s">
        <v>3281</v>
      </c>
      <c r="T1409" s="167">
        <v>5</v>
      </c>
      <c r="U1409" s="167" t="s">
        <v>3282</v>
      </c>
      <c r="V1409" s="167" t="s">
        <v>3409</v>
      </c>
      <c r="AB1409" s="167" t="s">
        <v>1986</v>
      </c>
      <c r="AC1409" s="167">
        <v>353</v>
      </c>
      <c r="AD1409" s="203">
        <v>43180</v>
      </c>
      <c r="AE1409" s="203">
        <v>0</v>
      </c>
      <c r="AF1409" s="167" t="s">
        <v>3469</v>
      </c>
    </row>
    <row r="1410" spans="16:32" x14ac:dyDescent="0.25">
      <c r="P1410" s="167" t="s">
        <v>739</v>
      </c>
      <c r="Q1410" s="167">
        <v>353</v>
      </c>
      <c r="R1410" s="167" t="s">
        <v>3407</v>
      </c>
      <c r="S1410" s="167" t="s">
        <v>3283</v>
      </c>
      <c r="T1410" s="167">
        <v>6</v>
      </c>
      <c r="U1410" s="167" t="s">
        <v>3284</v>
      </c>
      <c r="V1410" s="167" t="s">
        <v>3409</v>
      </c>
      <c r="AB1410" s="167" t="s">
        <v>1986</v>
      </c>
      <c r="AC1410" s="167">
        <v>353</v>
      </c>
      <c r="AD1410" s="203">
        <v>43180</v>
      </c>
      <c r="AE1410" s="203">
        <v>0</v>
      </c>
      <c r="AF1410" s="167" t="s">
        <v>3469</v>
      </c>
    </row>
    <row r="1411" spans="16:32" x14ac:dyDescent="0.25">
      <c r="P1411" s="167" t="s">
        <v>739</v>
      </c>
      <c r="Q1411" s="167">
        <v>353</v>
      </c>
      <c r="R1411" s="167" t="s">
        <v>3407</v>
      </c>
      <c r="S1411" s="167" t="s">
        <v>3285</v>
      </c>
      <c r="T1411" s="167">
        <v>4</v>
      </c>
      <c r="U1411" s="167" t="s">
        <v>3286</v>
      </c>
      <c r="V1411" s="167" t="s">
        <v>3409</v>
      </c>
      <c r="AB1411" s="167" t="s">
        <v>1986</v>
      </c>
      <c r="AC1411" s="167">
        <v>353</v>
      </c>
      <c r="AD1411" s="203">
        <v>43180</v>
      </c>
      <c r="AE1411" s="203">
        <v>0</v>
      </c>
      <c r="AF1411" s="167" t="s">
        <v>3469</v>
      </c>
    </row>
    <row r="1412" spans="16:32" x14ac:dyDescent="0.25">
      <c r="P1412" s="167" t="s">
        <v>739</v>
      </c>
      <c r="Q1412" s="167">
        <v>353</v>
      </c>
      <c r="R1412" s="167" t="s">
        <v>3407</v>
      </c>
      <c r="S1412" s="167" t="s">
        <v>3285</v>
      </c>
      <c r="T1412" s="167">
        <v>4</v>
      </c>
      <c r="U1412" s="167" t="s">
        <v>3286</v>
      </c>
      <c r="V1412" s="167" t="s">
        <v>3409</v>
      </c>
      <c r="AB1412" s="167" t="s">
        <v>1986</v>
      </c>
      <c r="AC1412" s="167">
        <v>353</v>
      </c>
      <c r="AD1412" s="203">
        <v>43180</v>
      </c>
      <c r="AE1412" s="203">
        <v>0</v>
      </c>
      <c r="AF1412" s="167" t="s">
        <v>3469</v>
      </c>
    </row>
    <row r="1413" spans="16:32" x14ac:dyDescent="0.25">
      <c r="P1413" s="167" t="s">
        <v>739</v>
      </c>
      <c r="Q1413" s="167">
        <v>353</v>
      </c>
      <c r="R1413" s="167" t="s">
        <v>3407</v>
      </c>
      <c r="S1413" s="167" t="s">
        <v>3285</v>
      </c>
      <c r="T1413" s="167">
        <v>2</v>
      </c>
      <c r="U1413" s="167" t="s">
        <v>3286</v>
      </c>
      <c r="V1413" s="167" t="s">
        <v>3409</v>
      </c>
      <c r="AB1413" s="167" t="s">
        <v>1986</v>
      </c>
      <c r="AC1413" s="167">
        <v>353</v>
      </c>
      <c r="AD1413" s="203">
        <v>43180</v>
      </c>
      <c r="AE1413" s="203">
        <v>0</v>
      </c>
      <c r="AF1413" s="167" t="s">
        <v>3469</v>
      </c>
    </row>
    <row r="1414" spans="16:32" x14ac:dyDescent="0.25">
      <c r="P1414" s="167" t="s">
        <v>739</v>
      </c>
      <c r="Q1414" s="167">
        <v>353</v>
      </c>
      <c r="R1414" s="167" t="s">
        <v>3407</v>
      </c>
      <c r="S1414" s="167" t="s">
        <v>3285</v>
      </c>
      <c r="T1414" s="167">
        <v>2</v>
      </c>
      <c r="U1414" s="167" t="s">
        <v>3286</v>
      </c>
      <c r="V1414" s="167" t="s">
        <v>3409</v>
      </c>
      <c r="AB1414" s="167" t="s">
        <v>1987</v>
      </c>
      <c r="AC1414" s="167">
        <v>347</v>
      </c>
      <c r="AD1414" s="203">
        <v>43118</v>
      </c>
      <c r="AE1414" s="203">
        <v>43133</v>
      </c>
      <c r="AF1414" s="167" t="s">
        <v>3470</v>
      </c>
    </row>
    <row r="1415" spans="16:32" x14ac:dyDescent="0.25">
      <c r="P1415" s="167" t="s">
        <v>739</v>
      </c>
      <c r="Q1415" s="167">
        <v>353</v>
      </c>
      <c r="R1415" s="167" t="s">
        <v>3407</v>
      </c>
      <c r="S1415" s="167" t="s">
        <v>3285</v>
      </c>
      <c r="T1415" s="167">
        <v>2</v>
      </c>
      <c r="U1415" s="167" t="s">
        <v>3286</v>
      </c>
      <c r="V1415" s="167" t="s">
        <v>3409</v>
      </c>
      <c r="AB1415" s="167" t="s">
        <v>1987</v>
      </c>
      <c r="AC1415" s="167">
        <v>340</v>
      </c>
      <c r="AD1415" s="203">
        <v>43133</v>
      </c>
      <c r="AE1415" s="203">
        <v>43168</v>
      </c>
      <c r="AF1415" s="167" t="s">
        <v>3470</v>
      </c>
    </row>
    <row r="1416" spans="16:32" x14ac:dyDescent="0.25">
      <c r="P1416" s="167" t="s">
        <v>739</v>
      </c>
      <c r="Q1416" s="167">
        <v>353</v>
      </c>
      <c r="R1416" s="167" t="s">
        <v>3407</v>
      </c>
      <c r="S1416" s="167" t="s">
        <v>3294</v>
      </c>
      <c r="T1416" s="167">
        <v>1</v>
      </c>
      <c r="U1416" s="167" t="s">
        <v>3295</v>
      </c>
      <c r="V1416" s="167" t="s">
        <v>3409</v>
      </c>
      <c r="AB1416" s="167" t="s">
        <v>1987</v>
      </c>
      <c r="AC1416" s="167">
        <v>364</v>
      </c>
      <c r="AD1416" s="203">
        <v>43168</v>
      </c>
      <c r="AE1416" s="203">
        <v>43179</v>
      </c>
      <c r="AF1416" s="167" t="s">
        <v>3470</v>
      </c>
    </row>
    <row r="1417" spans="16:32" x14ac:dyDescent="0.25">
      <c r="P1417" s="167" t="s">
        <v>739</v>
      </c>
      <c r="Q1417" s="167">
        <v>353</v>
      </c>
      <c r="R1417" s="167" t="s">
        <v>3407</v>
      </c>
      <c r="S1417" s="167" t="s">
        <v>3294</v>
      </c>
      <c r="T1417" s="167">
        <v>3</v>
      </c>
      <c r="U1417" s="167" t="s">
        <v>3295</v>
      </c>
      <c r="V1417" s="167" t="s">
        <v>3409</v>
      </c>
      <c r="AB1417" s="167" t="s">
        <v>1987</v>
      </c>
      <c r="AC1417" s="167">
        <v>353</v>
      </c>
      <c r="AD1417" s="203">
        <v>43180</v>
      </c>
      <c r="AE1417" s="203">
        <v>0</v>
      </c>
      <c r="AF1417" s="167" t="s">
        <v>3469</v>
      </c>
    </row>
    <row r="1418" spans="16:32" x14ac:dyDescent="0.25">
      <c r="P1418" s="167" t="s">
        <v>739</v>
      </c>
      <c r="Q1418" s="167">
        <v>353</v>
      </c>
      <c r="R1418" s="167" t="s">
        <v>3407</v>
      </c>
      <c r="S1418" s="167" t="s">
        <v>3296</v>
      </c>
      <c r="T1418" s="167">
        <v>3</v>
      </c>
      <c r="U1418" s="167" t="s">
        <v>3297</v>
      </c>
      <c r="V1418" s="167" t="s">
        <v>3409</v>
      </c>
      <c r="AB1418" s="167" t="s">
        <v>1987</v>
      </c>
      <c r="AC1418" s="167">
        <v>353</v>
      </c>
      <c r="AD1418" s="203">
        <v>43180</v>
      </c>
      <c r="AE1418" s="203">
        <v>0</v>
      </c>
      <c r="AF1418" s="167" t="s">
        <v>3469</v>
      </c>
    </row>
    <row r="1419" spans="16:32" x14ac:dyDescent="0.25">
      <c r="P1419" s="167" t="s">
        <v>739</v>
      </c>
      <c r="Q1419" s="167">
        <v>353</v>
      </c>
      <c r="R1419" s="167" t="s">
        <v>3407</v>
      </c>
      <c r="S1419" s="167" t="s">
        <v>3298</v>
      </c>
      <c r="T1419" s="167">
        <v>2</v>
      </c>
      <c r="U1419" s="167" t="s">
        <v>3299</v>
      </c>
      <c r="V1419" s="167" t="s">
        <v>3409</v>
      </c>
      <c r="AB1419" s="167" t="s">
        <v>1987</v>
      </c>
      <c r="AC1419" s="167">
        <v>353</v>
      </c>
      <c r="AD1419" s="203">
        <v>43180</v>
      </c>
      <c r="AE1419" s="203">
        <v>0</v>
      </c>
      <c r="AF1419" s="167" t="s">
        <v>3469</v>
      </c>
    </row>
    <row r="1420" spans="16:32" x14ac:dyDescent="0.25">
      <c r="P1420" s="167" t="s">
        <v>739</v>
      </c>
      <c r="Q1420" s="167">
        <v>353</v>
      </c>
      <c r="R1420" s="167" t="s">
        <v>3407</v>
      </c>
      <c r="S1420" s="167" t="s">
        <v>3301</v>
      </c>
      <c r="T1420" s="167">
        <v>2</v>
      </c>
      <c r="U1420" s="167" t="s">
        <v>3302</v>
      </c>
      <c r="V1420" s="167" t="s">
        <v>3409</v>
      </c>
      <c r="AB1420" s="167" t="s">
        <v>1987</v>
      </c>
      <c r="AC1420" s="167">
        <v>353</v>
      </c>
      <c r="AD1420" s="203">
        <v>43180</v>
      </c>
      <c r="AE1420" s="203">
        <v>0</v>
      </c>
      <c r="AF1420" s="167" t="s">
        <v>3469</v>
      </c>
    </row>
    <row r="1421" spans="16:32" x14ac:dyDescent="0.25">
      <c r="P1421" s="167" t="s">
        <v>739</v>
      </c>
      <c r="Q1421" s="167">
        <v>353</v>
      </c>
      <c r="R1421" s="167" t="s">
        <v>3407</v>
      </c>
      <c r="S1421" s="167" t="s">
        <v>3303</v>
      </c>
      <c r="T1421" s="167">
        <v>1</v>
      </c>
      <c r="U1421" s="167" t="s">
        <v>3304</v>
      </c>
      <c r="V1421" s="167" t="s">
        <v>3409</v>
      </c>
      <c r="AB1421" s="167" t="s">
        <v>1989</v>
      </c>
      <c r="AC1421" s="167">
        <v>327</v>
      </c>
      <c r="AD1421" s="203">
        <v>43074</v>
      </c>
      <c r="AE1421" s="203">
        <v>43131</v>
      </c>
      <c r="AF1421" s="167" t="s">
        <v>3470</v>
      </c>
    </row>
    <row r="1422" spans="16:32" x14ac:dyDescent="0.25">
      <c r="P1422" s="167" t="s">
        <v>739</v>
      </c>
      <c r="Q1422" s="167">
        <v>353</v>
      </c>
      <c r="R1422" s="167" t="s">
        <v>3407</v>
      </c>
      <c r="S1422" s="167" t="s">
        <v>3306</v>
      </c>
      <c r="T1422" s="167">
        <v>5</v>
      </c>
      <c r="U1422" s="167" t="s">
        <v>3307</v>
      </c>
      <c r="V1422" s="167" t="s">
        <v>3409</v>
      </c>
      <c r="AB1422" s="167" t="s">
        <v>1989</v>
      </c>
      <c r="AC1422" s="167">
        <v>327</v>
      </c>
      <c r="AD1422" s="203">
        <v>43074</v>
      </c>
      <c r="AE1422" s="203">
        <v>43131</v>
      </c>
      <c r="AF1422" s="167" t="s">
        <v>3470</v>
      </c>
    </row>
    <row r="1423" spans="16:32" x14ac:dyDescent="0.25">
      <c r="P1423" s="167" t="s">
        <v>739</v>
      </c>
      <c r="Q1423" s="167">
        <v>353</v>
      </c>
      <c r="R1423" s="167" t="s">
        <v>3407</v>
      </c>
      <c r="S1423" s="167" t="s">
        <v>3308</v>
      </c>
      <c r="T1423" s="167">
        <v>5</v>
      </c>
      <c r="U1423" s="167" t="s">
        <v>3309</v>
      </c>
      <c r="V1423" s="167" t="s">
        <v>3409</v>
      </c>
      <c r="AB1423" s="167" t="s">
        <v>1989</v>
      </c>
      <c r="AC1423" s="167">
        <v>364</v>
      </c>
      <c r="AD1423" s="203">
        <v>43168</v>
      </c>
      <c r="AE1423" s="203">
        <v>43179</v>
      </c>
      <c r="AF1423" s="167" t="s">
        <v>3470</v>
      </c>
    </row>
    <row r="1424" spans="16:32" x14ac:dyDescent="0.25">
      <c r="P1424" s="167" t="s">
        <v>739</v>
      </c>
      <c r="Q1424" s="167">
        <v>353</v>
      </c>
      <c r="R1424" s="167" t="s">
        <v>3407</v>
      </c>
      <c r="S1424" s="167" t="s">
        <v>3310</v>
      </c>
      <c r="T1424" s="167">
        <v>5</v>
      </c>
      <c r="U1424" s="167" t="s">
        <v>3311</v>
      </c>
      <c r="V1424" s="167" t="s">
        <v>3409</v>
      </c>
      <c r="AB1424" s="167" t="s">
        <v>1989</v>
      </c>
      <c r="AC1424" s="167">
        <v>353</v>
      </c>
      <c r="AD1424" s="203">
        <v>43180</v>
      </c>
      <c r="AE1424" s="203">
        <v>0</v>
      </c>
      <c r="AF1424" s="167" t="s">
        <v>3469</v>
      </c>
    </row>
    <row r="1425" spans="16:32" x14ac:dyDescent="0.25">
      <c r="P1425" s="167" t="s">
        <v>739</v>
      </c>
      <c r="Q1425" s="167">
        <v>353</v>
      </c>
      <c r="R1425" s="167" t="s">
        <v>3407</v>
      </c>
      <c r="S1425" s="167" t="s">
        <v>3310</v>
      </c>
      <c r="T1425" s="167">
        <v>3</v>
      </c>
      <c r="U1425" s="167" t="s">
        <v>3311</v>
      </c>
      <c r="V1425" s="167" t="s">
        <v>3409</v>
      </c>
      <c r="AB1425" s="167" t="s">
        <v>1991</v>
      </c>
      <c r="AC1425" s="167">
        <v>357</v>
      </c>
      <c r="AD1425" s="203">
        <v>43139</v>
      </c>
      <c r="AE1425" s="203">
        <v>43164</v>
      </c>
      <c r="AF1425" s="167" t="s">
        <v>3470</v>
      </c>
    </row>
    <row r="1426" spans="16:32" x14ac:dyDescent="0.25">
      <c r="P1426" s="167" t="s">
        <v>739</v>
      </c>
      <c r="Q1426" s="167">
        <v>353</v>
      </c>
      <c r="R1426" s="167" t="s">
        <v>3407</v>
      </c>
      <c r="S1426" s="167" t="s">
        <v>3310</v>
      </c>
      <c r="T1426" s="167">
        <v>5</v>
      </c>
      <c r="U1426" s="167" t="s">
        <v>3311</v>
      </c>
      <c r="V1426" s="167" t="s">
        <v>3409</v>
      </c>
      <c r="AB1426" s="167" t="s">
        <v>1991</v>
      </c>
      <c r="AC1426" s="167">
        <v>353</v>
      </c>
      <c r="AD1426" s="203">
        <v>43180</v>
      </c>
      <c r="AE1426" s="203">
        <v>0</v>
      </c>
      <c r="AF1426" s="167" t="s">
        <v>3469</v>
      </c>
    </row>
    <row r="1427" spans="16:32" x14ac:dyDescent="0.25">
      <c r="P1427" s="167" t="s">
        <v>739</v>
      </c>
      <c r="Q1427" s="167">
        <v>353</v>
      </c>
      <c r="R1427" s="167" t="s">
        <v>3407</v>
      </c>
      <c r="S1427" s="167" t="s">
        <v>3312</v>
      </c>
      <c r="T1427" s="167">
        <v>4</v>
      </c>
      <c r="U1427" s="167" t="s">
        <v>3313</v>
      </c>
      <c r="V1427" s="167" t="s">
        <v>3409</v>
      </c>
      <c r="AB1427" s="167" t="s">
        <v>1992</v>
      </c>
      <c r="AC1427" s="167">
        <v>323</v>
      </c>
      <c r="AD1427" s="203">
        <v>43074</v>
      </c>
      <c r="AE1427" s="203">
        <v>43111</v>
      </c>
      <c r="AF1427" s="167" t="s">
        <v>3470</v>
      </c>
    </row>
    <row r="1428" spans="16:32" x14ac:dyDescent="0.25">
      <c r="P1428" s="167" t="s">
        <v>739</v>
      </c>
      <c r="Q1428" s="167">
        <v>353</v>
      </c>
      <c r="R1428" s="167" t="s">
        <v>3407</v>
      </c>
      <c r="S1428" s="167" t="s">
        <v>3312</v>
      </c>
      <c r="T1428" s="167">
        <v>2</v>
      </c>
      <c r="U1428" s="167" t="s">
        <v>3313</v>
      </c>
      <c r="V1428" s="167" t="s">
        <v>3409</v>
      </c>
      <c r="AB1428" s="167" t="s">
        <v>1992</v>
      </c>
      <c r="AC1428" s="167">
        <v>347</v>
      </c>
      <c r="AD1428" s="203">
        <v>43118</v>
      </c>
      <c r="AE1428" s="203">
        <v>43133</v>
      </c>
      <c r="AF1428" s="167" t="s">
        <v>3470</v>
      </c>
    </row>
    <row r="1429" spans="16:32" x14ac:dyDescent="0.25">
      <c r="P1429" s="167" t="s">
        <v>739</v>
      </c>
      <c r="Q1429" s="167">
        <v>353</v>
      </c>
      <c r="R1429" s="167" t="s">
        <v>3407</v>
      </c>
      <c r="S1429" s="167" t="s">
        <v>3312</v>
      </c>
      <c r="T1429" s="167">
        <v>4</v>
      </c>
      <c r="U1429" s="167" t="s">
        <v>3313</v>
      </c>
      <c r="V1429" s="167" t="s">
        <v>3409</v>
      </c>
      <c r="AB1429" s="167" t="s">
        <v>1992</v>
      </c>
      <c r="AC1429" s="167">
        <v>340</v>
      </c>
      <c r="AD1429" s="203">
        <v>43133</v>
      </c>
      <c r="AE1429" s="203">
        <v>43168</v>
      </c>
      <c r="AF1429" s="167" t="s">
        <v>3470</v>
      </c>
    </row>
    <row r="1430" spans="16:32" x14ac:dyDescent="0.25">
      <c r="P1430" s="167" t="s">
        <v>739</v>
      </c>
      <c r="Q1430" s="167">
        <v>353</v>
      </c>
      <c r="R1430" s="167" t="s">
        <v>3407</v>
      </c>
      <c r="S1430" s="167" t="s">
        <v>3314</v>
      </c>
      <c r="T1430" s="167">
        <v>4</v>
      </c>
      <c r="U1430" s="167" t="s">
        <v>3315</v>
      </c>
      <c r="V1430" s="167" t="s">
        <v>3409</v>
      </c>
      <c r="AB1430" s="167" t="s">
        <v>1992</v>
      </c>
      <c r="AC1430" s="167">
        <v>340</v>
      </c>
      <c r="AD1430" s="203">
        <v>43133</v>
      </c>
      <c r="AE1430" s="203">
        <v>43168</v>
      </c>
      <c r="AF1430" s="167" t="s">
        <v>3470</v>
      </c>
    </row>
    <row r="1431" spans="16:32" x14ac:dyDescent="0.25">
      <c r="P1431" s="167" t="s">
        <v>739</v>
      </c>
      <c r="Q1431" s="167">
        <v>353</v>
      </c>
      <c r="R1431" s="167" t="s">
        <v>3407</v>
      </c>
      <c r="S1431" s="167" t="s">
        <v>3314</v>
      </c>
      <c r="T1431" s="167">
        <v>2</v>
      </c>
      <c r="U1431" s="167" t="s">
        <v>3315</v>
      </c>
      <c r="V1431" s="167" t="s">
        <v>3409</v>
      </c>
      <c r="AB1431" s="167" t="s">
        <v>1992</v>
      </c>
      <c r="AC1431" s="167">
        <v>357</v>
      </c>
      <c r="AD1431" s="203">
        <v>43139</v>
      </c>
      <c r="AE1431" s="203">
        <v>43164</v>
      </c>
      <c r="AF1431" s="167" t="s">
        <v>3470</v>
      </c>
    </row>
    <row r="1432" spans="16:32" x14ac:dyDescent="0.25">
      <c r="P1432" s="167" t="s">
        <v>739</v>
      </c>
      <c r="Q1432" s="167">
        <v>353</v>
      </c>
      <c r="R1432" s="167" t="s">
        <v>3407</v>
      </c>
      <c r="S1432" s="167" t="s">
        <v>3314</v>
      </c>
      <c r="T1432" s="167">
        <v>4</v>
      </c>
      <c r="U1432" s="167" t="s">
        <v>3315</v>
      </c>
      <c r="V1432" s="167" t="s">
        <v>3409</v>
      </c>
      <c r="AB1432" s="167" t="s">
        <v>1992</v>
      </c>
      <c r="AC1432" s="167">
        <v>364</v>
      </c>
      <c r="AD1432" s="203">
        <v>43168</v>
      </c>
      <c r="AE1432" s="203">
        <v>43179</v>
      </c>
      <c r="AF1432" s="167" t="s">
        <v>3470</v>
      </c>
    </row>
    <row r="1433" spans="16:32" x14ac:dyDescent="0.25">
      <c r="P1433" s="167" t="s">
        <v>739</v>
      </c>
      <c r="Q1433" s="167">
        <v>353</v>
      </c>
      <c r="R1433" s="167" t="s">
        <v>3407</v>
      </c>
      <c r="S1433" s="167" t="s">
        <v>3330</v>
      </c>
      <c r="T1433" s="167">
        <v>1</v>
      </c>
      <c r="U1433" s="167" t="s">
        <v>3331</v>
      </c>
      <c r="V1433" s="167" t="s">
        <v>3409</v>
      </c>
      <c r="AB1433" s="167" t="s">
        <v>1992</v>
      </c>
      <c r="AC1433" s="167">
        <v>353</v>
      </c>
      <c r="AD1433" s="203">
        <v>43180</v>
      </c>
      <c r="AE1433" s="203">
        <v>0</v>
      </c>
      <c r="AF1433" s="167" t="s">
        <v>3469</v>
      </c>
    </row>
    <row r="1434" spans="16:32" x14ac:dyDescent="0.25">
      <c r="P1434" s="167" t="s">
        <v>739</v>
      </c>
      <c r="Q1434" s="167">
        <v>356</v>
      </c>
      <c r="R1434" s="167" t="s">
        <v>3397</v>
      </c>
      <c r="S1434" s="167" t="s">
        <v>3336</v>
      </c>
      <c r="T1434" s="167">
        <v>1</v>
      </c>
      <c r="U1434" s="167" t="s">
        <v>3337</v>
      </c>
      <c r="V1434" s="167" t="s">
        <v>3398</v>
      </c>
      <c r="AB1434" s="167" t="s">
        <v>1992</v>
      </c>
      <c r="AC1434" s="167">
        <v>353</v>
      </c>
      <c r="AD1434" s="203">
        <v>43180</v>
      </c>
      <c r="AE1434" s="203">
        <v>0</v>
      </c>
      <c r="AF1434" s="167" t="s">
        <v>3469</v>
      </c>
    </row>
    <row r="1435" spans="16:32" x14ac:dyDescent="0.25">
      <c r="P1435" s="167" t="s">
        <v>739</v>
      </c>
      <c r="Q1435" s="167">
        <v>356</v>
      </c>
      <c r="R1435" s="167" t="s">
        <v>3397</v>
      </c>
      <c r="S1435" s="167" t="s">
        <v>3338</v>
      </c>
      <c r="T1435" s="167">
        <v>1</v>
      </c>
      <c r="U1435" s="167" t="s">
        <v>3339</v>
      </c>
      <c r="V1435" s="167" t="s">
        <v>3398</v>
      </c>
      <c r="AB1435" s="167" t="s">
        <v>1994</v>
      </c>
      <c r="AC1435" s="167">
        <v>323</v>
      </c>
      <c r="AD1435" s="203">
        <v>43074</v>
      </c>
      <c r="AE1435" s="203">
        <v>43111</v>
      </c>
      <c r="AF1435" s="167" t="s">
        <v>3470</v>
      </c>
    </row>
    <row r="1436" spans="16:32" x14ac:dyDescent="0.25">
      <c r="P1436" s="167" t="s">
        <v>739</v>
      </c>
      <c r="Q1436" s="167">
        <v>368</v>
      </c>
      <c r="R1436" s="167" t="s">
        <v>3445</v>
      </c>
      <c r="S1436" s="167" t="s">
        <v>3387</v>
      </c>
      <c r="T1436" s="167">
        <v>350</v>
      </c>
      <c r="U1436" s="167" t="s">
        <v>3446</v>
      </c>
      <c r="V1436" s="167" t="s">
        <v>3447</v>
      </c>
      <c r="AB1436" s="167" t="s">
        <v>1994</v>
      </c>
      <c r="AC1436" s="167">
        <v>347</v>
      </c>
      <c r="AD1436" s="203">
        <v>43118</v>
      </c>
      <c r="AE1436" s="203">
        <v>43133</v>
      </c>
      <c r="AF1436" s="167" t="s">
        <v>3470</v>
      </c>
    </row>
    <row r="1437" spans="16:32" x14ac:dyDescent="0.25">
      <c r="P1437" s="167" t="s">
        <v>739</v>
      </c>
      <c r="Q1437" s="167">
        <v>368</v>
      </c>
      <c r="R1437" s="167" t="s">
        <v>3445</v>
      </c>
      <c r="S1437" s="167" t="s">
        <v>3388</v>
      </c>
      <c r="T1437" s="167">
        <v>50</v>
      </c>
      <c r="U1437" s="167" t="s">
        <v>3448</v>
      </c>
      <c r="V1437" s="167" t="s">
        <v>3447</v>
      </c>
      <c r="AB1437" s="167" t="s">
        <v>1994</v>
      </c>
      <c r="AC1437" s="167">
        <v>340</v>
      </c>
      <c r="AD1437" s="203">
        <v>43133</v>
      </c>
      <c r="AE1437" s="203">
        <v>43168</v>
      </c>
      <c r="AF1437" s="167" t="s">
        <v>3470</v>
      </c>
    </row>
    <row r="1438" spans="16:32" x14ac:dyDescent="0.25">
      <c r="P1438" s="167" t="s">
        <v>739</v>
      </c>
      <c r="Q1438" s="167">
        <v>368</v>
      </c>
      <c r="R1438" s="167" t="s">
        <v>3445</v>
      </c>
      <c r="S1438" s="167" t="s">
        <v>3389</v>
      </c>
      <c r="T1438" s="167">
        <v>150</v>
      </c>
      <c r="U1438" s="167" t="s">
        <v>3449</v>
      </c>
      <c r="V1438" s="167" t="s">
        <v>3447</v>
      </c>
      <c r="AB1438" s="167" t="s">
        <v>1994</v>
      </c>
      <c r="AC1438" s="167">
        <v>340</v>
      </c>
      <c r="AD1438" s="203">
        <v>43133</v>
      </c>
      <c r="AE1438" s="203">
        <v>43168</v>
      </c>
      <c r="AF1438" s="167" t="s">
        <v>3470</v>
      </c>
    </row>
    <row r="1439" spans="16:32" x14ac:dyDescent="0.25">
      <c r="P1439" s="167" t="s">
        <v>739</v>
      </c>
      <c r="Q1439" s="167">
        <v>374</v>
      </c>
      <c r="R1439" s="167" t="s">
        <v>1105</v>
      </c>
      <c r="S1439" s="167" t="s">
        <v>1535</v>
      </c>
      <c r="T1439" s="167">
        <v>1</v>
      </c>
      <c r="U1439" s="167" t="s">
        <v>1536</v>
      </c>
      <c r="V1439" s="167" t="s">
        <v>3450</v>
      </c>
      <c r="AB1439" s="167" t="s">
        <v>1994</v>
      </c>
      <c r="AC1439" s="167">
        <v>374</v>
      </c>
      <c r="AD1439" s="203">
        <v>43195</v>
      </c>
      <c r="AE1439" s="203">
        <v>0</v>
      </c>
      <c r="AF1439" s="167" t="s">
        <v>3469</v>
      </c>
    </row>
    <row r="1440" spans="16:32" x14ac:dyDescent="0.25">
      <c r="P1440" s="167" t="s">
        <v>739</v>
      </c>
      <c r="Q1440" s="167">
        <v>374</v>
      </c>
      <c r="R1440" s="167" t="s">
        <v>1105</v>
      </c>
      <c r="S1440" s="167" t="s">
        <v>1550</v>
      </c>
      <c r="T1440" s="167">
        <v>68</v>
      </c>
      <c r="U1440" s="167" t="s">
        <v>1551</v>
      </c>
      <c r="V1440" s="167" t="s">
        <v>3450</v>
      </c>
      <c r="AB1440" s="167" t="s">
        <v>1996</v>
      </c>
      <c r="AC1440" s="167">
        <v>364</v>
      </c>
      <c r="AD1440" s="203">
        <v>43168</v>
      </c>
      <c r="AE1440" s="203">
        <v>43179</v>
      </c>
      <c r="AF1440" s="167" t="s">
        <v>3470</v>
      </c>
    </row>
    <row r="1441" spans="16:32" x14ac:dyDescent="0.25">
      <c r="P1441" s="167" t="s">
        <v>739</v>
      </c>
      <c r="Q1441" s="167">
        <v>374</v>
      </c>
      <c r="R1441" s="167" t="s">
        <v>1105</v>
      </c>
      <c r="S1441" s="167" t="s">
        <v>1554</v>
      </c>
      <c r="T1441" s="167">
        <v>20</v>
      </c>
      <c r="U1441" s="167" t="s">
        <v>1555</v>
      </c>
      <c r="V1441" s="167" t="s">
        <v>3450</v>
      </c>
      <c r="AB1441" s="167" t="s">
        <v>1996</v>
      </c>
      <c r="AC1441" s="167">
        <v>353</v>
      </c>
      <c r="AD1441" s="203">
        <v>43180</v>
      </c>
      <c r="AE1441" s="203">
        <v>0</v>
      </c>
      <c r="AF1441" s="167" t="s">
        <v>3469</v>
      </c>
    </row>
    <row r="1442" spans="16:32" x14ac:dyDescent="0.25">
      <c r="P1442" s="167" t="s">
        <v>739</v>
      </c>
      <c r="Q1442" s="167">
        <v>374</v>
      </c>
      <c r="R1442" s="167" t="s">
        <v>1105</v>
      </c>
      <c r="S1442" s="167" t="s">
        <v>965</v>
      </c>
      <c r="T1442" s="167">
        <v>10</v>
      </c>
      <c r="U1442" s="167" t="s">
        <v>1563</v>
      </c>
      <c r="V1442" s="167" t="s">
        <v>3450</v>
      </c>
      <c r="AB1442" s="167" t="s">
        <v>1997</v>
      </c>
      <c r="AC1442" s="167">
        <v>323</v>
      </c>
      <c r="AD1442" s="203">
        <v>43074</v>
      </c>
      <c r="AE1442" s="203">
        <v>43111</v>
      </c>
      <c r="AF1442" s="167" t="s">
        <v>3470</v>
      </c>
    </row>
    <row r="1443" spans="16:32" x14ac:dyDescent="0.25">
      <c r="P1443" s="167" t="s">
        <v>739</v>
      </c>
      <c r="Q1443" s="167">
        <v>374</v>
      </c>
      <c r="R1443" s="167" t="s">
        <v>1105</v>
      </c>
      <c r="S1443" s="167" t="s">
        <v>966</v>
      </c>
      <c r="T1443" s="167">
        <v>58</v>
      </c>
      <c r="U1443" s="167" t="s">
        <v>1567</v>
      </c>
      <c r="V1443" s="167" t="s">
        <v>3450</v>
      </c>
      <c r="AB1443" s="167" t="s">
        <v>1999</v>
      </c>
      <c r="AC1443" s="167">
        <v>364</v>
      </c>
      <c r="AD1443" s="203">
        <v>43168</v>
      </c>
      <c r="AE1443" s="203">
        <v>43179</v>
      </c>
      <c r="AF1443" s="167" t="s">
        <v>3470</v>
      </c>
    </row>
    <row r="1444" spans="16:32" x14ac:dyDescent="0.25">
      <c r="P1444" s="167" t="s">
        <v>739</v>
      </c>
      <c r="Q1444" s="167">
        <v>374</v>
      </c>
      <c r="R1444" s="167" t="s">
        <v>1105</v>
      </c>
      <c r="S1444" s="167" t="s">
        <v>1575</v>
      </c>
      <c r="T1444" s="167">
        <v>18</v>
      </c>
      <c r="U1444" s="167" t="s">
        <v>1576</v>
      </c>
      <c r="V1444" s="167" t="s">
        <v>3450</v>
      </c>
      <c r="AB1444" s="167" t="s">
        <v>1999</v>
      </c>
      <c r="AC1444" s="167">
        <v>353</v>
      </c>
      <c r="AD1444" s="203">
        <v>43180</v>
      </c>
      <c r="AE1444" s="203">
        <v>0</v>
      </c>
      <c r="AF1444" s="167" t="s">
        <v>3469</v>
      </c>
    </row>
    <row r="1445" spans="16:32" x14ac:dyDescent="0.25">
      <c r="P1445" s="167" t="s">
        <v>739</v>
      </c>
      <c r="Q1445" s="167">
        <v>374</v>
      </c>
      <c r="R1445" s="167" t="s">
        <v>1105</v>
      </c>
      <c r="S1445" s="167" t="s">
        <v>969</v>
      </c>
      <c r="T1445" s="167">
        <v>10</v>
      </c>
      <c r="U1445" s="167" t="s">
        <v>1587</v>
      </c>
      <c r="V1445" s="167" t="s">
        <v>3450</v>
      </c>
      <c r="AB1445" s="167" t="s">
        <v>1999</v>
      </c>
      <c r="AC1445" s="167">
        <v>353</v>
      </c>
      <c r="AD1445" s="203">
        <v>43180</v>
      </c>
      <c r="AE1445" s="203">
        <v>0</v>
      </c>
      <c r="AF1445" s="167" t="s">
        <v>3469</v>
      </c>
    </row>
    <row r="1446" spans="16:32" x14ac:dyDescent="0.25">
      <c r="P1446" s="167" t="s">
        <v>739</v>
      </c>
      <c r="Q1446" s="167">
        <v>374</v>
      </c>
      <c r="R1446" s="167" t="s">
        <v>1105</v>
      </c>
      <c r="S1446" s="167" t="s">
        <v>1597</v>
      </c>
      <c r="T1446" s="167">
        <v>19</v>
      </c>
      <c r="U1446" s="167" t="s">
        <v>1598</v>
      </c>
      <c r="V1446" s="167" t="s">
        <v>3450</v>
      </c>
      <c r="AB1446" s="167" t="s">
        <v>1999</v>
      </c>
      <c r="AC1446" s="167">
        <v>353</v>
      </c>
      <c r="AD1446" s="203">
        <v>43180</v>
      </c>
      <c r="AE1446" s="203">
        <v>0</v>
      </c>
      <c r="AF1446" s="167" t="s">
        <v>3469</v>
      </c>
    </row>
    <row r="1447" spans="16:32" x14ac:dyDescent="0.25">
      <c r="P1447" s="167" t="s">
        <v>739</v>
      </c>
      <c r="Q1447" s="167">
        <v>374</v>
      </c>
      <c r="R1447" s="167" t="s">
        <v>1105</v>
      </c>
      <c r="S1447" s="167" t="s">
        <v>972</v>
      </c>
      <c r="T1447" s="167">
        <v>8</v>
      </c>
      <c r="U1447" s="167" t="s">
        <v>1612</v>
      </c>
      <c r="V1447" s="167" t="s">
        <v>3450</v>
      </c>
      <c r="AB1447" s="167" t="s">
        <v>1999</v>
      </c>
      <c r="AC1447" s="167">
        <v>353</v>
      </c>
      <c r="AD1447" s="203">
        <v>43180</v>
      </c>
      <c r="AE1447" s="203">
        <v>0</v>
      </c>
      <c r="AF1447" s="167" t="s">
        <v>3469</v>
      </c>
    </row>
    <row r="1448" spans="16:32" x14ac:dyDescent="0.25">
      <c r="P1448" s="167" t="s">
        <v>739</v>
      </c>
      <c r="Q1448" s="167">
        <v>374</v>
      </c>
      <c r="R1448" s="167" t="s">
        <v>1105</v>
      </c>
      <c r="S1448" s="167" t="s">
        <v>975</v>
      </c>
      <c r="T1448" s="167">
        <v>532</v>
      </c>
      <c r="U1448" s="167" t="s">
        <v>1634</v>
      </c>
      <c r="V1448" s="167" t="s">
        <v>3450</v>
      </c>
      <c r="AB1448" s="167" t="s">
        <v>1999</v>
      </c>
      <c r="AC1448" s="167">
        <v>353</v>
      </c>
      <c r="AD1448" s="203">
        <v>43180</v>
      </c>
      <c r="AE1448" s="203">
        <v>0</v>
      </c>
      <c r="AF1448" s="167" t="s">
        <v>3469</v>
      </c>
    </row>
    <row r="1449" spans="16:32" x14ac:dyDescent="0.25">
      <c r="P1449" s="167" t="s">
        <v>739</v>
      </c>
      <c r="Q1449" s="167">
        <v>374</v>
      </c>
      <c r="R1449" s="167" t="s">
        <v>1105</v>
      </c>
      <c r="S1449" s="167" t="s">
        <v>1648</v>
      </c>
      <c r="T1449" s="167">
        <v>10</v>
      </c>
      <c r="U1449" s="167" t="s">
        <v>1649</v>
      </c>
      <c r="V1449" s="167" t="s">
        <v>3450</v>
      </c>
      <c r="AB1449" s="167" t="s">
        <v>1999</v>
      </c>
      <c r="AC1449" s="167">
        <v>353</v>
      </c>
      <c r="AD1449" s="203">
        <v>43180</v>
      </c>
      <c r="AE1449" s="203">
        <v>0</v>
      </c>
      <c r="AF1449" s="167" t="s">
        <v>3469</v>
      </c>
    </row>
    <row r="1450" spans="16:32" x14ac:dyDescent="0.25">
      <c r="P1450" s="167" t="s">
        <v>739</v>
      </c>
      <c r="Q1450" s="167">
        <v>374</v>
      </c>
      <c r="R1450" s="167" t="s">
        <v>1105</v>
      </c>
      <c r="S1450" s="167" t="s">
        <v>1653</v>
      </c>
      <c r="T1450" s="167">
        <v>51</v>
      </c>
      <c r="U1450" s="167" t="s">
        <v>1654</v>
      </c>
      <c r="V1450" s="167" t="s">
        <v>3450</v>
      </c>
      <c r="AB1450" s="167" t="s">
        <v>1999</v>
      </c>
      <c r="AC1450" s="167">
        <v>353</v>
      </c>
      <c r="AD1450" s="203">
        <v>43180</v>
      </c>
      <c r="AE1450" s="203">
        <v>0</v>
      </c>
      <c r="AF1450" s="167" t="s">
        <v>3469</v>
      </c>
    </row>
    <row r="1451" spans="16:32" x14ac:dyDescent="0.25">
      <c r="P1451" s="167" t="s">
        <v>739</v>
      </c>
      <c r="Q1451" s="167">
        <v>374</v>
      </c>
      <c r="R1451" s="167" t="s">
        <v>1105</v>
      </c>
      <c r="S1451" s="167" t="s">
        <v>1686</v>
      </c>
      <c r="T1451" s="167">
        <v>26</v>
      </c>
      <c r="U1451" s="167" t="s">
        <v>1687</v>
      </c>
      <c r="V1451" s="167" t="s">
        <v>3450</v>
      </c>
      <c r="AB1451" s="167" t="s">
        <v>1999</v>
      </c>
      <c r="AC1451" s="167">
        <v>353</v>
      </c>
      <c r="AD1451" s="203">
        <v>43180</v>
      </c>
      <c r="AE1451" s="203">
        <v>0</v>
      </c>
      <c r="AF1451" s="167" t="s">
        <v>3469</v>
      </c>
    </row>
    <row r="1452" spans="16:32" x14ac:dyDescent="0.25">
      <c r="P1452" s="167" t="s">
        <v>739</v>
      </c>
      <c r="Q1452" s="167">
        <v>374</v>
      </c>
      <c r="R1452" s="167" t="s">
        <v>1105</v>
      </c>
      <c r="S1452" s="167" t="s">
        <v>1718</v>
      </c>
      <c r="T1452" s="167">
        <v>18</v>
      </c>
      <c r="U1452" s="167" t="s">
        <v>1719</v>
      </c>
      <c r="V1452" s="167" t="s">
        <v>3450</v>
      </c>
      <c r="AB1452" s="167" t="s">
        <v>1999</v>
      </c>
      <c r="AC1452" s="167">
        <v>353</v>
      </c>
      <c r="AD1452" s="203">
        <v>43180</v>
      </c>
      <c r="AE1452" s="203">
        <v>0</v>
      </c>
      <c r="AF1452" s="167" t="s">
        <v>3469</v>
      </c>
    </row>
    <row r="1453" spans="16:32" x14ac:dyDescent="0.25">
      <c r="P1453" s="167" t="s">
        <v>739</v>
      </c>
      <c r="Q1453" s="167">
        <v>374</v>
      </c>
      <c r="R1453" s="167" t="s">
        <v>1105</v>
      </c>
      <c r="S1453" s="167" t="s">
        <v>1742</v>
      </c>
      <c r="T1453" s="167">
        <v>12</v>
      </c>
      <c r="U1453" s="167" t="s">
        <v>1743</v>
      </c>
      <c r="V1453" s="167" t="s">
        <v>3450</v>
      </c>
      <c r="AB1453" s="167" t="s">
        <v>1999</v>
      </c>
      <c r="AC1453" s="167">
        <v>353</v>
      </c>
      <c r="AD1453" s="203">
        <v>43180</v>
      </c>
      <c r="AE1453" s="203">
        <v>0</v>
      </c>
      <c r="AF1453" s="167" t="s">
        <v>3469</v>
      </c>
    </row>
    <row r="1454" spans="16:32" x14ac:dyDescent="0.25">
      <c r="P1454" s="167" t="s">
        <v>739</v>
      </c>
      <c r="Q1454" s="167">
        <v>374</v>
      </c>
      <c r="R1454" s="167" t="s">
        <v>1105</v>
      </c>
      <c r="S1454" s="167" t="s">
        <v>3345</v>
      </c>
      <c r="T1454" s="167">
        <v>23</v>
      </c>
      <c r="U1454" s="167" t="s">
        <v>3414</v>
      </c>
      <c r="V1454" s="167" t="s">
        <v>3450</v>
      </c>
      <c r="AB1454" s="167" t="s">
        <v>2001</v>
      </c>
      <c r="AC1454" s="167">
        <v>347</v>
      </c>
      <c r="AD1454" s="203">
        <v>43118</v>
      </c>
      <c r="AE1454" s="203">
        <v>43133</v>
      </c>
      <c r="AF1454" s="167" t="s">
        <v>3470</v>
      </c>
    </row>
    <row r="1455" spans="16:32" x14ac:dyDescent="0.25">
      <c r="P1455" s="167" t="s">
        <v>739</v>
      </c>
      <c r="Q1455" s="167">
        <v>374</v>
      </c>
      <c r="R1455" s="167" t="s">
        <v>1105</v>
      </c>
      <c r="S1455" s="167" t="s">
        <v>1753</v>
      </c>
      <c r="T1455" s="167">
        <v>35</v>
      </c>
      <c r="U1455" s="167" t="s">
        <v>1754</v>
      </c>
      <c r="V1455" s="167" t="s">
        <v>3450</v>
      </c>
      <c r="AB1455" s="167" t="s">
        <v>2001</v>
      </c>
      <c r="AC1455" s="167">
        <v>340</v>
      </c>
      <c r="AD1455" s="203">
        <v>43133</v>
      </c>
      <c r="AE1455" s="203">
        <v>43168</v>
      </c>
      <c r="AF1455" s="167" t="s">
        <v>3470</v>
      </c>
    </row>
    <row r="1456" spans="16:32" x14ac:dyDescent="0.25">
      <c r="P1456" s="167" t="s">
        <v>739</v>
      </c>
      <c r="Q1456" s="167">
        <v>374</v>
      </c>
      <c r="R1456" s="167" t="s">
        <v>1105</v>
      </c>
      <c r="S1456" s="167" t="s">
        <v>1776</v>
      </c>
      <c r="T1456" s="167">
        <v>19</v>
      </c>
      <c r="U1456" s="167" t="s">
        <v>1777</v>
      </c>
      <c r="V1456" s="167" t="s">
        <v>3450</v>
      </c>
      <c r="AB1456" s="167" t="s">
        <v>2001</v>
      </c>
      <c r="AC1456" s="167">
        <v>340</v>
      </c>
      <c r="AD1456" s="203">
        <v>43133</v>
      </c>
      <c r="AE1456" s="203">
        <v>43168</v>
      </c>
      <c r="AF1456" s="167" t="s">
        <v>3470</v>
      </c>
    </row>
    <row r="1457" spans="16:32" x14ac:dyDescent="0.25">
      <c r="P1457" s="167" t="s">
        <v>739</v>
      </c>
      <c r="Q1457" s="167">
        <v>374</v>
      </c>
      <c r="R1457" s="167" t="s">
        <v>1105</v>
      </c>
      <c r="S1457" s="167" t="s">
        <v>981</v>
      </c>
      <c r="T1457" s="167">
        <v>20</v>
      </c>
      <c r="U1457" s="167" t="s">
        <v>1780</v>
      </c>
      <c r="V1457" s="167" t="s">
        <v>3450</v>
      </c>
      <c r="AB1457" s="167" t="s">
        <v>2001</v>
      </c>
      <c r="AC1457" s="167">
        <v>364</v>
      </c>
      <c r="AD1457" s="203">
        <v>43168</v>
      </c>
      <c r="AE1457" s="203">
        <v>43179</v>
      </c>
      <c r="AF1457" s="167" t="s">
        <v>3470</v>
      </c>
    </row>
    <row r="1458" spans="16:32" x14ac:dyDescent="0.25">
      <c r="P1458" s="167" t="s">
        <v>739</v>
      </c>
      <c r="Q1458" s="167">
        <v>374</v>
      </c>
      <c r="R1458" s="167" t="s">
        <v>1105</v>
      </c>
      <c r="S1458" s="167" t="s">
        <v>1784</v>
      </c>
      <c r="T1458" s="167">
        <v>25</v>
      </c>
      <c r="U1458" s="167" t="s">
        <v>1785</v>
      </c>
      <c r="V1458" s="167" t="s">
        <v>3450</v>
      </c>
      <c r="AB1458" s="167" t="s">
        <v>2001</v>
      </c>
      <c r="AC1458" s="167">
        <v>353</v>
      </c>
      <c r="AD1458" s="203">
        <v>43180</v>
      </c>
      <c r="AE1458" s="203">
        <v>0</v>
      </c>
      <c r="AF1458" s="167" t="s">
        <v>3469</v>
      </c>
    </row>
    <row r="1459" spans="16:32" x14ac:dyDescent="0.25">
      <c r="P1459" s="167" t="s">
        <v>739</v>
      </c>
      <c r="Q1459" s="167">
        <v>374</v>
      </c>
      <c r="R1459" s="167" t="s">
        <v>1105</v>
      </c>
      <c r="S1459" s="167" t="s">
        <v>1788</v>
      </c>
      <c r="T1459" s="167">
        <v>200</v>
      </c>
      <c r="U1459" s="167" t="s">
        <v>1789</v>
      </c>
      <c r="V1459" s="167" t="s">
        <v>3450</v>
      </c>
      <c r="AB1459" s="167" t="s">
        <v>2001</v>
      </c>
      <c r="AC1459" s="167">
        <v>353</v>
      </c>
      <c r="AD1459" s="203">
        <v>43180</v>
      </c>
      <c r="AE1459" s="203">
        <v>0</v>
      </c>
      <c r="AF1459" s="167" t="s">
        <v>3469</v>
      </c>
    </row>
    <row r="1460" spans="16:32" x14ac:dyDescent="0.25">
      <c r="P1460" s="167" t="s">
        <v>739</v>
      </c>
      <c r="Q1460" s="167">
        <v>374</v>
      </c>
      <c r="R1460" s="167" t="s">
        <v>1105</v>
      </c>
      <c r="S1460" s="167" t="s">
        <v>1817</v>
      </c>
      <c r="T1460" s="167">
        <v>19</v>
      </c>
      <c r="U1460" s="167" t="s">
        <v>1818</v>
      </c>
      <c r="V1460" s="167" t="s">
        <v>3450</v>
      </c>
      <c r="AB1460" s="167" t="s">
        <v>2003</v>
      </c>
      <c r="AC1460" s="167">
        <v>323</v>
      </c>
      <c r="AD1460" s="203">
        <v>43074</v>
      </c>
      <c r="AE1460" s="203">
        <v>43111</v>
      </c>
      <c r="AF1460" s="167" t="s">
        <v>3470</v>
      </c>
    </row>
    <row r="1461" spans="16:32" x14ac:dyDescent="0.25">
      <c r="P1461" s="167" t="s">
        <v>739</v>
      </c>
      <c r="Q1461" s="167">
        <v>374</v>
      </c>
      <c r="R1461" s="167" t="s">
        <v>1105</v>
      </c>
      <c r="S1461" s="167" t="s">
        <v>984</v>
      </c>
      <c r="T1461" s="167">
        <v>511</v>
      </c>
      <c r="U1461" s="167" t="s">
        <v>1819</v>
      </c>
      <c r="V1461" s="167" t="s">
        <v>3450</v>
      </c>
      <c r="AB1461" s="167" t="s">
        <v>2003</v>
      </c>
      <c r="AC1461" s="167">
        <v>347</v>
      </c>
      <c r="AD1461" s="203">
        <v>43118</v>
      </c>
      <c r="AE1461" s="203">
        <v>43133</v>
      </c>
      <c r="AF1461" s="167" t="s">
        <v>3470</v>
      </c>
    </row>
    <row r="1462" spans="16:32" x14ac:dyDescent="0.25">
      <c r="P1462" s="167" t="s">
        <v>739</v>
      </c>
      <c r="Q1462" s="167">
        <v>374</v>
      </c>
      <c r="R1462" s="167" t="s">
        <v>1105</v>
      </c>
      <c r="S1462" s="167" t="s">
        <v>986</v>
      </c>
      <c r="T1462" s="167">
        <v>135</v>
      </c>
      <c r="U1462" s="167" t="s">
        <v>3451</v>
      </c>
      <c r="V1462" s="167" t="s">
        <v>3450</v>
      </c>
      <c r="AB1462" s="167" t="s">
        <v>2003</v>
      </c>
      <c r="AC1462" s="167">
        <v>340</v>
      </c>
      <c r="AD1462" s="203">
        <v>43133</v>
      </c>
      <c r="AE1462" s="203">
        <v>43168</v>
      </c>
      <c r="AF1462" s="167" t="s">
        <v>3470</v>
      </c>
    </row>
    <row r="1463" spans="16:32" x14ac:dyDescent="0.25">
      <c r="P1463" s="167" t="s">
        <v>739</v>
      </c>
      <c r="Q1463" s="167">
        <v>374</v>
      </c>
      <c r="R1463" s="167" t="s">
        <v>1105</v>
      </c>
      <c r="S1463" s="167" t="s">
        <v>1862</v>
      </c>
      <c r="T1463" s="167">
        <v>39</v>
      </c>
      <c r="U1463" s="167" t="s">
        <v>1863</v>
      </c>
      <c r="V1463" s="167" t="s">
        <v>3450</v>
      </c>
      <c r="AB1463" s="167" t="s">
        <v>2003</v>
      </c>
      <c r="AC1463" s="167">
        <v>353</v>
      </c>
      <c r="AD1463" s="203">
        <v>43180</v>
      </c>
      <c r="AE1463" s="203">
        <v>0</v>
      </c>
      <c r="AF1463" s="167" t="s">
        <v>3469</v>
      </c>
    </row>
    <row r="1464" spans="16:32" x14ac:dyDescent="0.25">
      <c r="P1464" s="167" t="s">
        <v>739</v>
      </c>
      <c r="Q1464" s="167">
        <v>374</v>
      </c>
      <c r="R1464" s="167" t="s">
        <v>1105</v>
      </c>
      <c r="S1464" s="167" t="s">
        <v>932</v>
      </c>
      <c r="T1464" s="167">
        <v>76</v>
      </c>
      <c r="U1464" s="167" t="s">
        <v>1866</v>
      </c>
      <c r="V1464" s="167" t="s">
        <v>3450</v>
      </c>
      <c r="AB1464" s="167" t="s">
        <v>2005</v>
      </c>
      <c r="AC1464" s="167">
        <v>323</v>
      </c>
      <c r="AD1464" s="203">
        <v>43074</v>
      </c>
      <c r="AE1464" s="203">
        <v>43111</v>
      </c>
      <c r="AF1464" s="167" t="s">
        <v>3470</v>
      </c>
    </row>
    <row r="1465" spans="16:32" x14ac:dyDescent="0.25">
      <c r="P1465" s="167" t="s">
        <v>739</v>
      </c>
      <c r="Q1465" s="167">
        <v>374</v>
      </c>
      <c r="R1465" s="167" t="s">
        <v>1105</v>
      </c>
      <c r="S1465" s="167" t="s">
        <v>926</v>
      </c>
      <c r="T1465" s="167">
        <v>171</v>
      </c>
      <c r="U1465" s="167" t="s">
        <v>1870</v>
      </c>
      <c r="V1465" s="167" t="s">
        <v>3450</v>
      </c>
      <c r="AB1465" s="167" t="s">
        <v>2005</v>
      </c>
      <c r="AC1465" s="167">
        <v>347</v>
      </c>
      <c r="AD1465" s="203">
        <v>43118</v>
      </c>
      <c r="AE1465" s="203">
        <v>43133</v>
      </c>
      <c r="AF1465" s="167" t="s">
        <v>3470</v>
      </c>
    </row>
    <row r="1466" spans="16:32" x14ac:dyDescent="0.25">
      <c r="P1466" s="167" t="s">
        <v>739</v>
      </c>
      <c r="Q1466" s="167">
        <v>374</v>
      </c>
      <c r="R1466" s="167" t="s">
        <v>1105</v>
      </c>
      <c r="S1466" s="167" t="s">
        <v>923</v>
      </c>
      <c r="T1466" s="167">
        <v>34</v>
      </c>
      <c r="U1466" s="167" t="s">
        <v>3452</v>
      </c>
      <c r="V1466" s="167" t="s">
        <v>3450</v>
      </c>
      <c r="AB1466" s="167" t="s">
        <v>2005</v>
      </c>
      <c r="AC1466" s="167">
        <v>340</v>
      </c>
      <c r="AD1466" s="203">
        <v>43133</v>
      </c>
      <c r="AE1466" s="203">
        <v>43168</v>
      </c>
      <c r="AF1466" s="167" t="s">
        <v>3470</v>
      </c>
    </row>
    <row r="1467" spans="16:32" x14ac:dyDescent="0.25">
      <c r="P1467" s="167" t="s">
        <v>739</v>
      </c>
      <c r="Q1467" s="167">
        <v>374</v>
      </c>
      <c r="R1467" s="167" t="s">
        <v>1105</v>
      </c>
      <c r="S1467" s="167" t="s">
        <v>929</v>
      </c>
      <c r="T1467" s="167">
        <v>17</v>
      </c>
      <c r="U1467" s="167" t="s">
        <v>3453</v>
      </c>
      <c r="V1467" s="167" t="s">
        <v>3450</v>
      </c>
      <c r="AB1467" s="167" t="s">
        <v>2005</v>
      </c>
      <c r="AC1467" s="167">
        <v>364</v>
      </c>
      <c r="AD1467" s="203">
        <v>43168</v>
      </c>
      <c r="AE1467" s="203">
        <v>43179</v>
      </c>
      <c r="AF1467" s="167" t="s">
        <v>3470</v>
      </c>
    </row>
    <row r="1468" spans="16:32" x14ac:dyDescent="0.25">
      <c r="P1468" s="167" t="s">
        <v>739</v>
      </c>
      <c r="Q1468" s="167">
        <v>374</v>
      </c>
      <c r="R1468" s="167" t="s">
        <v>1105</v>
      </c>
      <c r="S1468" s="167" t="s">
        <v>943</v>
      </c>
      <c r="T1468" s="167">
        <v>11</v>
      </c>
      <c r="U1468" s="167" t="s">
        <v>1871</v>
      </c>
      <c r="V1468" s="167" t="s">
        <v>3450</v>
      </c>
      <c r="AB1468" s="167" t="s">
        <v>2005</v>
      </c>
      <c r="AC1468" s="167">
        <v>353</v>
      </c>
      <c r="AD1468" s="203">
        <v>43180</v>
      </c>
      <c r="AE1468" s="203">
        <v>0</v>
      </c>
      <c r="AF1468" s="167" t="s">
        <v>3469</v>
      </c>
    </row>
    <row r="1469" spans="16:32" x14ac:dyDescent="0.25">
      <c r="P1469" s="167" t="s">
        <v>739</v>
      </c>
      <c r="Q1469" s="167">
        <v>374</v>
      </c>
      <c r="R1469" s="167" t="s">
        <v>1105</v>
      </c>
      <c r="S1469" s="167" t="s">
        <v>942</v>
      </c>
      <c r="T1469" s="167">
        <v>8</v>
      </c>
      <c r="U1469" s="167" t="s">
        <v>1873</v>
      </c>
      <c r="V1469" s="167" t="s">
        <v>3450</v>
      </c>
      <c r="AB1469" s="167" t="s">
        <v>2006</v>
      </c>
      <c r="AC1469" s="167">
        <v>323</v>
      </c>
      <c r="AD1469" s="203">
        <v>43074</v>
      </c>
      <c r="AE1469" s="203">
        <v>43111</v>
      </c>
      <c r="AF1469" s="167" t="s">
        <v>3470</v>
      </c>
    </row>
    <row r="1470" spans="16:32" x14ac:dyDescent="0.25">
      <c r="P1470" s="167" t="s">
        <v>739</v>
      </c>
      <c r="Q1470" s="167">
        <v>374</v>
      </c>
      <c r="R1470" s="167" t="s">
        <v>1105</v>
      </c>
      <c r="S1470" s="167" t="s">
        <v>935</v>
      </c>
      <c r="T1470" s="167">
        <v>14</v>
      </c>
      <c r="U1470" s="167" t="s">
        <v>1875</v>
      </c>
      <c r="V1470" s="167" t="s">
        <v>3450</v>
      </c>
      <c r="AB1470" s="167" t="s">
        <v>2006</v>
      </c>
      <c r="AC1470" s="167">
        <v>327</v>
      </c>
      <c r="AD1470" s="203">
        <v>43074</v>
      </c>
      <c r="AE1470" s="203">
        <v>43131</v>
      </c>
      <c r="AF1470" s="167" t="s">
        <v>3470</v>
      </c>
    </row>
    <row r="1471" spans="16:32" x14ac:dyDescent="0.25">
      <c r="P1471" s="167" t="s">
        <v>739</v>
      </c>
      <c r="Q1471" s="167">
        <v>374</v>
      </c>
      <c r="R1471" s="167" t="s">
        <v>1105</v>
      </c>
      <c r="S1471" s="167" t="s">
        <v>933</v>
      </c>
      <c r="T1471" s="167">
        <v>8</v>
      </c>
      <c r="U1471" s="167" t="s">
        <v>1876</v>
      </c>
      <c r="V1471" s="167" t="s">
        <v>3450</v>
      </c>
      <c r="AB1471" s="167" t="s">
        <v>2006</v>
      </c>
      <c r="AC1471" s="167">
        <v>347</v>
      </c>
      <c r="AD1471" s="203">
        <v>43118</v>
      </c>
      <c r="AE1471" s="203">
        <v>43133</v>
      </c>
      <c r="AF1471" s="167" t="s">
        <v>3470</v>
      </c>
    </row>
    <row r="1472" spans="16:32" x14ac:dyDescent="0.25">
      <c r="P1472" s="167" t="s">
        <v>739</v>
      </c>
      <c r="Q1472" s="167">
        <v>374</v>
      </c>
      <c r="R1472" s="167" t="s">
        <v>1105</v>
      </c>
      <c r="S1472" s="167" t="s">
        <v>1337</v>
      </c>
      <c r="T1472" s="167">
        <v>1</v>
      </c>
      <c r="U1472" s="167" t="s">
        <v>1883</v>
      </c>
      <c r="V1472" s="167" t="s">
        <v>3450</v>
      </c>
      <c r="AB1472" s="167" t="s">
        <v>2006</v>
      </c>
      <c r="AC1472" s="167">
        <v>340</v>
      </c>
      <c r="AD1472" s="203">
        <v>43133</v>
      </c>
      <c r="AE1472" s="203">
        <v>43168</v>
      </c>
      <c r="AF1472" s="167" t="s">
        <v>3470</v>
      </c>
    </row>
    <row r="1473" spans="16:32" x14ac:dyDescent="0.25">
      <c r="P1473" s="167" t="s">
        <v>739</v>
      </c>
      <c r="Q1473" s="167">
        <v>374</v>
      </c>
      <c r="R1473" s="167" t="s">
        <v>1105</v>
      </c>
      <c r="S1473" s="167" t="s">
        <v>941</v>
      </c>
      <c r="T1473" s="167">
        <v>21</v>
      </c>
      <c r="U1473" s="167" t="s">
        <v>1884</v>
      </c>
      <c r="V1473" s="167" t="s">
        <v>3450</v>
      </c>
      <c r="AB1473" s="167" t="s">
        <v>2007</v>
      </c>
      <c r="AC1473" s="167">
        <v>327</v>
      </c>
      <c r="AD1473" s="203">
        <v>43074</v>
      </c>
      <c r="AE1473" s="203">
        <v>43131</v>
      </c>
      <c r="AF1473" s="167" t="s">
        <v>3470</v>
      </c>
    </row>
    <row r="1474" spans="16:32" x14ac:dyDescent="0.25">
      <c r="P1474" s="167" t="s">
        <v>739</v>
      </c>
      <c r="Q1474" s="167">
        <v>374</v>
      </c>
      <c r="R1474" s="167" t="s">
        <v>1105</v>
      </c>
      <c r="S1474" s="167" t="s">
        <v>991</v>
      </c>
      <c r="T1474" s="167">
        <v>210</v>
      </c>
      <c r="U1474" s="167" t="s">
        <v>1894</v>
      </c>
      <c r="V1474" s="167" t="s">
        <v>3450</v>
      </c>
      <c r="AB1474" s="167" t="s">
        <v>2007</v>
      </c>
      <c r="AC1474" s="167">
        <v>327</v>
      </c>
      <c r="AD1474" s="203">
        <v>43074</v>
      </c>
      <c r="AE1474" s="203">
        <v>43131</v>
      </c>
      <c r="AF1474" s="167" t="s">
        <v>3470</v>
      </c>
    </row>
    <row r="1475" spans="16:32" x14ac:dyDescent="0.25">
      <c r="P1475" s="167" t="s">
        <v>739</v>
      </c>
      <c r="Q1475" s="167">
        <v>374</v>
      </c>
      <c r="R1475" s="167" t="s">
        <v>1105</v>
      </c>
      <c r="S1475" s="167" t="s">
        <v>1902</v>
      </c>
      <c r="T1475" s="167">
        <v>2</v>
      </c>
      <c r="U1475" s="167" t="s">
        <v>1903</v>
      </c>
      <c r="V1475" s="167" t="s">
        <v>3450</v>
      </c>
      <c r="AB1475" s="167" t="s">
        <v>2008</v>
      </c>
      <c r="AC1475" s="167">
        <v>347</v>
      </c>
      <c r="AD1475" s="203">
        <v>43118</v>
      </c>
      <c r="AE1475" s="203">
        <v>43133</v>
      </c>
      <c r="AF1475" s="167" t="s">
        <v>3470</v>
      </c>
    </row>
    <row r="1476" spans="16:32" x14ac:dyDescent="0.25">
      <c r="P1476" s="167" t="s">
        <v>739</v>
      </c>
      <c r="Q1476" s="167">
        <v>374</v>
      </c>
      <c r="R1476" s="167" t="s">
        <v>1105</v>
      </c>
      <c r="S1476" s="167" t="s">
        <v>1906</v>
      </c>
      <c r="T1476" s="167">
        <v>2</v>
      </c>
      <c r="U1476" s="167" t="s">
        <v>1907</v>
      </c>
      <c r="V1476" s="167" t="s">
        <v>3450</v>
      </c>
      <c r="AB1476" s="167" t="s">
        <v>2008</v>
      </c>
      <c r="AC1476" s="167">
        <v>340</v>
      </c>
      <c r="AD1476" s="203">
        <v>43133</v>
      </c>
      <c r="AE1476" s="203">
        <v>43168</v>
      </c>
      <c r="AF1476" s="167" t="s">
        <v>3470</v>
      </c>
    </row>
    <row r="1477" spans="16:32" x14ac:dyDescent="0.25">
      <c r="P1477" s="167" t="s">
        <v>739</v>
      </c>
      <c r="Q1477" s="167">
        <v>374</v>
      </c>
      <c r="R1477" s="167" t="s">
        <v>1105</v>
      </c>
      <c r="S1477" s="167" t="s">
        <v>994</v>
      </c>
      <c r="T1477" s="167">
        <v>88</v>
      </c>
      <c r="U1477" s="167" t="s">
        <v>3420</v>
      </c>
      <c r="V1477" s="167" t="s">
        <v>3450</v>
      </c>
      <c r="AB1477" s="167" t="s">
        <v>2008</v>
      </c>
      <c r="AC1477" s="167">
        <v>374</v>
      </c>
      <c r="AD1477" s="203">
        <v>43195</v>
      </c>
      <c r="AE1477" s="203">
        <v>0</v>
      </c>
      <c r="AF1477" s="167" t="s">
        <v>3469</v>
      </c>
    </row>
    <row r="1478" spans="16:32" x14ac:dyDescent="0.25">
      <c r="P1478" s="167" t="s">
        <v>739</v>
      </c>
      <c r="Q1478" s="167">
        <v>374</v>
      </c>
      <c r="R1478" s="167" t="s">
        <v>1105</v>
      </c>
      <c r="S1478" s="167" t="s">
        <v>937</v>
      </c>
      <c r="T1478" s="167">
        <v>1</v>
      </c>
      <c r="U1478" s="167" t="s">
        <v>3454</v>
      </c>
      <c r="V1478" s="167" t="s">
        <v>3450</v>
      </c>
      <c r="AB1478" s="167" t="s">
        <v>2010</v>
      </c>
      <c r="AC1478" s="167">
        <v>357</v>
      </c>
      <c r="AD1478" s="203">
        <v>43139</v>
      </c>
      <c r="AE1478" s="203">
        <v>43164</v>
      </c>
      <c r="AF1478" s="167" t="s">
        <v>3470</v>
      </c>
    </row>
    <row r="1479" spans="16:32" x14ac:dyDescent="0.25">
      <c r="P1479" s="167" t="s">
        <v>739</v>
      </c>
      <c r="Q1479" s="167">
        <v>374</v>
      </c>
      <c r="R1479" s="167" t="s">
        <v>1105</v>
      </c>
      <c r="S1479" s="167" t="s">
        <v>3352</v>
      </c>
      <c r="T1479" s="167">
        <v>1</v>
      </c>
      <c r="U1479" s="167" t="s">
        <v>3455</v>
      </c>
      <c r="V1479" s="167" t="s">
        <v>3450</v>
      </c>
      <c r="AB1479" s="167" t="s">
        <v>2010</v>
      </c>
      <c r="AC1479" s="167">
        <v>353</v>
      </c>
      <c r="AD1479" s="203">
        <v>43180</v>
      </c>
      <c r="AE1479" s="203">
        <v>0</v>
      </c>
      <c r="AF1479" s="167" t="s">
        <v>3469</v>
      </c>
    </row>
    <row r="1480" spans="16:32" x14ac:dyDescent="0.25">
      <c r="P1480" s="167" t="s">
        <v>739</v>
      </c>
      <c r="Q1480" s="167">
        <v>374</v>
      </c>
      <c r="R1480" s="167" t="s">
        <v>1105</v>
      </c>
      <c r="S1480" s="167" t="s">
        <v>997</v>
      </c>
      <c r="T1480" s="167">
        <v>122</v>
      </c>
      <c r="U1480" s="167" t="s">
        <v>1932</v>
      </c>
      <c r="V1480" s="167" t="s">
        <v>3450</v>
      </c>
      <c r="AB1480" s="167" t="s">
        <v>2011</v>
      </c>
      <c r="AC1480" s="167">
        <v>327</v>
      </c>
      <c r="AD1480" s="203">
        <v>43074</v>
      </c>
      <c r="AE1480" s="203">
        <v>43131</v>
      </c>
      <c r="AF1480" s="167" t="s">
        <v>3470</v>
      </c>
    </row>
    <row r="1481" spans="16:32" x14ac:dyDescent="0.25">
      <c r="P1481" s="167" t="s">
        <v>739</v>
      </c>
      <c r="Q1481" s="167">
        <v>374</v>
      </c>
      <c r="R1481" s="167" t="s">
        <v>1105</v>
      </c>
      <c r="S1481" s="167" t="s">
        <v>1934</v>
      </c>
      <c r="T1481" s="167">
        <v>5</v>
      </c>
      <c r="U1481" s="167" t="s">
        <v>1935</v>
      </c>
      <c r="V1481" s="167" t="s">
        <v>3450</v>
      </c>
      <c r="AB1481" s="167" t="s">
        <v>2011</v>
      </c>
      <c r="AC1481" s="167">
        <v>347</v>
      </c>
      <c r="AD1481" s="203">
        <v>43118</v>
      </c>
      <c r="AE1481" s="203">
        <v>43133</v>
      </c>
      <c r="AF1481" s="167" t="s">
        <v>3470</v>
      </c>
    </row>
    <row r="1482" spans="16:32" x14ac:dyDescent="0.25">
      <c r="P1482" s="167" t="s">
        <v>739</v>
      </c>
      <c r="Q1482" s="167">
        <v>374</v>
      </c>
      <c r="R1482" s="167" t="s">
        <v>1105</v>
      </c>
      <c r="S1482" s="167" t="s">
        <v>999</v>
      </c>
      <c r="T1482" s="167">
        <v>33</v>
      </c>
      <c r="U1482" s="167" t="s">
        <v>1940</v>
      </c>
      <c r="V1482" s="167" t="s">
        <v>3450</v>
      </c>
      <c r="AB1482" s="167" t="s">
        <v>2011</v>
      </c>
      <c r="AC1482" s="167">
        <v>340</v>
      </c>
      <c r="AD1482" s="203">
        <v>43133</v>
      </c>
      <c r="AE1482" s="203">
        <v>43168</v>
      </c>
      <c r="AF1482" s="167" t="s">
        <v>3470</v>
      </c>
    </row>
    <row r="1483" spans="16:32" x14ac:dyDescent="0.25">
      <c r="P1483" s="167" t="s">
        <v>739</v>
      </c>
      <c r="Q1483" s="167">
        <v>374</v>
      </c>
      <c r="R1483" s="167" t="s">
        <v>1105</v>
      </c>
      <c r="S1483" s="167" t="s">
        <v>1944</v>
      </c>
      <c r="T1483" s="167">
        <v>20</v>
      </c>
      <c r="U1483" s="167" t="s">
        <v>1945</v>
      </c>
      <c r="V1483" s="167" t="s">
        <v>3450</v>
      </c>
      <c r="AB1483" s="167" t="s">
        <v>2012</v>
      </c>
      <c r="AC1483" s="167">
        <v>323</v>
      </c>
      <c r="AD1483" s="203">
        <v>43074</v>
      </c>
      <c r="AE1483" s="203">
        <v>43111</v>
      </c>
      <c r="AF1483" s="167" t="s">
        <v>3470</v>
      </c>
    </row>
    <row r="1484" spans="16:32" x14ac:dyDescent="0.25">
      <c r="P1484" s="167" t="s">
        <v>739</v>
      </c>
      <c r="Q1484" s="167">
        <v>374</v>
      </c>
      <c r="R1484" s="167" t="s">
        <v>1105</v>
      </c>
      <c r="S1484" s="167" t="s">
        <v>1946</v>
      </c>
      <c r="T1484" s="167">
        <v>2</v>
      </c>
      <c r="U1484" s="167" t="s">
        <v>1947</v>
      </c>
      <c r="V1484" s="167" t="s">
        <v>3450</v>
      </c>
      <c r="AB1484" s="167" t="s">
        <v>2012</v>
      </c>
      <c r="AC1484" s="167">
        <v>327</v>
      </c>
      <c r="AD1484" s="203">
        <v>43074</v>
      </c>
      <c r="AE1484" s="203">
        <v>43131</v>
      </c>
      <c r="AF1484" s="167" t="s">
        <v>3470</v>
      </c>
    </row>
    <row r="1485" spans="16:32" x14ac:dyDescent="0.25">
      <c r="P1485" s="167" t="s">
        <v>739</v>
      </c>
      <c r="Q1485" s="167">
        <v>374</v>
      </c>
      <c r="R1485" s="167" t="s">
        <v>1105</v>
      </c>
      <c r="S1485" s="167" t="s">
        <v>931</v>
      </c>
      <c r="T1485" s="167">
        <v>2</v>
      </c>
      <c r="U1485" s="167" t="s">
        <v>1951</v>
      </c>
      <c r="V1485" s="167" t="s">
        <v>3450</v>
      </c>
      <c r="AB1485" s="167" t="s">
        <v>2012</v>
      </c>
      <c r="AC1485" s="167">
        <v>347</v>
      </c>
      <c r="AD1485" s="203">
        <v>43118</v>
      </c>
      <c r="AE1485" s="203">
        <v>43133</v>
      </c>
      <c r="AF1485" s="167" t="s">
        <v>3470</v>
      </c>
    </row>
    <row r="1486" spans="16:32" x14ac:dyDescent="0.25">
      <c r="P1486" s="167" t="s">
        <v>739</v>
      </c>
      <c r="Q1486" s="167">
        <v>374</v>
      </c>
      <c r="R1486" s="167" t="s">
        <v>1105</v>
      </c>
      <c r="S1486" s="167" t="s">
        <v>922</v>
      </c>
      <c r="T1486" s="167">
        <v>4</v>
      </c>
      <c r="U1486" s="167" t="s">
        <v>1952</v>
      </c>
      <c r="V1486" s="167" t="s">
        <v>3450</v>
      </c>
      <c r="AB1486" s="167" t="s">
        <v>2012</v>
      </c>
      <c r="AC1486" s="167">
        <v>340</v>
      </c>
      <c r="AD1486" s="203">
        <v>43133</v>
      </c>
      <c r="AE1486" s="203">
        <v>43168</v>
      </c>
      <c r="AF1486" s="167" t="s">
        <v>3470</v>
      </c>
    </row>
    <row r="1487" spans="16:32" x14ac:dyDescent="0.25">
      <c r="P1487" s="167" t="s">
        <v>739</v>
      </c>
      <c r="Q1487" s="167">
        <v>374</v>
      </c>
      <c r="R1487" s="167" t="s">
        <v>1105</v>
      </c>
      <c r="S1487" s="167" t="s">
        <v>1972</v>
      </c>
      <c r="T1487" s="167">
        <v>70</v>
      </c>
      <c r="U1487" s="167" t="s">
        <v>1973</v>
      </c>
      <c r="V1487" s="167" t="s">
        <v>3450</v>
      </c>
      <c r="AB1487" s="167" t="s">
        <v>2012</v>
      </c>
      <c r="AC1487" s="167">
        <v>364</v>
      </c>
      <c r="AD1487" s="203">
        <v>43168</v>
      </c>
      <c r="AE1487" s="203">
        <v>43179</v>
      </c>
      <c r="AF1487" s="167" t="s">
        <v>3470</v>
      </c>
    </row>
    <row r="1488" spans="16:32" x14ac:dyDescent="0.25">
      <c r="P1488" s="167" t="s">
        <v>739</v>
      </c>
      <c r="Q1488" s="167">
        <v>374</v>
      </c>
      <c r="R1488" s="167" t="s">
        <v>1105</v>
      </c>
      <c r="S1488" s="167" t="s">
        <v>3353</v>
      </c>
      <c r="T1488" s="167">
        <v>13</v>
      </c>
      <c r="U1488" s="167" t="s">
        <v>3456</v>
      </c>
      <c r="V1488" s="167" t="s">
        <v>3450</v>
      </c>
      <c r="AB1488" s="167" t="s">
        <v>2012</v>
      </c>
      <c r="AC1488" s="167">
        <v>353</v>
      </c>
      <c r="AD1488" s="203">
        <v>43180</v>
      </c>
      <c r="AE1488" s="203">
        <v>0</v>
      </c>
      <c r="AF1488" s="167" t="s">
        <v>3469</v>
      </c>
    </row>
    <row r="1489" spans="16:32" x14ac:dyDescent="0.25">
      <c r="P1489" s="167" t="s">
        <v>739</v>
      </c>
      <c r="Q1489" s="167">
        <v>374</v>
      </c>
      <c r="R1489" s="167" t="s">
        <v>1105</v>
      </c>
      <c r="S1489" s="167" t="s">
        <v>1003</v>
      </c>
      <c r="T1489" s="167">
        <v>50</v>
      </c>
      <c r="U1489" s="167" t="s">
        <v>1976</v>
      </c>
      <c r="V1489" s="167" t="s">
        <v>3450</v>
      </c>
      <c r="AB1489" s="167" t="s">
        <v>2012</v>
      </c>
      <c r="AC1489" s="167">
        <v>353</v>
      </c>
      <c r="AD1489" s="203">
        <v>43180</v>
      </c>
      <c r="AE1489" s="203">
        <v>0</v>
      </c>
      <c r="AF1489" s="167" t="s">
        <v>3469</v>
      </c>
    </row>
    <row r="1490" spans="16:32" x14ac:dyDescent="0.25">
      <c r="P1490" s="167" t="s">
        <v>739</v>
      </c>
      <c r="Q1490" s="167">
        <v>374</v>
      </c>
      <c r="R1490" s="167" t="s">
        <v>1105</v>
      </c>
      <c r="S1490" s="167" t="s">
        <v>1005</v>
      </c>
      <c r="T1490" s="167">
        <v>620</v>
      </c>
      <c r="U1490" s="167" t="s">
        <v>3457</v>
      </c>
      <c r="V1490" s="167" t="s">
        <v>3450</v>
      </c>
      <c r="AB1490" s="167" t="s">
        <v>2012</v>
      </c>
      <c r="AC1490" s="167">
        <v>353</v>
      </c>
      <c r="AD1490" s="203">
        <v>43180</v>
      </c>
      <c r="AE1490" s="203">
        <v>0</v>
      </c>
      <c r="AF1490" s="167" t="s">
        <v>3469</v>
      </c>
    </row>
    <row r="1491" spans="16:32" x14ac:dyDescent="0.25">
      <c r="P1491" s="167" t="s">
        <v>739</v>
      </c>
      <c r="Q1491" s="167">
        <v>374</v>
      </c>
      <c r="R1491" s="167" t="s">
        <v>1105</v>
      </c>
      <c r="S1491" s="167" t="s">
        <v>1993</v>
      </c>
      <c r="T1491" s="167">
        <v>100</v>
      </c>
      <c r="U1491" s="167" t="s">
        <v>1994</v>
      </c>
      <c r="V1491" s="167" t="s">
        <v>3450</v>
      </c>
      <c r="AB1491" s="167" t="s">
        <v>2012</v>
      </c>
      <c r="AC1491" s="167">
        <v>353</v>
      </c>
      <c r="AD1491" s="203">
        <v>43180</v>
      </c>
      <c r="AE1491" s="203">
        <v>0</v>
      </c>
      <c r="AF1491" s="167" t="s">
        <v>3469</v>
      </c>
    </row>
    <row r="1492" spans="16:32" x14ac:dyDescent="0.25">
      <c r="P1492" s="167" t="s">
        <v>739</v>
      </c>
      <c r="Q1492" s="167">
        <v>374</v>
      </c>
      <c r="R1492" s="167" t="s">
        <v>1105</v>
      </c>
      <c r="S1492" s="167" t="s">
        <v>1010</v>
      </c>
      <c r="T1492" s="167">
        <v>110</v>
      </c>
      <c r="U1492" s="167" t="s">
        <v>2008</v>
      </c>
      <c r="V1492" s="167" t="s">
        <v>3450</v>
      </c>
      <c r="AB1492" s="167" t="s">
        <v>2012</v>
      </c>
      <c r="AC1492" s="167">
        <v>353</v>
      </c>
      <c r="AD1492" s="203">
        <v>43180</v>
      </c>
      <c r="AE1492" s="203">
        <v>0</v>
      </c>
      <c r="AF1492" s="167" t="s">
        <v>3469</v>
      </c>
    </row>
    <row r="1493" spans="16:32" x14ac:dyDescent="0.25">
      <c r="P1493" s="167" t="s">
        <v>739</v>
      </c>
      <c r="Q1493" s="167">
        <v>374</v>
      </c>
      <c r="R1493" s="167" t="s">
        <v>1105</v>
      </c>
      <c r="S1493" s="167" t="s">
        <v>1014</v>
      </c>
      <c r="T1493" s="167">
        <v>280</v>
      </c>
      <c r="U1493" s="167" t="s">
        <v>2034</v>
      </c>
      <c r="V1493" s="167" t="s">
        <v>3450</v>
      </c>
      <c r="AB1493" s="167" t="s">
        <v>2013</v>
      </c>
      <c r="AC1493" s="167">
        <v>327</v>
      </c>
      <c r="AD1493" s="203">
        <v>43074</v>
      </c>
      <c r="AE1493" s="203">
        <v>43131</v>
      </c>
      <c r="AF1493" s="167" t="s">
        <v>3470</v>
      </c>
    </row>
    <row r="1494" spans="16:32" x14ac:dyDescent="0.25">
      <c r="P1494" s="167" t="s">
        <v>739</v>
      </c>
      <c r="Q1494" s="167">
        <v>374</v>
      </c>
      <c r="R1494" s="167" t="s">
        <v>1105</v>
      </c>
      <c r="S1494" s="167" t="s">
        <v>2035</v>
      </c>
      <c r="T1494" s="167">
        <v>78</v>
      </c>
      <c r="U1494" s="167" t="s">
        <v>2036</v>
      </c>
      <c r="V1494" s="167" t="s">
        <v>3450</v>
      </c>
      <c r="AB1494" s="167" t="s">
        <v>2013</v>
      </c>
      <c r="AC1494" s="167">
        <v>327</v>
      </c>
      <c r="AD1494" s="203">
        <v>43074</v>
      </c>
      <c r="AE1494" s="203">
        <v>43131</v>
      </c>
      <c r="AF1494" s="167" t="s">
        <v>3470</v>
      </c>
    </row>
    <row r="1495" spans="16:32" x14ac:dyDescent="0.25">
      <c r="P1495" s="167" t="s">
        <v>739</v>
      </c>
      <c r="Q1495" s="167">
        <v>374</v>
      </c>
      <c r="R1495" s="167" t="s">
        <v>1105</v>
      </c>
      <c r="S1495" s="167" t="s">
        <v>1015</v>
      </c>
      <c r="T1495" s="167">
        <v>240</v>
      </c>
      <c r="U1495" s="167" t="s">
        <v>2037</v>
      </c>
      <c r="V1495" s="167" t="s">
        <v>3450</v>
      </c>
      <c r="AB1495" s="167" t="s">
        <v>2013</v>
      </c>
      <c r="AC1495" s="167">
        <v>347</v>
      </c>
      <c r="AD1495" s="203">
        <v>43118</v>
      </c>
      <c r="AE1495" s="203">
        <v>43133</v>
      </c>
      <c r="AF1495" s="167" t="s">
        <v>3470</v>
      </c>
    </row>
    <row r="1496" spans="16:32" x14ac:dyDescent="0.25">
      <c r="P1496" s="167" t="s">
        <v>739</v>
      </c>
      <c r="Q1496" s="167">
        <v>374</v>
      </c>
      <c r="R1496" s="167" t="s">
        <v>1105</v>
      </c>
      <c r="S1496" s="167" t="s">
        <v>2038</v>
      </c>
      <c r="T1496" s="167">
        <v>30</v>
      </c>
      <c r="U1496" s="167" t="s">
        <v>2039</v>
      </c>
      <c r="V1496" s="167" t="s">
        <v>3450</v>
      </c>
      <c r="AB1496" s="167" t="s">
        <v>2013</v>
      </c>
      <c r="AC1496" s="167">
        <v>340</v>
      </c>
      <c r="AD1496" s="203">
        <v>43133</v>
      </c>
      <c r="AE1496" s="203">
        <v>43168</v>
      </c>
      <c r="AF1496" s="167" t="s">
        <v>3470</v>
      </c>
    </row>
    <row r="1497" spans="16:32" x14ac:dyDescent="0.25">
      <c r="P1497" s="167" t="s">
        <v>739</v>
      </c>
      <c r="Q1497" s="167">
        <v>374</v>
      </c>
      <c r="R1497" s="167" t="s">
        <v>1105</v>
      </c>
      <c r="S1497" s="167" t="s">
        <v>2049</v>
      </c>
      <c r="T1497" s="167">
        <v>15</v>
      </c>
      <c r="U1497" s="167" t="s">
        <v>2050</v>
      </c>
      <c r="V1497" s="167" t="s">
        <v>3450</v>
      </c>
      <c r="AB1497" s="167" t="s">
        <v>2014</v>
      </c>
      <c r="AC1497" s="167">
        <v>323</v>
      </c>
      <c r="AD1497" s="203">
        <v>43074</v>
      </c>
      <c r="AE1497" s="203">
        <v>43111</v>
      </c>
      <c r="AF1497" s="167" t="s">
        <v>3470</v>
      </c>
    </row>
    <row r="1498" spans="16:32" x14ac:dyDescent="0.25">
      <c r="P1498" s="167" t="s">
        <v>739</v>
      </c>
      <c r="Q1498" s="167">
        <v>374</v>
      </c>
      <c r="R1498" s="167" t="s">
        <v>1105</v>
      </c>
      <c r="S1498" s="167" t="s">
        <v>2052</v>
      </c>
      <c r="T1498" s="167">
        <v>6</v>
      </c>
      <c r="U1498" s="167" t="s">
        <v>2053</v>
      </c>
      <c r="V1498" s="167" t="s">
        <v>3450</v>
      </c>
      <c r="AB1498" s="167" t="s">
        <v>2014</v>
      </c>
      <c r="AC1498" s="167">
        <v>347</v>
      </c>
      <c r="AD1498" s="203">
        <v>43118</v>
      </c>
      <c r="AE1498" s="203">
        <v>43133</v>
      </c>
      <c r="AF1498" s="167" t="s">
        <v>3470</v>
      </c>
    </row>
    <row r="1499" spans="16:32" x14ac:dyDescent="0.25">
      <c r="P1499" s="167" t="s">
        <v>739</v>
      </c>
      <c r="Q1499" s="167">
        <v>374</v>
      </c>
      <c r="R1499" s="167" t="s">
        <v>1105</v>
      </c>
      <c r="S1499" s="167" t="s">
        <v>2106</v>
      </c>
      <c r="T1499" s="167">
        <v>40</v>
      </c>
      <c r="U1499" s="167" t="s">
        <v>2107</v>
      </c>
      <c r="V1499" s="167" t="s">
        <v>3450</v>
      </c>
      <c r="AB1499" s="167" t="s">
        <v>2014</v>
      </c>
      <c r="AC1499" s="167">
        <v>340</v>
      </c>
      <c r="AD1499" s="203">
        <v>43133</v>
      </c>
      <c r="AE1499" s="203">
        <v>43168</v>
      </c>
      <c r="AF1499" s="167" t="s">
        <v>3470</v>
      </c>
    </row>
    <row r="1500" spans="16:32" x14ac:dyDescent="0.25">
      <c r="P1500" s="167" t="s">
        <v>739</v>
      </c>
      <c r="Q1500" s="167">
        <v>374</v>
      </c>
      <c r="R1500" s="167" t="s">
        <v>1105</v>
      </c>
      <c r="S1500" s="167" t="s">
        <v>1035</v>
      </c>
      <c r="T1500" s="167">
        <v>35</v>
      </c>
      <c r="U1500" s="167" t="s">
        <v>2108</v>
      </c>
      <c r="V1500" s="167" t="s">
        <v>3450</v>
      </c>
      <c r="AB1500" s="167" t="s">
        <v>2014</v>
      </c>
      <c r="AC1500" s="167">
        <v>340</v>
      </c>
      <c r="AD1500" s="203">
        <v>43133</v>
      </c>
      <c r="AE1500" s="203">
        <v>43168</v>
      </c>
      <c r="AF1500" s="167" t="s">
        <v>3470</v>
      </c>
    </row>
    <row r="1501" spans="16:32" x14ac:dyDescent="0.25">
      <c r="P1501" s="167" t="s">
        <v>739</v>
      </c>
      <c r="Q1501" s="167">
        <v>374</v>
      </c>
      <c r="R1501" s="167" t="s">
        <v>1105</v>
      </c>
      <c r="S1501" s="167" t="s">
        <v>1037</v>
      </c>
      <c r="T1501" s="167">
        <v>50</v>
      </c>
      <c r="U1501" s="167" t="s">
        <v>2116</v>
      </c>
      <c r="V1501" s="167" t="s">
        <v>3450</v>
      </c>
      <c r="AB1501" s="167" t="s">
        <v>2014</v>
      </c>
      <c r="AC1501" s="167">
        <v>353</v>
      </c>
      <c r="AD1501" s="203">
        <v>43180</v>
      </c>
      <c r="AE1501" s="203">
        <v>0</v>
      </c>
      <c r="AF1501" s="167" t="s">
        <v>3469</v>
      </c>
    </row>
    <row r="1502" spans="16:32" x14ac:dyDescent="0.25">
      <c r="P1502" s="167" t="s">
        <v>739</v>
      </c>
      <c r="Q1502" s="167">
        <v>374</v>
      </c>
      <c r="R1502" s="167" t="s">
        <v>1105</v>
      </c>
      <c r="S1502" s="167" t="s">
        <v>2144</v>
      </c>
      <c r="T1502" s="167">
        <v>16</v>
      </c>
      <c r="U1502" s="167" t="s">
        <v>2145</v>
      </c>
      <c r="V1502" s="167" t="s">
        <v>3450</v>
      </c>
      <c r="AB1502" s="167" t="s">
        <v>2014</v>
      </c>
      <c r="AC1502" s="167">
        <v>353</v>
      </c>
      <c r="AD1502" s="203">
        <v>43180</v>
      </c>
      <c r="AE1502" s="203">
        <v>0</v>
      </c>
      <c r="AF1502" s="167" t="s">
        <v>3469</v>
      </c>
    </row>
    <row r="1503" spans="16:32" x14ac:dyDescent="0.25">
      <c r="P1503" s="167" t="s">
        <v>739</v>
      </c>
      <c r="Q1503" s="167">
        <v>374</v>
      </c>
      <c r="R1503" s="167" t="s">
        <v>1105</v>
      </c>
      <c r="S1503" s="167" t="s">
        <v>3356</v>
      </c>
      <c r="T1503" s="167">
        <v>20</v>
      </c>
      <c r="U1503" s="167" t="s">
        <v>3458</v>
      </c>
      <c r="V1503" s="167" t="s">
        <v>3450</v>
      </c>
      <c r="AB1503" s="167" t="s">
        <v>2016</v>
      </c>
      <c r="AC1503" s="167">
        <v>357</v>
      </c>
      <c r="AD1503" s="203">
        <v>43139</v>
      </c>
      <c r="AE1503" s="203">
        <v>43164</v>
      </c>
      <c r="AF1503" s="167" t="s">
        <v>3470</v>
      </c>
    </row>
    <row r="1504" spans="16:32" x14ac:dyDescent="0.25">
      <c r="P1504" s="167" t="s">
        <v>739</v>
      </c>
      <c r="Q1504" s="167">
        <v>374</v>
      </c>
      <c r="R1504" s="167" t="s">
        <v>1105</v>
      </c>
      <c r="S1504" s="167" t="s">
        <v>2161</v>
      </c>
      <c r="T1504" s="167">
        <v>70</v>
      </c>
      <c r="U1504" s="167" t="s">
        <v>2162</v>
      </c>
      <c r="V1504" s="167" t="s">
        <v>3450</v>
      </c>
      <c r="AB1504" s="167" t="s">
        <v>2016</v>
      </c>
      <c r="AC1504" s="167">
        <v>364</v>
      </c>
      <c r="AD1504" s="203">
        <v>43168</v>
      </c>
      <c r="AE1504" s="203">
        <v>43179</v>
      </c>
      <c r="AF1504" s="167" t="s">
        <v>3470</v>
      </c>
    </row>
    <row r="1505" spans="16:32" x14ac:dyDescent="0.25">
      <c r="P1505" s="167" t="s">
        <v>739</v>
      </c>
      <c r="Q1505" s="167">
        <v>374</v>
      </c>
      <c r="R1505" s="167" t="s">
        <v>1105</v>
      </c>
      <c r="S1505" s="167" t="s">
        <v>2190</v>
      </c>
      <c r="T1505" s="167">
        <v>48</v>
      </c>
      <c r="U1505" s="167" t="s">
        <v>2191</v>
      </c>
      <c r="V1505" s="167" t="s">
        <v>3450</v>
      </c>
      <c r="AB1505" s="167" t="s">
        <v>2016</v>
      </c>
      <c r="AC1505" s="167">
        <v>353</v>
      </c>
      <c r="AD1505" s="203">
        <v>43180</v>
      </c>
      <c r="AE1505" s="203">
        <v>0</v>
      </c>
      <c r="AF1505" s="167" t="s">
        <v>3469</v>
      </c>
    </row>
    <row r="1506" spans="16:32" x14ac:dyDescent="0.25">
      <c r="P1506" s="167" t="s">
        <v>739</v>
      </c>
      <c r="Q1506" s="167">
        <v>374</v>
      </c>
      <c r="R1506" s="167" t="s">
        <v>1105</v>
      </c>
      <c r="S1506" s="167" t="s">
        <v>2192</v>
      </c>
      <c r="T1506" s="167">
        <v>10</v>
      </c>
      <c r="U1506" s="167" t="s">
        <v>2193</v>
      </c>
      <c r="V1506" s="167" t="s">
        <v>3450</v>
      </c>
      <c r="AB1506" s="167" t="s">
        <v>2016</v>
      </c>
      <c r="AC1506" s="167">
        <v>353</v>
      </c>
      <c r="AD1506" s="203">
        <v>43180</v>
      </c>
      <c r="AE1506" s="203">
        <v>0</v>
      </c>
      <c r="AF1506" s="167" t="s">
        <v>3469</v>
      </c>
    </row>
    <row r="1507" spans="16:32" x14ac:dyDescent="0.25">
      <c r="P1507" s="167" t="s">
        <v>739</v>
      </c>
      <c r="Q1507" s="167">
        <v>374</v>
      </c>
      <c r="R1507" s="167" t="s">
        <v>1105</v>
      </c>
      <c r="S1507" s="167" t="s">
        <v>2194</v>
      </c>
      <c r="T1507" s="167">
        <v>28</v>
      </c>
      <c r="U1507" s="167" t="s">
        <v>2195</v>
      </c>
      <c r="V1507" s="167" t="s">
        <v>3450</v>
      </c>
      <c r="AB1507" s="167" t="s">
        <v>2018</v>
      </c>
      <c r="AC1507" s="167">
        <v>323</v>
      </c>
      <c r="AD1507" s="203">
        <v>43074</v>
      </c>
      <c r="AE1507" s="203">
        <v>43111</v>
      </c>
      <c r="AF1507" s="167" t="s">
        <v>3470</v>
      </c>
    </row>
    <row r="1508" spans="16:32" x14ac:dyDescent="0.25">
      <c r="P1508" s="167" t="s">
        <v>739</v>
      </c>
      <c r="Q1508" s="167">
        <v>374</v>
      </c>
      <c r="R1508" s="167" t="s">
        <v>1105</v>
      </c>
      <c r="S1508" s="167" t="s">
        <v>2207</v>
      </c>
      <c r="T1508" s="167">
        <v>18</v>
      </c>
      <c r="U1508" s="167" t="s">
        <v>2208</v>
      </c>
      <c r="V1508" s="167" t="s">
        <v>3450</v>
      </c>
      <c r="AB1508" s="167" t="s">
        <v>2018</v>
      </c>
      <c r="AC1508" s="167">
        <v>327</v>
      </c>
      <c r="AD1508" s="203">
        <v>43074</v>
      </c>
      <c r="AE1508" s="203">
        <v>43131</v>
      </c>
      <c r="AF1508" s="167" t="s">
        <v>3470</v>
      </c>
    </row>
    <row r="1509" spans="16:32" x14ac:dyDescent="0.25">
      <c r="P1509" s="167" t="s">
        <v>739</v>
      </c>
      <c r="Q1509" s="167">
        <v>374</v>
      </c>
      <c r="R1509" s="167" t="s">
        <v>1105</v>
      </c>
      <c r="S1509" s="167" t="s">
        <v>2209</v>
      </c>
      <c r="T1509" s="167">
        <v>25</v>
      </c>
      <c r="U1509" s="167" t="s">
        <v>2210</v>
      </c>
      <c r="V1509" s="167" t="s">
        <v>3450</v>
      </c>
      <c r="AB1509" s="167" t="s">
        <v>2018</v>
      </c>
      <c r="AC1509" s="167">
        <v>347</v>
      </c>
      <c r="AD1509" s="203">
        <v>43118</v>
      </c>
      <c r="AE1509" s="203">
        <v>43133</v>
      </c>
      <c r="AF1509" s="167" t="s">
        <v>3470</v>
      </c>
    </row>
    <row r="1510" spans="16:32" x14ac:dyDescent="0.25">
      <c r="P1510" s="167" t="s">
        <v>739</v>
      </c>
      <c r="Q1510" s="167">
        <v>374</v>
      </c>
      <c r="R1510" s="167" t="s">
        <v>1105</v>
      </c>
      <c r="S1510" s="167" t="s">
        <v>2220</v>
      </c>
      <c r="T1510" s="167">
        <v>13</v>
      </c>
      <c r="U1510" s="167" t="s">
        <v>2221</v>
      </c>
      <c r="V1510" s="167" t="s">
        <v>3450</v>
      </c>
      <c r="AB1510" s="167" t="s">
        <v>2018</v>
      </c>
      <c r="AC1510" s="167">
        <v>335</v>
      </c>
      <c r="AD1510" s="203">
        <v>43133</v>
      </c>
      <c r="AE1510" s="203">
        <v>43147</v>
      </c>
      <c r="AF1510" s="167" t="s">
        <v>3470</v>
      </c>
    </row>
    <row r="1511" spans="16:32" x14ac:dyDescent="0.25">
      <c r="P1511" s="167" t="s">
        <v>739</v>
      </c>
      <c r="Q1511" s="167">
        <v>374</v>
      </c>
      <c r="R1511" s="167" t="s">
        <v>1105</v>
      </c>
      <c r="S1511" s="167" t="s">
        <v>1052</v>
      </c>
      <c r="T1511" s="167">
        <v>50</v>
      </c>
      <c r="U1511" s="167" t="s">
        <v>2224</v>
      </c>
      <c r="V1511" s="167" t="s">
        <v>3450</v>
      </c>
      <c r="AB1511" s="167" t="s">
        <v>2018</v>
      </c>
      <c r="AC1511" s="167">
        <v>340</v>
      </c>
      <c r="AD1511" s="203">
        <v>43133</v>
      </c>
      <c r="AE1511" s="203">
        <v>43168</v>
      </c>
      <c r="AF1511" s="167" t="s">
        <v>3470</v>
      </c>
    </row>
    <row r="1512" spans="16:32" x14ac:dyDescent="0.25">
      <c r="P1512" s="167" t="s">
        <v>739</v>
      </c>
      <c r="Q1512" s="167">
        <v>374</v>
      </c>
      <c r="R1512" s="167" t="s">
        <v>1105</v>
      </c>
      <c r="S1512" s="167" t="s">
        <v>2229</v>
      </c>
      <c r="T1512" s="167">
        <v>25</v>
      </c>
      <c r="U1512" s="167" t="s">
        <v>2230</v>
      </c>
      <c r="V1512" s="167" t="s">
        <v>3450</v>
      </c>
      <c r="AB1512" s="167" t="s">
        <v>2018</v>
      </c>
      <c r="AC1512" s="167">
        <v>364</v>
      </c>
      <c r="AD1512" s="203">
        <v>43168</v>
      </c>
      <c r="AE1512" s="203">
        <v>43179</v>
      </c>
      <c r="AF1512" s="167" t="s">
        <v>3470</v>
      </c>
    </row>
    <row r="1513" spans="16:32" x14ac:dyDescent="0.25">
      <c r="P1513" s="167" t="s">
        <v>739</v>
      </c>
      <c r="Q1513" s="167">
        <v>374</v>
      </c>
      <c r="R1513" s="167" t="s">
        <v>1105</v>
      </c>
      <c r="S1513" s="167" t="s">
        <v>2233</v>
      </c>
      <c r="T1513" s="167">
        <v>28</v>
      </c>
      <c r="U1513" s="167" t="s">
        <v>2234</v>
      </c>
      <c r="V1513" s="167" t="s">
        <v>3450</v>
      </c>
      <c r="AB1513" s="167" t="s">
        <v>2018</v>
      </c>
      <c r="AC1513" s="167">
        <v>353</v>
      </c>
      <c r="AD1513" s="203">
        <v>43180</v>
      </c>
      <c r="AE1513" s="203">
        <v>0</v>
      </c>
      <c r="AF1513" s="167" t="s">
        <v>3469</v>
      </c>
    </row>
    <row r="1514" spans="16:32" x14ac:dyDescent="0.25">
      <c r="P1514" s="167" t="s">
        <v>739</v>
      </c>
      <c r="Q1514" s="167">
        <v>374</v>
      </c>
      <c r="R1514" s="167" t="s">
        <v>1105</v>
      </c>
      <c r="S1514" s="167" t="s">
        <v>2236</v>
      </c>
      <c r="T1514" s="167">
        <v>8</v>
      </c>
      <c r="U1514" s="167" t="s">
        <v>2237</v>
      </c>
      <c r="V1514" s="167" t="s">
        <v>3450</v>
      </c>
      <c r="AB1514" s="167" t="s">
        <v>2018</v>
      </c>
      <c r="AC1514" s="167">
        <v>353</v>
      </c>
      <c r="AD1514" s="203">
        <v>43180</v>
      </c>
      <c r="AE1514" s="203">
        <v>0</v>
      </c>
      <c r="AF1514" s="167" t="s">
        <v>3469</v>
      </c>
    </row>
    <row r="1515" spans="16:32" x14ac:dyDescent="0.25">
      <c r="P1515" s="167" t="s">
        <v>739</v>
      </c>
      <c r="Q1515" s="167">
        <v>374</v>
      </c>
      <c r="R1515" s="167" t="s">
        <v>1105</v>
      </c>
      <c r="S1515" s="167" t="s">
        <v>1054</v>
      </c>
      <c r="T1515" s="167">
        <v>59</v>
      </c>
      <c r="U1515" s="167" t="s">
        <v>2242</v>
      </c>
      <c r="V1515" s="167" t="s">
        <v>3450</v>
      </c>
      <c r="AB1515" s="167" t="s">
        <v>2020</v>
      </c>
      <c r="AC1515" s="167">
        <v>323</v>
      </c>
      <c r="AD1515" s="203">
        <v>43074</v>
      </c>
      <c r="AE1515" s="203">
        <v>43111</v>
      </c>
      <c r="AF1515" s="167" t="s">
        <v>3470</v>
      </c>
    </row>
    <row r="1516" spans="16:32" x14ac:dyDescent="0.25">
      <c r="P1516" s="167" t="s">
        <v>739</v>
      </c>
      <c r="Q1516" s="167">
        <v>374</v>
      </c>
      <c r="R1516" s="167" t="s">
        <v>1105</v>
      </c>
      <c r="S1516" s="167" t="s">
        <v>2243</v>
      </c>
      <c r="T1516" s="167">
        <v>8</v>
      </c>
      <c r="U1516" s="167" t="s">
        <v>2244</v>
      </c>
      <c r="V1516" s="167" t="s">
        <v>3450</v>
      </c>
      <c r="AB1516" s="167" t="s">
        <v>2020</v>
      </c>
      <c r="AC1516" s="167">
        <v>327</v>
      </c>
      <c r="AD1516" s="203">
        <v>43074</v>
      </c>
      <c r="AE1516" s="203">
        <v>43131</v>
      </c>
      <c r="AF1516" s="167" t="s">
        <v>3470</v>
      </c>
    </row>
    <row r="1517" spans="16:32" x14ac:dyDescent="0.25">
      <c r="P1517" s="167" t="s">
        <v>739</v>
      </c>
      <c r="Q1517" s="167">
        <v>374</v>
      </c>
      <c r="R1517" s="167" t="s">
        <v>1105</v>
      </c>
      <c r="S1517" s="167" t="s">
        <v>940</v>
      </c>
      <c r="T1517" s="167">
        <v>12</v>
      </c>
      <c r="U1517" s="167" t="s">
        <v>2248</v>
      </c>
      <c r="V1517" s="167" t="s">
        <v>3450</v>
      </c>
      <c r="AB1517" s="167" t="s">
        <v>2020</v>
      </c>
      <c r="AC1517" s="167">
        <v>347</v>
      </c>
      <c r="AD1517" s="203">
        <v>43118</v>
      </c>
      <c r="AE1517" s="203">
        <v>43133</v>
      </c>
      <c r="AF1517" s="167" t="s">
        <v>3470</v>
      </c>
    </row>
    <row r="1518" spans="16:32" x14ac:dyDescent="0.25">
      <c r="P1518" s="167" t="s">
        <v>739</v>
      </c>
      <c r="Q1518" s="167">
        <v>374</v>
      </c>
      <c r="R1518" s="167" t="s">
        <v>1105</v>
      </c>
      <c r="S1518" s="167" t="s">
        <v>1057</v>
      </c>
      <c r="T1518" s="167">
        <v>315</v>
      </c>
      <c r="U1518" s="167" t="s">
        <v>2251</v>
      </c>
      <c r="V1518" s="167" t="s">
        <v>3450</v>
      </c>
      <c r="AB1518" s="167" t="s">
        <v>2020</v>
      </c>
      <c r="AC1518" s="167">
        <v>340</v>
      </c>
      <c r="AD1518" s="203">
        <v>43133</v>
      </c>
      <c r="AE1518" s="203">
        <v>43168</v>
      </c>
      <c r="AF1518" s="167" t="s">
        <v>3470</v>
      </c>
    </row>
    <row r="1519" spans="16:32" x14ac:dyDescent="0.25">
      <c r="P1519" s="167" t="s">
        <v>739</v>
      </c>
      <c r="Q1519" s="167">
        <v>374</v>
      </c>
      <c r="R1519" s="167" t="s">
        <v>1105</v>
      </c>
      <c r="S1519" s="167" t="s">
        <v>2260</v>
      </c>
      <c r="T1519" s="167">
        <v>64</v>
      </c>
      <c r="U1519" s="167" t="s">
        <v>2261</v>
      </c>
      <c r="V1519" s="167" t="s">
        <v>3450</v>
      </c>
      <c r="AB1519" s="167" t="s">
        <v>2020</v>
      </c>
      <c r="AC1519" s="167">
        <v>364</v>
      </c>
      <c r="AD1519" s="203">
        <v>43168</v>
      </c>
      <c r="AE1519" s="203">
        <v>43179</v>
      </c>
      <c r="AF1519" s="167" t="s">
        <v>3470</v>
      </c>
    </row>
    <row r="1520" spans="16:32" x14ac:dyDescent="0.25">
      <c r="P1520" s="167" t="s">
        <v>739</v>
      </c>
      <c r="Q1520" s="167">
        <v>374</v>
      </c>
      <c r="R1520" s="167" t="s">
        <v>1105</v>
      </c>
      <c r="S1520" s="167" t="s">
        <v>2268</v>
      </c>
      <c r="T1520" s="167">
        <v>40</v>
      </c>
      <c r="U1520" s="167" t="s">
        <v>2269</v>
      </c>
      <c r="V1520" s="167" t="s">
        <v>3450</v>
      </c>
      <c r="AB1520" s="167" t="s">
        <v>2020</v>
      </c>
      <c r="AC1520" s="167">
        <v>353</v>
      </c>
      <c r="AD1520" s="203">
        <v>43180</v>
      </c>
      <c r="AE1520" s="203">
        <v>0</v>
      </c>
      <c r="AF1520" s="167" t="s">
        <v>3469</v>
      </c>
    </row>
    <row r="1521" spans="16:32" x14ac:dyDescent="0.25">
      <c r="P1521" s="167" t="s">
        <v>739</v>
      </c>
      <c r="Q1521" s="167">
        <v>374</v>
      </c>
      <c r="R1521" s="167" t="s">
        <v>1105</v>
      </c>
      <c r="S1521" s="167" t="s">
        <v>2298</v>
      </c>
      <c r="T1521" s="167">
        <v>2</v>
      </c>
      <c r="U1521" s="167" t="s">
        <v>2299</v>
      </c>
      <c r="V1521" s="167" t="s">
        <v>3450</v>
      </c>
      <c r="AB1521" s="167" t="s">
        <v>2020</v>
      </c>
      <c r="AC1521" s="167">
        <v>353</v>
      </c>
      <c r="AD1521" s="203">
        <v>43180</v>
      </c>
      <c r="AE1521" s="203">
        <v>0</v>
      </c>
      <c r="AF1521" s="167" t="s">
        <v>3469</v>
      </c>
    </row>
    <row r="1522" spans="16:32" x14ac:dyDescent="0.25">
      <c r="P1522" s="167" t="s">
        <v>739</v>
      </c>
      <c r="Q1522" s="167">
        <v>374</v>
      </c>
      <c r="R1522" s="167" t="s">
        <v>1105</v>
      </c>
      <c r="S1522" s="167" t="s">
        <v>2298</v>
      </c>
      <c r="T1522" s="167">
        <v>1</v>
      </c>
      <c r="U1522" s="167" t="s">
        <v>2299</v>
      </c>
      <c r="V1522" s="167" t="s">
        <v>3450</v>
      </c>
      <c r="AB1522" s="167" t="s">
        <v>2022</v>
      </c>
      <c r="AC1522" s="167">
        <v>357</v>
      </c>
      <c r="AD1522" s="203">
        <v>43139</v>
      </c>
      <c r="AE1522" s="203">
        <v>43164</v>
      </c>
      <c r="AF1522" s="167" t="s">
        <v>3470</v>
      </c>
    </row>
    <row r="1523" spans="16:32" x14ac:dyDescent="0.25">
      <c r="P1523" s="167" t="s">
        <v>739</v>
      </c>
      <c r="Q1523" s="167">
        <v>374</v>
      </c>
      <c r="R1523" s="167" t="s">
        <v>1105</v>
      </c>
      <c r="S1523" s="167" t="s">
        <v>2302</v>
      </c>
      <c r="T1523" s="167">
        <v>40</v>
      </c>
      <c r="U1523" s="167" t="s">
        <v>2303</v>
      </c>
      <c r="V1523" s="167" t="s">
        <v>3450</v>
      </c>
      <c r="AB1523" s="167" t="s">
        <v>2022</v>
      </c>
      <c r="AC1523" s="167">
        <v>364</v>
      </c>
      <c r="AD1523" s="203">
        <v>43168</v>
      </c>
      <c r="AE1523" s="203">
        <v>43179</v>
      </c>
      <c r="AF1523" s="167" t="s">
        <v>3470</v>
      </c>
    </row>
    <row r="1524" spans="16:32" x14ac:dyDescent="0.25">
      <c r="P1524" s="167" t="s">
        <v>739</v>
      </c>
      <c r="Q1524" s="167">
        <v>374</v>
      </c>
      <c r="R1524" s="167" t="s">
        <v>1105</v>
      </c>
      <c r="S1524" s="167" t="s">
        <v>2342</v>
      </c>
      <c r="T1524" s="167">
        <v>50</v>
      </c>
      <c r="U1524" s="167" t="s">
        <v>2343</v>
      </c>
      <c r="V1524" s="167" t="s">
        <v>3450</v>
      </c>
      <c r="AB1524" s="167" t="s">
        <v>2022</v>
      </c>
      <c r="AC1524" s="167">
        <v>353</v>
      </c>
      <c r="AD1524" s="203">
        <v>43180</v>
      </c>
      <c r="AE1524" s="203">
        <v>0</v>
      </c>
      <c r="AF1524" s="167" t="s">
        <v>3469</v>
      </c>
    </row>
    <row r="1525" spans="16:32" x14ac:dyDescent="0.25">
      <c r="P1525" s="167" t="s">
        <v>739</v>
      </c>
      <c r="Q1525" s="167">
        <v>374</v>
      </c>
      <c r="R1525" s="167" t="s">
        <v>1105</v>
      </c>
      <c r="S1525" s="167" t="s">
        <v>2346</v>
      </c>
      <c r="T1525" s="167">
        <v>2</v>
      </c>
      <c r="U1525" s="167" t="s">
        <v>2347</v>
      </c>
      <c r="V1525" s="167" t="s">
        <v>3450</v>
      </c>
      <c r="AB1525" s="167" t="s">
        <v>2022</v>
      </c>
      <c r="AC1525" s="167">
        <v>353</v>
      </c>
      <c r="AD1525" s="203">
        <v>43180</v>
      </c>
      <c r="AE1525" s="203">
        <v>0</v>
      </c>
      <c r="AF1525" s="167" t="s">
        <v>3469</v>
      </c>
    </row>
    <row r="1526" spans="16:32" x14ac:dyDescent="0.25">
      <c r="P1526" s="167" t="s">
        <v>739</v>
      </c>
      <c r="Q1526" s="167">
        <v>374</v>
      </c>
      <c r="R1526" s="167" t="s">
        <v>1105</v>
      </c>
      <c r="S1526" s="167" t="s">
        <v>2373</v>
      </c>
      <c r="T1526" s="167">
        <v>30</v>
      </c>
      <c r="U1526" s="167" t="s">
        <v>2374</v>
      </c>
      <c r="V1526" s="167" t="s">
        <v>3450</v>
      </c>
      <c r="AB1526" s="167" t="s">
        <v>2024</v>
      </c>
      <c r="AC1526" s="167">
        <v>364</v>
      </c>
      <c r="AD1526" s="203">
        <v>43168</v>
      </c>
      <c r="AE1526" s="203">
        <v>43179</v>
      </c>
      <c r="AF1526" s="167" t="s">
        <v>3470</v>
      </c>
    </row>
    <row r="1527" spans="16:32" x14ac:dyDescent="0.25">
      <c r="P1527" s="167" t="s">
        <v>739</v>
      </c>
      <c r="Q1527" s="167">
        <v>374</v>
      </c>
      <c r="R1527" s="167" t="s">
        <v>1105</v>
      </c>
      <c r="S1527" s="167" t="s">
        <v>955</v>
      </c>
      <c r="T1527" s="167">
        <v>83</v>
      </c>
      <c r="U1527" s="167" t="s">
        <v>2400</v>
      </c>
      <c r="V1527" s="167" t="s">
        <v>3450</v>
      </c>
      <c r="AB1527" s="167" t="s">
        <v>2024</v>
      </c>
      <c r="AC1527" s="167">
        <v>353</v>
      </c>
      <c r="AD1527" s="203">
        <v>43180</v>
      </c>
      <c r="AE1527" s="203">
        <v>0</v>
      </c>
      <c r="AF1527" s="167" t="s">
        <v>3469</v>
      </c>
    </row>
    <row r="1528" spans="16:32" x14ac:dyDescent="0.25">
      <c r="P1528" s="167" t="s">
        <v>739</v>
      </c>
      <c r="Q1528" s="167">
        <v>374</v>
      </c>
      <c r="R1528" s="167" t="s">
        <v>1105</v>
      </c>
      <c r="S1528" s="167" t="s">
        <v>1066</v>
      </c>
      <c r="T1528" s="167">
        <v>80</v>
      </c>
      <c r="U1528" s="167" t="s">
        <v>2413</v>
      </c>
      <c r="V1528" s="167" t="s">
        <v>3450</v>
      </c>
      <c r="AB1528" s="167" t="s">
        <v>2026</v>
      </c>
      <c r="AC1528" s="167">
        <v>364</v>
      </c>
      <c r="AD1528" s="203">
        <v>43168</v>
      </c>
      <c r="AE1528" s="203">
        <v>43179</v>
      </c>
      <c r="AF1528" s="167" t="s">
        <v>3470</v>
      </c>
    </row>
    <row r="1529" spans="16:32" x14ac:dyDescent="0.25">
      <c r="P1529" s="167" t="s">
        <v>739</v>
      </c>
      <c r="Q1529" s="167">
        <v>374</v>
      </c>
      <c r="R1529" s="167" t="s">
        <v>1105</v>
      </c>
      <c r="S1529" s="167" t="s">
        <v>2437</v>
      </c>
      <c r="T1529" s="167">
        <v>2</v>
      </c>
      <c r="U1529" s="167" t="s">
        <v>2438</v>
      </c>
      <c r="V1529" s="167" t="s">
        <v>3450</v>
      </c>
      <c r="AB1529" s="167" t="s">
        <v>2026</v>
      </c>
      <c r="AC1529" s="167">
        <v>353</v>
      </c>
      <c r="AD1529" s="203">
        <v>43180</v>
      </c>
      <c r="AE1529" s="203">
        <v>0</v>
      </c>
      <c r="AF1529" s="167" t="s">
        <v>3469</v>
      </c>
    </row>
    <row r="1530" spans="16:32" x14ac:dyDescent="0.25">
      <c r="P1530" s="167" t="s">
        <v>739</v>
      </c>
      <c r="Q1530" s="167">
        <v>374</v>
      </c>
      <c r="R1530" s="167" t="s">
        <v>1105</v>
      </c>
      <c r="S1530" s="167" t="s">
        <v>2440</v>
      </c>
      <c r="T1530" s="167">
        <v>51</v>
      </c>
      <c r="U1530" s="167" t="s">
        <v>2441</v>
      </c>
      <c r="V1530" s="167" t="s">
        <v>3450</v>
      </c>
      <c r="AB1530" s="167" t="s">
        <v>3480</v>
      </c>
      <c r="AC1530" s="167">
        <v>323</v>
      </c>
      <c r="AD1530" s="203">
        <v>43074</v>
      </c>
      <c r="AE1530" s="203">
        <v>43111</v>
      </c>
      <c r="AF1530" s="167" t="s">
        <v>3470</v>
      </c>
    </row>
    <row r="1531" spans="16:32" x14ac:dyDescent="0.25">
      <c r="P1531" s="167" t="s">
        <v>739</v>
      </c>
      <c r="Q1531" s="167">
        <v>374</v>
      </c>
      <c r="R1531" s="167" t="s">
        <v>1105</v>
      </c>
      <c r="S1531" s="167" t="s">
        <v>1070</v>
      </c>
      <c r="T1531" s="167">
        <v>23</v>
      </c>
      <c r="U1531" s="167" t="s">
        <v>2442</v>
      </c>
      <c r="V1531" s="167" t="s">
        <v>3450</v>
      </c>
      <c r="AB1531" s="167" t="s">
        <v>2028</v>
      </c>
      <c r="AC1531" s="167">
        <v>327</v>
      </c>
      <c r="AD1531" s="203">
        <v>43074</v>
      </c>
      <c r="AE1531" s="203">
        <v>43131</v>
      </c>
      <c r="AF1531" s="167" t="s">
        <v>3470</v>
      </c>
    </row>
    <row r="1532" spans="16:32" x14ac:dyDescent="0.25">
      <c r="P1532" s="167" t="s">
        <v>739</v>
      </c>
      <c r="Q1532" s="167">
        <v>374</v>
      </c>
      <c r="R1532" s="167" t="s">
        <v>1105</v>
      </c>
      <c r="S1532" s="167" t="s">
        <v>1071</v>
      </c>
      <c r="T1532" s="167">
        <v>35</v>
      </c>
      <c r="U1532" s="167" t="s">
        <v>2449</v>
      </c>
      <c r="V1532" s="167" t="s">
        <v>3450</v>
      </c>
      <c r="AB1532" s="167" t="s">
        <v>2028</v>
      </c>
      <c r="AC1532" s="167">
        <v>347</v>
      </c>
      <c r="AD1532" s="203">
        <v>43118</v>
      </c>
      <c r="AE1532" s="203">
        <v>43133</v>
      </c>
      <c r="AF1532" s="167" t="s">
        <v>3470</v>
      </c>
    </row>
    <row r="1533" spans="16:32" x14ac:dyDescent="0.25">
      <c r="P1533" s="167" t="s">
        <v>739</v>
      </c>
      <c r="Q1533" s="167">
        <v>374</v>
      </c>
      <c r="R1533" s="167" t="s">
        <v>1105</v>
      </c>
      <c r="S1533" s="167" t="s">
        <v>2461</v>
      </c>
      <c r="T1533" s="167">
        <v>2</v>
      </c>
      <c r="U1533" s="167" t="s">
        <v>2462</v>
      </c>
      <c r="V1533" s="167" t="s">
        <v>3450</v>
      </c>
      <c r="AB1533" s="167" t="s">
        <v>2028</v>
      </c>
      <c r="AC1533" s="167">
        <v>340</v>
      </c>
      <c r="AD1533" s="203">
        <v>43133</v>
      </c>
      <c r="AE1533" s="203">
        <v>43168</v>
      </c>
      <c r="AF1533" s="167" t="s">
        <v>3470</v>
      </c>
    </row>
    <row r="1534" spans="16:32" x14ac:dyDescent="0.25">
      <c r="P1534" s="167" t="s">
        <v>739</v>
      </c>
      <c r="Q1534" s="167">
        <v>374</v>
      </c>
      <c r="R1534" s="167" t="s">
        <v>1105</v>
      </c>
      <c r="S1534" s="167" t="s">
        <v>2486</v>
      </c>
      <c r="T1534" s="167">
        <v>25</v>
      </c>
      <c r="U1534" s="167" t="s">
        <v>2487</v>
      </c>
      <c r="V1534" s="167" t="s">
        <v>3450</v>
      </c>
      <c r="AB1534" s="167" t="s">
        <v>2028</v>
      </c>
      <c r="AC1534" s="167">
        <v>340</v>
      </c>
      <c r="AD1534" s="203">
        <v>43133</v>
      </c>
      <c r="AE1534" s="203">
        <v>43168</v>
      </c>
      <c r="AF1534" s="167" t="s">
        <v>3470</v>
      </c>
    </row>
    <row r="1535" spans="16:32" x14ac:dyDescent="0.25">
      <c r="P1535" s="167" t="s">
        <v>739</v>
      </c>
      <c r="Q1535" s="167">
        <v>374</v>
      </c>
      <c r="R1535" s="167" t="s">
        <v>1105</v>
      </c>
      <c r="S1535" s="167" t="s">
        <v>2492</v>
      </c>
      <c r="T1535" s="167">
        <v>19</v>
      </c>
      <c r="U1535" s="167" t="s">
        <v>2493</v>
      </c>
      <c r="V1535" s="167" t="s">
        <v>3450</v>
      </c>
      <c r="AB1535" s="167" t="s">
        <v>2028</v>
      </c>
      <c r="AC1535" s="167">
        <v>357</v>
      </c>
      <c r="AD1535" s="203">
        <v>43139</v>
      </c>
      <c r="AE1535" s="203">
        <v>43164</v>
      </c>
      <c r="AF1535" s="167" t="s">
        <v>3470</v>
      </c>
    </row>
    <row r="1536" spans="16:32" x14ac:dyDescent="0.25">
      <c r="P1536" s="167" t="s">
        <v>739</v>
      </c>
      <c r="Q1536" s="167">
        <v>374</v>
      </c>
      <c r="R1536" s="167" t="s">
        <v>1105</v>
      </c>
      <c r="S1536" s="167" t="s">
        <v>2498</v>
      </c>
      <c r="T1536" s="167">
        <v>20</v>
      </c>
      <c r="U1536" s="167" t="s">
        <v>2499</v>
      </c>
      <c r="V1536" s="167" t="s">
        <v>3450</v>
      </c>
      <c r="AB1536" s="167" t="s">
        <v>2028</v>
      </c>
      <c r="AC1536" s="167">
        <v>353</v>
      </c>
      <c r="AD1536" s="203">
        <v>43180</v>
      </c>
      <c r="AE1536" s="203">
        <v>0</v>
      </c>
      <c r="AF1536" s="167" t="s">
        <v>3469</v>
      </c>
    </row>
    <row r="1537" spans="16:32" x14ac:dyDescent="0.25">
      <c r="P1537" s="167" t="s">
        <v>739</v>
      </c>
      <c r="Q1537" s="167">
        <v>374</v>
      </c>
      <c r="R1537" s="167" t="s">
        <v>1105</v>
      </c>
      <c r="S1537" s="167" t="s">
        <v>2510</v>
      </c>
      <c r="T1537" s="167">
        <v>20</v>
      </c>
      <c r="U1537" s="167" t="s">
        <v>2511</v>
      </c>
      <c r="V1537" s="167" t="s">
        <v>3450</v>
      </c>
      <c r="AB1537" s="167" t="s">
        <v>2028</v>
      </c>
      <c r="AC1537" s="167">
        <v>353</v>
      </c>
      <c r="AD1537" s="203">
        <v>43180</v>
      </c>
      <c r="AE1537" s="203">
        <v>0</v>
      </c>
      <c r="AF1537" s="167" t="s">
        <v>3469</v>
      </c>
    </row>
    <row r="1538" spans="16:32" x14ac:dyDescent="0.25">
      <c r="P1538" s="167" t="s">
        <v>739</v>
      </c>
      <c r="Q1538" s="167">
        <v>374</v>
      </c>
      <c r="R1538" s="167" t="s">
        <v>1105</v>
      </c>
      <c r="S1538" s="167" t="s">
        <v>2515</v>
      </c>
      <c r="T1538" s="167">
        <v>15</v>
      </c>
      <c r="U1538" s="167" t="s">
        <v>2516</v>
      </c>
      <c r="V1538" s="167" t="s">
        <v>3450</v>
      </c>
      <c r="AB1538" s="167" t="s">
        <v>2028</v>
      </c>
      <c r="AC1538" s="167">
        <v>353</v>
      </c>
      <c r="AD1538" s="203">
        <v>43180</v>
      </c>
      <c r="AE1538" s="203">
        <v>0</v>
      </c>
      <c r="AF1538" s="167" t="s">
        <v>3469</v>
      </c>
    </row>
    <row r="1539" spans="16:32" x14ac:dyDescent="0.25">
      <c r="P1539" s="167" t="s">
        <v>739</v>
      </c>
      <c r="Q1539" s="167">
        <v>374</v>
      </c>
      <c r="R1539" s="167" t="s">
        <v>1105</v>
      </c>
      <c r="S1539" s="167" t="s">
        <v>2523</v>
      </c>
      <c r="T1539" s="167">
        <v>2</v>
      </c>
      <c r="U1539" s="167" t="s">
        <v>2524</v>
      </c>
      <c r="V1539" s="167" t="s">
        <v>3450</v>
      </c>
      <c r="AB1539" s="167" t="s">
        <v>2029</v>
      </c>
      <c r="AC1539" s="167">
        <v>327</v>
      </c>
      <c r="AD1539" s="203">
        <v>43074</v>
      </c>
      <c r="AE1539" s="203">
        <v>43131</v>
      </c>
      <c r="AF1539" s="167" t="s">
        <v>3470</v>
      </c>
    </row>
    <row r="1540" spans="16:32" x14ac:dyDescent="0.25">
      <c r="P1540" s="167" t="s">
        <v>739</v>
      </c>
      <c r="Q1540" s="167">
        <v>374</v>
      </c>
      <c r="R1540" s="167" t="s">
        <v>1105</v>
      </c>
      <c r="S1540" s="167" t="s">
        <v>2553</v>
      </c>
      <c r="T1540" s="167">
        <v>16</v>
      </c>
      <c r="U1540" s="167" t="s">
        <v>2554</v>
      </c>
      <c r="V1540" s="167" t="s">
        <v>3450</v>
      </c>
      <c r="AB1540" s="167" t="s">
        <v>2029</v>
      </c>
      <c r="AC1540" s="167">
        <v>327</v>
      </c>
      <c r="AD1540" s="203">
        <v>43074</v>
      </c>
      <c r="AE1540" s="203">
        <v>43131</v>
      </c>
      <c r="AF1540" s="167" t="s">
        <v>3470</v>
      </c>
    </row>
    <row r="1541" spans="16:32" x14ac:dyDescent="0.25">
      <c r="P1541" s="167" t="s">
        <v>739</v>
      </c>
      <c r="Q1541" s="167">
        <v>374</v>
      </c>
      <c r="R1541" s="167" t="s">
        <v>1105</v>
      </c>
      <c r="S1541" s="167" t="s">
        <v>2566</v>
      </c>
      <c r="T1541" s="167">
        <v>15</v>
      </c>
      <c r="U1541" s="167" t="s">
        <v>2567</v>
      </c>
      <c r="V1541" s="167" t="s">
        <v>3450</v>
      </c>
      <c r="AB1541" s="167" t="s">
        <v>2029</v>
      </c>
      <c r="AC1541" s="167">
        <v>327</v>
      </c>
      <c r="AD1541" s="203">
        <v>43074</v>
      </c>
      <c r="AE1541" s="203">
        <v>43131</v>
      </c>
      <c r="AF1541" s="167" t="s">
        <v>3470</v>
      </c>
    </row>
    <row r="1542" spans="16:32" x14ac:dyDescent="0.25">
      <c r="P1542" s="167" t="s">
        <v>739</v>
      </c>
      <c r="Q1542" s="167">
        <v>374</v>
      </c>
      <c r="R1542" s="167" t="s">
        <v>1105</v>
      </c>
      <c r="S1542" s="167" t="s">
        <v>2571</v>
      </c>
      <c r="T1542" s="167">
        <v>16</v>
      </c>
      <c r="U1542" s="167" t="s">
        <v>2572</v>
      </c>
      <c r="V1542" s="167" t="s">
        <v>3450</v>
      </c>
      <c r="AB1542" s="167" t="s">
        <v>2029</v>
      </c>
      <c r="AC1542" s="167">
        <v>327</v>
      </c>
      <c r="AD1542" s="203">
        <v>43074</v>
      </c>
      <c r="AE1542" s="203">
        <v>43131</v>
      </c>
      <c r="AF1542" s="167" t="s">
        <v>3470</v>
      </c>
    </row>
    <row r="1543" spans="16:32" x14ac:dyDescent="0.25">
      <c r="P1543" s="167" t="s">
        <v>739</v>
      </c>
      <c r="Q1543" s="167">
        <v>374</v>
      </c>
      <c r="R1543" s="167" t="s">
        <v>1105</v>
      </c>
      <c r="S1543" s="167" t="s">
        <v>2575</v>
      </c>
      <c r="T1543" s="167">
        <v>4</v>
      </c>
      <c r="U1543" s="167" t="s">
        <v>2576</v>
      </c>
      <c r="V1543" s="167" t="s">
        <v>3450</v>
      </c>
      <c r="AB1543" s="167" t="s">
        <v>2029</v>
      </c>
      <c r="AC1543" s="167">
        <v>347</v>
      </c>
      <c r="AD1543" s="203">
        <v>43118</v>
      </c>
      <c r="AE1543" s="203">
        <v>43133</v>
      </c>
      <c r="AF1543" s="167" t="s">
        <v>3470</v>
      </c>
    </row>
    <row r="1544" spans="16:32" x14ac:dyDescent="0.25">
      <c r="P1544" s="167" t="s">
        <v>739</v>
      </c>
      <c r="Q1544" s="167">
        <v>374</v>
      </c>
      <c r="R1544" s="167" t="s">
        <v>1105</v>
      </c>
      <c r="S1544" s="167" t="s">
        <v>1078</v>
      </c>
      <c r="T1544" s="167">
        <v>52</v>
      </c>
      <c r="U1544" s="167" t="s">
        <v>3426</v>
      </c>
      <c r="V1544" s="167" t="s">
        <v>3450</v>
      </c>
      <c r="AB1544" s="167" t="s">
        <v>2029</v>
      </c>
      <c r="AC1544" s="167">
        <v>340</v>
      </c>
      <c r="AD1544" s="203">
        <v>43133</v>
      </c>
      <c r="AE1544" s="203">
        <v>43168</v>
      </c>
      <c r="AF1544" s="167" t="s">
        <v>3470</v>
      </c>
    </row>
    <row r="1545" spans="16:32" x14ac:dyDescent="0.25">
      <c r="P1545" s="167" t="s">
        <v>739</v>
      </c>
      <c r="Q1545" s="167">
        <v>374</v>
      </c>
      <c r="R1545" s="167" t="s">
        <v>1105</v>
      </c>
      <c r="S1545" s="167" t="s">
        <v>2582</v>
      </c>
      <c r="T1545" s="167">
        <v>4</v>
      </c>
      <c r="U1545" s="167" t="s">
        <v>2583</v>
      </c>
      <c r="V1545" s="167" t="s">
        <v>3450</v>
      </c>
      <c r="AB1545" s="167" t="s">
        <v>2029</v>
      </c>
      <c r="AC1545" s="167">
        <v>340</v>
      </c>
      <c r="AD1545" s="203">
        <v>43133</v>
      </c>
      <c r="AE1545" s="203">
        <v>43168</v>
      </c>
      <c r="AF1545" s="167" t="s">
        <v>3470</v>
      </c>
    </row>
    <row r="1546" spans="16:32" x14ac:dyDescent="0.25">
      <c r="P1546" s="167" t="s">
        <v>739</v>
      </c>
      <c r="Q1546" s="167">
        <v>374</v>
      </c>
      <c r="R1546" s="167" t="s">
        <v>1105</v>
      </c>
      <c r="S1546" s="167" t="s">
        <v>2587</v>
      </c>
      <c r="T1546" s="167">
        <v>55</v>
      </c>
      <c r="U1546" s="167" t="s">
        <v>2588</v>
      </c>
      <c r="V1546" s="167" t="s">
        <v>3450</v>
      </c>
      <c r="AB1546" s="167" t="s">
        <v>2029</v>
      </c>
      <c r="AC1546" s="167">
        <v>340</v>
      </c>
      <c r="AD1546" s="203">
        <v>43133</v>
      </c>
      <c r="AE1546" s="203">
        <v>43168</v>
      </c>
      <c r="AF1546" s="167" t="s">
        <v>3470</v>
      </c>
    </row>
    <row r="1547" spans="16:32" x14ac:dyDescent="0.25">
      <c r="P1547" s="167" t="s">
        <v>739</v>
      </c>
      <c r="Q1547" s="167">
        <v>374</v>
      </c>
      <c r="R1547" s="167" t="s">
        <v>1105</v>
      </c>
      <c r="S1547" s="167" t="s">
        <v>1336</v>
      </c>
      <c r="T1547" s="167">
        <v>6</v>
      </c>
      <c r="U1547" s="167" t="s">
        <v>3459</v>
      </c>
      <c r="V1547" s="167" t="s">
        <v>3450</v>
      </c>
      <c r="AB1547" s="167" t="s">
        <v>2029</v>
      </c>
      <c r="AC1547" s="167">
        <v>357</v>
      </c>
      <c r="AD1547" s="203">
        <v>43139</v>
      </c>
      <c r="AE1547" s="203">
        <v>43164</v>
      </c>
      <c r="AF1547" s="167" t="s">
        <v>3470</v>
      </c>
    </row>
    <row r="1548" spans="16:32" x14ac:dyDescent="0.25">
      <c r="P1548" s="167" t="s">
        <v>739</v>
      </c>
      <c r="Q1548" s="167">
        <v>374</v>
      </c>
      <c r="R1548" s="167" t="s">
        <v>1105</v>
      </c>
      <c r="S1548" s="167" t="s">
        <v>2643</v>
      </c>
      <c r="T1548" s="167">
        <v>2</v>
      </c>
      <c r="U1548" s="167" t="s">
        <v>2644</v>
      </c>
      <c r="V1548" s="167" t="s">
        <v>3450</v>
      </c>
      <c r="AB1548" s="167" t="s">
        <v>2029</v>
      </c>
      <c r="AC1548" s="167">
        <v>353</v>
      </c>
      <c r="AD1548" s="203">
        <v>43180</v>
      </c>
      <c r="AE1548" s="203">
        <v>0</v>
      </c>
      <c r="AF1548" s="167" t="s">
        <v>3469</v>
      </c>
    </row>
    <row r="1549" spans="16:32" x14ac:dyDescent="0.25">
      <c r="P1549" s="167" t="s">
        <v>739</v>
      </c>
      <c r="Q1549" s="167">
        <v>374</v>
      </c>
      <c r="R1549" s="167" t="s">
        <v>1105</v>
      </c>
      <c r="S1549" s="167" t="s">
        <v>3366</v>
      </c>
      <c r="T1549" s="167">
        <v>10</v>
      </c>
      <c r="U1549" s="167" t="s">
        <v>3460</v>
      </c>
      <c r="V1549" s="167" t="s">
        <v>3450</v>
      </c>
      <c r="AB1549" s="167" t="s">
        <v>2029</v>
      </c>
      <c r="AC1549" s="167">
        <v>353</v>
      </c>
      <c r="AD1549" s="203">
        <v>43180</v>
      </c>
      <c r="AE1549" s="203">
        <v>0</v>
      </c>
      <c r="AF1549" s="167" t="s">
        <v>3469</v>
      </c>
    </row>
    <row r="1550" spans="16:32" x14ac:dyDescent="0.25">
      <c r="P1550" s="167" t="s">
        <v>739</v>
      </c>
      <c r="Q1550" s="167">
        <v>374</v>
      </c>
      <c r="R1550" s="167" t="s">
        <v>1105</v>
      </c>
      <c r="S1550" s="167" t="s">
        <v>2700</v>
      </c>
      <c r="T1550" s="167">
        <v>8</v>
      </c>
      <c r="U1550" s="167" t="s">
        <v>2701</v>
      </c>
      <c r="V1550" s="167" t="s">
        <v>3450</v>
      </c>
      <c r="AB1550" s="167" t="s">
        <v>2029</v>
      </c>
      <c r="AC1550" s="167">
        <v>353</v>
      </c>
      <c r="AD1550" s="203">
        <v>43180</v>
      </c>
      <c r="AE1550" s="203">
        <v>0</v>
      </c>
      <c r="AF1550" s="167" t="s">
        <v>3469</v>
      </c>
    </row>
    <row r="1551" spans="16:32" x14ac:dyDescent="0.25">
      <c r="P1551" s="167" t="s">
        <v>739</v>
      </c>
      <c r="Q1551" s="167">
        <v>374</v>
      </c>
      <c r="R1551" s="167" t="s">
        <v>1105</v>
      </c>
      <c r="S1551" s="167" t="s">
        <v>2750</v>
      </c>
      <c r="T1551" s="167">
        <v>2</v>
      </c>
      <c r="U1551" s="167" t="s">
        <v>2751</v>
      </c>
      <c r="V1551" s="167" t="s">
        <v>3450</v>
      </c>
      <c r="AB1551" s="167" t="s">
        <v>2029</v>
      </c>
      <c r="AC1551" s="167">
        <v>353</v>
      </c>
      <c r="AD1551" s="203">
        <v>43180</v>
      </c>
      <c r="AE1551" s="203">
        <v>0</v>
      </c>
      <c r="AF1551" s="167" t="s">
        <v>3469</v>
      </c>
    </row>
    <row r="1552" spans="16:32" x14ac:dyDescent="0.25">
      <c r="P1552" s="167" t="s">
        <v>739</v>
      </c>
      <c r="Q1552" s="167">
        <v>374</v>
      </c>
      <c r="R1552" s="167" t="s">
        <v>1105</v>
      </c>
      <c r="S1552" s="167" t="s">
        <v>2763</v>
      </c>
      <c r="T1552" s="167">
        <v>35</v>
      </c>
      <c r="U1552" s="167" t="s">
        <v>2764</v>
      </c>
      <c r="V1552" s="167" t="s">
        <v>3450</v>
      </c>
      <c r="AB1552" s="167" t="s">
        <v>2029</v>
      </c>
      <c r="AC1552" s="167">
        <v>353</v>
      </c>
      <c r="AD1552" s="203">
        <v>43180</v>
      </c>
      <c r="AE1552" s="203">
        <v>0</v>
      </c>
      <c r="AF1552" s="167" t="s">
        <v>3469</v>
      </c>
    </row>
    <row r="1553" spans="16:32" x14ac:dyDescent="0.25">
      <c r="P1553" s="167" t="s">
        <v>739</v>
      </c>
      <c r="Q1553" s="167">
        <v>374</v>
      </c>
      <c r="R1553" s="167" t="s">
        <v>1105</v>
      </c>
      <c r="S1553" s="167" t="s">
        <v>2765</v>
      </c>
      <c r="T1553" s="167">
        <v>3</v>
      </c>
      <c r="U1553" s="167" t="s">
        <v>2766</v>
      </c>
      <c r="V1553" s="167" t="s">
        <v>3450</v>
      </c>
      <c r="AB1553" s="167" t="s">
        <v>2031</v>
      </c>
      <c r="AC1553" s="167">
        <v>347</v>
      </c>
      <c r="AD1553" s="203">
        <v>43118</v>
      </c>
      <c r="AE1553" s="203">
        <v>43133</v>
      </c>
      <c r="AF1553" s="167" t="s">
        <v>3470</v>
      </c>
    </row>
    <row r="1554" spans="16:32" x14ac:dyDescent="0.25">
      <c r="P1554" s="167" t="s">
        <v>739</v>
      </c>
      <c r="Q1554" s="167">
        <v>374</v>
      </c>
      <c r="R1554" s="167" t="s">
        <v>1105</v>
      </c>
      <c r="S1554" s="167" t="s">
        <v>2772</v>
      </c>
      <c r="T1554" s="167">
        <v>62</v>
      </c>
      <c r="U1554" s="167" t="s">
        <v>2773</v>
      </c>
      <c r="V1554" s="167" t="s">
        <v>3450</v>
      </c>
      <c r="AB1554" s="167" t="s">
        <v>2031</v>
      </c>
      <c r="AC1554" s="167">
        <v>340</v>
      </c>
      <c r="AD1554" s="203">
        <v>43133</v>
      </c>
      <c r="AE1554" s="203">
        <v>43168</v>
      </c>
      <c r="AF1554" s="167" t="s">
        <v>3470</v>
      </c>
    </row>
    <row r="1555" spans="16:32" x14ac:dyDescent="0.25">
      <c r="P1555" s="167" t="s">
        <v>739</v>
      </c>
      <c r="Q1555" s="167">
        <v>374</v>
      </c>
      <c r="R1555" s="167" t="s">
        <v>1105</v>
      </c>
      <c r="S1555" s="167" t="s">
        <v>2787</v>
      </c>
      <c r="T1555" s="167">
        <v>1</v>
      </c>
      <c r="U1555" s="167" t="s">
        <v>2788</v>
      </c>
      <c r="V1555" s="167" t="s">
        <v>3450</v>
      </c>
      <c r="AB1555" s="167" t="s">
        <v>2031</v>
      </c>
      <c r="AC1555" s="167">
        <v>364</v>
      </c>
      <c r="AD1555" s="203">
        <v>43168</v>
      </c>
      <c r="AE1555" s="203">
        <v>43179</v>
      </c>
      <c r="AF1555" s="167" t="s">
        <v>3470</v>
      </c>
    </row>
    <row r="1556" spans="16:32" x14ac:dyDescent="0.25">
      <c r="P1556" s="167" t="s">
        <v>739</v>
      </c>
      <c r="Q1556" s="167">
        <v>374</v>
      </c>
      <c r="R1556" s="167" t="s">
        <v>1105</v>
      </c>
      <c r="S1556" s="167" t="s">
        <v>952</v>
      </c>
      <c r="T1556" s="167">
        <v>2</v>
      </c>
      <c r="U1556" s="167" t="s">
        <v>3461</v>
      </c>
      <c r="V1556" s="167" t="s">
        <v>3450</v>
      </c>
      <c r="AB1556" s="167" t="s">
        <v>2031</v>
      </c>
      <c r="AC1556" s="167">
        <v>353</v>
      </c>
      <c r="AD1556" s="203">
        <v>43180</v>
      </c>
      <c r="AE1556" s="203">
        <v>0</v>
      </c>
      <c r="AF1556" s="167" t="s">
        <v>3469</v>
      </c>
    </row>
    <row r="1557" spans="16:32" x14ac:dyDescent="0.25">
      <c r="P1557" s="167" t="s">
        <v>739</v>
      </c>
      <c r="Q1557" s="167">
        <v>374</v>
      </c>
      <c r="R1557" s="167" t="s">
        <v>1105</v>
      </c>
      <c r="S1557" s="167" t="s">
        <v>953</v>
      </c>
      <c r="T1557" s="167">
        <v>279</v>
      </c>
      <c r="U1557" s="167" t="s">
        <v>2793</v>
      </c>
      <c r="V1557" s="167" t="s">
        <v>3450</v>
      </c>
      <c r="AB1557" s="167" t="s">
        <v>2033</v>
      </c>
      <c r="AC1557" s="167">
        <v>323</v>
      </c>
      <c r="AD1557" s="203">
        <v>43074</v>
      </c>
      <c r="AE1557" s="203">
        <v>43111</v>
      </c>
      <c r="AF1557" s="167" t="s">
        <v>3470</v>
      </c>
    </row>
    <row r="1558" spans="16:32" x14ac:dyDescent="0.25">
      <c r="P1558" s="167" t="s">
        <v>739</v>
      </c>
      <c r="Q1558" s="167">
        <v>374</v>
      </c>
      <c r="R1558" s="167" t="s">
        <v>1105</v>
      </c>
      <c r="S1558" s="167" t="s">
        <v>2795</v>
      </c>
      <c r="T1558" s="167">
        <v>14</v>
      </c>
      <c r="U1558" s="167" t="s">
        <v>2796</v>
      </c>
      <c r="V1558" s="167" t="s">
        <v>3450</v>
      </c>
      <c r="AB1558" s="167" t="s">
        <v>2033</v>
      </c>
      <c r="AC1558" s="167">
        <v>347</v>
      </c>
      <c r="AD1558" s="203">
        <v>43118</v>
      </c>
      <c r="AE1558" s="203">
        <v>43133</v>
      </c>
      <c r="AF1558" s="167" t="s">
        <v>3470</v>
      </c>
    </row>
    <row r="1559" spans="16:32" x14ac:dyDescent="0.25">
      <c r="P1559" s="167" t="s">
        <v>739</v>
      </c>
      <c r="Q1559" s="167">
        <v>374</v>
      </c>
      <c r="R1559" s="167" t="s">
        <v>1105</v>
      </c>
      <c r="S1559" s="167" t="s">
        <v>2800</v>
      </c>
      <c r="T1559" s="167">
        <v>1</v>
      </c>
      <c r="U1559" s="167" t="s">
        <v>2801</v>
      </c>
      <c r="V1559" s="167" t="s">
        <v>3450</v>
      </c>
      <c r="AB1559" s="167" t="s">
        <v>2033</v>
      </c>
      <c r="AC1559" s="167">
        <v>340</v>
      </c>
      <c r="AD1559" s="203">
        <v>43133</v>
      </c>
      <c r="AE1559" s="203">
        <v>43168</v>
      </c>
      <c r="AF1559" s="167" t="s">
        <v>3470</v>
      </c>
    </row>
    <row r="1560" spans="16:32" x14ac:dyDescent="0.25">
      <c r="P1560" s="167" t="s">
        <v>739</v>
      </c>
      <c r="Q1560" s="167">
        <v>374</v>
      </c>
      <c r="R1560" s="167" t="s">
        <v>1105</v>
      </c>
      <c r="S1560" s="167" t="s">
        <v>2838</v>
      </c>
      <c r="T1560" s="167">
        <v>7</v>
      </c>
      <c r="U1560" s="167" t="s">
        <v>2839</v>
      </c>
      <c r="V1560" s="167" t="s">
        <v>3450</v>
      </c>
      <c r="AB1560" s="167" t="s">
        <v>2033</v>
      </c>
      <c r="AC1560" s="167">
        <v>357</v>
      </c>
      <c r="AD1560" s="203">
        <v>43139</v>
      </c>
      <c r="AE1560" s="203">
        <v>43164</v>
      </c>
      <c r="AF1560" s="167" t="s">
        <v>3470</v>
      </c>
    </row>
    <row r="1561" spans="16:32" x14ac:dyDescent="0.25">
      <c r="P1561" s="167" t="s">
        <v>739</v>
      </c>
      <c r="Q1561" s="167">
        <v>374</v>
      </c>
      <c r="R1561" s="167" t="s">
        <v>1105</v>
      </c>
      <c r="S1561" s="167" t="s">
        <v>924</v>
      </c>
      <c r="T1561" s="167">
        <v>8</v>
      </c>
      <c r="U1561" s="167" t="s">
        <v>2854</v>
      </c>
      <c r="V1561" s="167" t="s">
        <v>3450</v>
      </c>
      <c r="AB1561" s="167" t="s">
        <v>2033</v>
      </c>
      <c r="AC1561" s="167">
        <v>353</v>
      </c>
      <c r="AD1561" s="203">
        <v>43180</v>
      </c>
      <c r="AE1561" s="203">
        <v>0</v>
      </c>
      <c r="AF1561" s="167" t="s">
        <v>3469</v>
      </c>
    </row>
    <row r="1562" spans="16:32" x14ac:dyDescent="0.25">
      <c r="P1562" s="167" t="s">
        <v>739</v>
      </c>
      <c r="Q1562" s="167">
        <v>374</v>
      </c>
      <c r="R1562" s="167" t="s">
        <v>1105</v>
      </c>
      <c r="S1562" s="167" t="s">
        <v>2861</v>
      </c>
      <c r="T1562" s="167">
        <v>30</v>
      </c>
      <c r="U1562" s="167" t="s">
        <v>2862</v>
      </c>
      <c r="V1562" s="167" t="s">
        <v>3450</v>
      </c>
      <c r="AB1562" s="167" t="s">
        <v>2033</v>
      </c>
      <c r="AC1562" s="167">
        <v>353</v>
      </c>
      <c r="AD1562" s="203">
        <v>43180</v>
      </c>
      <c r="AE1562" s="203">
        <v>0</v>
      </c>
      <c r="AF1562" s="167" t="s">
        <v>3469</v>
      </c>
    </row>
    <row r="1563" spans="16:32" x14ac:dyDescent="0.25">
      <c r="P1563" s="167" t="s">
        <v>739</v>
      </c>
      <c r="Q1563" s="167">
        <v>374</v>
      </c>
      <c r="R1563" s="167" t="s">
        <v>1105</v>
      </c>
      <c r="S1563" s="167" t="s">
        <v>2863</v>
      </c>
      <c r="T1563" s="167">
        <v>10</v>
      </c>
      <c r="U1563" s="167" t="s">
        <v>2864</v>
      </c>
      <c r="V1563" s="167" t="s">
        <v>3450</v>
      </c>
      <c r="AB1563" s="167" t="s">
        <v>2034</v>
      </c>
      <c r="AC1563" s="167">
        <v>323</v>
      </c>
      <c r="AD1563" s="203">
        <v>43074</v>
      </c>
      <c r="AE1563" s="203">
        <v>43111</v>
      </c>
      <c r="AF1563" s="167" t="s">
        <v>3470</v>
      </c>
    </row>
    <row r="1564" spans="16:32" x14ac:dyDescent="0.25">
      <c r="P1564" s="167" t="s">
        <v>739</v>
      </c>
      <c r="Q1564" s="167">
        <v>374</v>
      </c>
      <c r="R1564" s="167" t="s">
        <v>1105</v>
      </c>
      <c r="S1564" s="167" t="s">
        <v>2874</v>
      </c>
      <c r="T1564" s="167">
        <v>10</v>
      </c>
      <c r="U1564" s="167" t="s">
        <v>2875</v>
      </c>
      <c r="V1564" s="167" t="s">
        <v>3450</v>
      </c>
      <c r="AB1564" s="167" t="s">
        <v>2034</v>
      </c>
      <c r="AC1564" s="167">
        <v>327</v>
      </c>
      <c r="AD1564" s="203">
        <v>43074</v>
      </c>
      <c r="AE1564" s="203">
        <v>43131</v>
      </c>
      <c r="AF1564" s="167" t="s">
        <v>3470</v>
      </c>
    </row>
    <row r="1565" spans="16:32" x14ac:dyDescent="0.25">
      <c r="P1565" s="167" t="s">
        <v>739</v>
      </c>
      <c r="Q1565" s="167">
        <v>374</v>
      </c>
      <c r="R1565" s="167" t="s">
        <v>1105</v>
      </c>
      <c r="S1565" s="167" t="s">
        <v>2878</v>
      </c>
      <c r="T1565" s="167">
        <v>70</v>
      </c>
      <c r="U1565" s="167" t="s">
        <v>2879</v>
      </c>
      <c r="V1565" s="167" t="s">
        <v>3450</v>
      </c>
      <c r="AB1565" s="167" t="s">
        <v>2034</v>
      </c>
      <c r="AC1565" s="167">
        <v>347</v>
      </c>
      <c r="AD1565" s="203">
        <v>43118</v>
      </c>
      <c r="AE1565" s="203">
        <v>43133</v>
      </c>
      <c r="AF1565" s="167" t="s">
        <v>3470</v>
      </c>
    </row>
    <row r="1566" spans="16:32" x14ac:dyDescent="0.25">
      <c r="P1566" s="167" t="s">
        <v>739</v>
      </c>
      <c r="Q1566" s="167">
        <v>374</v>
      </c>
      <c r="R1566" s="167" t="s">
        <v>1105</v>
      </c>
      <c r="S1566" s="167" t="s">
        <v>947</v>
      </c>
      <c r="T1566" s="167">
        <v>5</v>
      </c>
      <c r="U1566" s="167" t="s">
        <v>3462</v>
      </c>
      <c r="V1566" s="167" t="s">
        <v>3450</v>
      </c>
      <c r="AB1566" s="167" t="s">
        <v>2034</v>
      </c>
      <c r="AC1566" s="167">
        <v>340</v>
      </c>
      <c r="AD1566" s="203">
        <v>43133</v>
      </c>
      <c r="AE1566" s="203">
        <v>43168</v>
      </c>
      <c r="AF1566" s="167" t="s">
        <v>3470</v>
      </c>
    </row>
    <row r="1567" spans="16:32" x14ac:dyDescent="0.25">
      <c r="P1567" s="167" t="s">
        <v>739</v>
      </c>
      <c r="Q1567" s="167">
        <v>374</v>
      </c>
      <c r="R1567" s="167" t="s">
        <v>1105</v>
      </c>
      <c r="S1567" s="167" t="s">
        <v>3373</v>
      </c>
      <c r="T1567" s="167">
        <v>17</v>
      </c>
      <c r="U1567" s="167" t="s">
        <v>3463</v>
      </c>
      <c r="V1567" s="167" t="s">
        <v>3450</v>
      </c>
      <c r="AB1567" s="167" t="s">
        <v>2034</v>
      </c>
      <c r="AC1567" s="167">
        <v>340</v>
      </c>
      <c r="AD1567" s="203">
        <v>43133</v>
      </c>
      <c r="AE1567" s="203">
        <v>43168</v>
      </c>
      <c r="AF1567" s="167" t="s">
        <v>3470</v>
      </c>
    </row>
    <row r="1568" spans="16:32" x14ac:dyDescent="0.25">
      <c r="P1568" s="167" t="s">
        <v>739</v>
      </c>
      <c r="Q1568" s="167">
        <v>374</v>
      </c>
      <c r="R1568" s="167" t="s">
        <v>1105</v>
      </c>
      <c r="S1568" s="167" t="s">
        <v>2922</v>
      </c>
      <c r="T1568" s="167">
        <v>1</v>
      </c>
      <c r="U1568" s="167" t="s">
        <v>2923</v>
      </c>
      <c r="V1568" s="167" t="s">
        <v>3450</v>
      </c>
      <c r="AB1568" s="167" t="s">
        <v>2034</v>
      </c>
      <c r="AC1568" s="167">
        <v>374</v>
      </c>
      <c r="AD1568" s="203">
        <v>43195</v>
      </c>
      <c r="AE1568" s="203">
        <v>0</v>
      </c>
      <c r="AF1568" s="167" t="s">
        <v>3469</v>
      </c>
    </row>
    <row r="1569" spans="16:32" x14ac:dyDescent="0.25">
      <c r="P1569" s="167" t="s">
        <v>739</v>
      </c>
      <c r="Q1569" s="167">
        <v>373</v>
      </c>
      <c r="R1569" s="167" t="s">
        <v>3464</v>
      </c>
      <c r="S1569" s="167" t="s">
        <v>1094</v>
      </c>
      <c r="T1569" s="167">
        <v>200</v>
      </c>
      <c r="U1569" s="167" t="s">
        <v>2927</v>
      </c>
      <c r="V1569" s="167" t="s">
        <v>3465</v>
      </c>
      <c r="AB1569" s="167" t="s">
        <v>2036</v>
      </c>
      <c r="AC1569" s="167">
        <v>323</v>
      </c>
      <c r="AD1569" s="203">
        <v>43074</v>
      </c>
      <c r="AE1569" s="203">
        <v>43111</v>
      </c>
      <c r="AF1569" s="167" t="s">
        <v>3470</v>
      </c>
    </row>
    <row r="1570" spans="16:32" x14ac:dyDescent="0.25">
      <c r="P1570" s="167" t="s">
        <v>739</v>
      </c>
      <c r="Q1570" s="167">
        <v>373</v>
      </c>
      <c r="R1570" s="167" t="s">
        <v>3464</v>
      </c>
      <c r="S1570" s="167" t="s">
        <v>1095</v>
      </c>
      <c r="T1570" s="167">
        <v>0</v>
      </c>
      <c r="U1570" s="167" t="s">
        <v>2928</v>
      </c>
      <c r="V1570" s="167" t="s">
        <v>3465</v>
      </c>
      <c r="AB1570" s="167" t="s">
        <v>2036</v>
      </c>
      <c r="AC1570" s="167">
        <v>347</v>
      </c>
      <c r="AD1570" s="203">
        <v>43118</v>
      </c>
      <c r="AE1570" s="203">
        <v>43133</v>
      </c>
      <c r="AF1570" s="167" t="s">
        <v>3470</v>
      </c>
    </row>
    <row r="1571" spans="16:32" x14ac:dyDescent="0.25">
      <c r="P1571" s="167" t="s">
        <v>739</v>
      </c>
      <c r="Q1571" s="167">
        <v>374</v>
      </c>
      <c r="R1571" s="167" t="s">
        <v>1105</v>
      </c>
      <c r="S1571" s="167" t="s">
        <v>2949</v>
      </c>
      <c r="T1571" s="167">
        <v>50</v>
      </c>
      <c r="U1571" s="167" t="s">
        <v>2950</v>
      </c>
      <c r="V1571" s="167" t="s">
        <v>3450</v>
      </c>
      <c r="AB1571" s="167" t="s">
        <v>2036</v>
      </c>
      <c r="AC1571" s="167">
        <v>340</v>
      </c>
      <c r="AD1571" s="203">
        <v>43133</v>
      </c>
      <c r="AE1571" s="203">
        <v>43168</v>
      </c>
      <c r="AF1571" s="167" t="s">
        <v>3470</v>
      </c>
    </row>
    <row r="1572" spans="16:32" x14ac:dyDescent="0.25">
      <c r="P1572" s="167" t="s">
        <v>739</v>
      </c>
      <c r="Q1572" s="167">
        <v>373</v>
      </c>
      <c r="R1572" s="167" t="s">
        <v>3464</v>
      </c>
      <c r="S1572" s="167" t="s">
        <v>1096</v>
      </c>
      <c r="T1572" s="167">
        <v>90</v>
      </c>
      <c r="U1572" s="167" t="s">
        <v>2965</v>
      </c>
      <c r="V1572" s="167" t="s">
        <v>3465</v>
      </c>
      <c r="AB1572" s="167" t="s">
        <v>2036</v>
      </c>
      <c r="AC1572" s="167">
        <v>374</v>
      </c>
      <c r="AD1572" s="203">
        <v>43195</v>
      </c>
      <c r="AE1572" s="203">
        <v>0</v>
      </c>
      <c r="AF1572" s="167" t="s">
        <v>3469</v>
      </c>
    </row>
    <row r="1573" spans="16:32" x14ac:dyDescent="0.25">
      <c r="P1573" s="167" t="s">
        <v>739</v>
      </c>
      <c r="Q1573" s="167">
        <v>374</v>
      </c>
      <c r="R1573" s="167" t="s">
        <v>1105</v>
      </c>
      <c r="S1573" s="167" t="s">
        <v>2968</v>
      </c>
      <c r="T1573" s="167">
        <v>2</v>
      </c>
      <c r="U1573" s="167" t="s">
        <v>2969</v>
      </c>
      <c r="V1573" s="167" t="s">
        <v>3450</v>
      </c>
      <c r="AB1573" s="167" t="s">
        <v>2037</v>
      </c>
      <c r="AC1573" s="167">
        <v>327</v>
      </c>
      <c r="AD1573" s="203">
        <v>43074</v>
      </c>
      <c r="AE1573" s="203">
        <v>43131</v>
      </c>
      <c r="AF1573" s="167" t="s">
        <v>3470</v>
      </c>
    </row>
    <row r="1574" spans="16:32" x14ac:dyDescent="0.25">
      <c r="P1574" s="167" t="s">
        <v>739</v>
      </c>
      <c r="Q1574" s="167">
        <v>374</v>
      </c>
      <c r="R1574" s="167" t="s">
        <v>1105</v>
      </c>
      <c r="S1574" s="167" t="s">
        <v>3032</v>
      </c>
      <c r="T1574" s="167">
        <v>10</v>
      </c>
      <c r="U1574" s="167" t="s">
        <v>3033</v>
      </c>
      <c r="V1574" s="167" t="s">
        <v>3450</v>
      </c>
      <c r="AB1574" s="167" t="s">
        <v>2037</v>
      </c>
      <c r="AC1574" s="167">
        <v>327</v>
      </c>
      <c r="AD1574" s="203">
        <v>43074</v>
      </c>
      <c r="AE1574" s="203">
        <v>43131</v>
      </c>
      <c r="AF1574" s="167" t="s">
        <v>3470</v>
      </c>
    </row>
    <row r="1575" spans="16:32" x14ac:dyDescent="0.25">
      <c r="P1575" s="167" t="s">
        <v>739</v>
      </c>
      <c r="Q1575" s="167">
        <v>374</v>
      </c>
      <c r="R1575" s="167" t="s">
        <v>1105</v>
      </c>
      <c r="S1575" s="167" t="s">
        <v>957</v>
      </c>
      <c r="T1575" s="167">
        <v>92</v>
      </c>
      <c r="U1575" s="167" t="s">
        <v>3076</v>
      </c>
      <c r="V1575" s="167" t="s">
        <v>3450</v>
      </c>
      <c r="AB1575" s="167" t="s">
        <v>2037</v>
      </c>
      <c r="AC1575" s="167">
        <v>347</v>
      </c>
      <c r="AD1575" s="203">
        <v>43118</v>
      </c>
      <c r="AE1575" s="203">
        <v>43133</v>
      </c>
      <c r="AF1575" s="167" t="s">
        <v>3470</v>
      </c>
    </row>
    <row r="1576" spans="16:32" x14ac:dyDescent="0.25">
      <c r="P1576" s="167" t="s">
        <v>739</v>
      </c>
      <c r="Q1576" s="167">
        <v>374</v>
      </c>
      <c r="R1576" s="167" t="s">
        <v>1105</v>
      </c>
      <c r="S1576" s="167" t="s">
        <v>3081</v>
      </c>
      <c r="T1576" s="167">
        <v>11</v>
      </c>
      <c r="U1576" s="167" t="s">
        <v>3082</v>
      </c>
      <c r="V1576" s="167" t="s">
        <v>3450</v>
      </c>
      <c r="AB1576" s="167" t="s">
        <v>2037</v>
      </c>
      <c r="AC1576" s="167">
        <v>340</v>
      </c>
      <c r="AD1576" s="203">
        <v>43133</v>
      </c>
      <c r="AE1576" s="203">
        <v>43168</v>
      </c>
      <c r="AF1576" s="167" t="s">
        <v>3470</v>
      </c>
    </row>
    <row r="1577" spans="16:32" x14ac:dyDescent="0.25">
      <c r="P1577" s="167" t="s">
        <v>739</v>
      </c>
      <c r="Q1577" s="167">
        <v>374</v>
      </c>
      <c r="R1577" s="167" t="s">
        <v>1105</v>
      </c>
      <c r="S1577" s="167" t="s">
        <v>3088</v>
      </c>
      <c r="T1577" s="167">
        <v>100</v>
      </c>
      <c r="U1577" s="167" t="s">
        <v>3089</v>
      </c>
      <c r="V1577" s="167" t="s">
        <v>3450</v>
      </c>
      <c r="AB1577" s="167" t="s">
        <v>2037</v>
      </c>
      <c r="AC1577" s="167">
        <v>340</v>
      </c>
      <c r="AD1577" s="203">
        <v>43133</v>
      </c>
      <c r="AE1577" s="203">
        <v>43168</v>
      </c>
      <c r="AF1577" s="167" t="s">
        <v>3470</v>
      </c>
    </row>
    <row r="1578" spans="16:32" x14ac:dyDescent="0.25">
      <c r="P1578" s="167" t="s">
        <v>739</v>
      </c>
      <c r="Q1578" s="167">
        <v>374</v>
      </c>
      <c r="R1578" s="167" t="s">
        <v>1105</v>
      </c>
      <c r="S1578" s="167" t="s">
        <v>3097</v>
      </c>
      <c r="T1578" s="167">
        <v>67</v>
      </c>
      <c r="U1578" s="167" t="s">
        <v>3098</v>
      </c>
      <c r="V1578" s="167" t="s">
        <v>3450</v>
      </c>
      <c r="AB1578" s="167" t="s">
        <v>2037</v>
      </c>
      <c r="AC1578" s="167">
        <v>374</v>
      </c>
      <c r="AD1578" s="203">
        <v>43195</v>
      </c>
      <c r="AE1578" s="203">
        <v>0</v>
      </c>
      <c r="AF1578" s="167" t="s">
        <v>3469</v>
      </c>
    </row>
    <row r="1579" spans="16:32" x14ac:dyDescent="0.25">
      <c r="P1579" s="167" t="s">
        <v>739</v>
      </c>
      <c r="Q1579" s="167">
        <v>374</v>
      </c>
      <c r="R1579" s="167" t="s">
        <v>1105</v>
      </c>
      <c r="S1579" s="167" t="s">
        <v>3099</v>
      </c>
      <c r="T1579" s="167">
        <v>10</v>
      </c>
      <c r="U1579" s="167" t="s">
        <v>3100</v>
      </c>
      <c r="V1579" s="167" t="s">
        <v>3450</v>
      </c>
      <c r="AB1579" s="167" t="s">
        <v>2039</v>
      </c>
      <c r="AC1579" s="167">
        <v>323</v>
      </c>
      <c r="AD1579" s="203">
        <v>43074</v>
      </c>
      <c r="AE1579" s="203">
        <v>43111</v>
      </c>
      <c r="AF1579" s="167" t="s">
        <v>3470</v>
      </c>
    </row>
    <row r="1580" spans="16:32" x14ac:dyDescent="0.25">
      <c r="P1580" s="167" t="s">
        <v>739</v>
      </c>
      <c r="Q1580" s="167">
        <v>374</v>
      </c>
      <c r="R1580" s="167" t="s">
        <v>1105</v>
      </c>
      <c r="S1580" s="167" t="s">
        <v>3101</v>
      </c>
      <c r="T1580" s="167">
        <v>20</v>
      </c>
      <c r="U1580" s="167" t="s">
        <v>3102</v>
      </c>
      <c r="V1580" s="167" t="s">
        <v>3450</v>
      </c>
      <c r="AB1580" s="167" t="s">
        <v>2039</v>
      </c>
      <c r="AC1580" s="167">
        <v>347</v>
      </c>
      <c r="AD1580" s="203">
        <v>43118</v>
      </c>
      <c r="AE1580" s="203">
        <v>43133</v>
      </c>
      <c r="AF1580" s="167" t="s">
        <v>3470</v>
      </c>
    </row>
    <row r="1581" spans="16:32" x14ac:dyDescent="0.25">
      <c r="P1581" s="167" t="s">
        <v>739</v>
      </c>
      <c r="Q1581" s="167">
        <v>374</v>
      </c>
      <c r="R1581" s="167" t="s">
        <v>1105</v>
      </c>
      <c r="S1581" s="167" t="s">
        <v>3106</v>
      </c>
      <c r="T1581" s="167">
        <v>10</v>
      </c>
      <c r="U1581" s="167" t="s">
        <v>3107</v>
      </c>
      <c r="V1581" s="167" t="s">
        <v>3450</v>
      </c>
      <c r="AB1581" s="167" t="s">
        <v>2039</v>
      </c>
      <c r="AC1581" s="167">
        <v>340</v>
      </c>
      <c r="AD1581" s="203">
        <v>43133</v>
      </c>
      <c r="AE1581" s="203">
        <v>43168</v>
      </c>
      <c r="AF1581" s="167" t="s">
        <v>3470</v>
      </c>
    </row>
    <row r="1582" spans="16:32" x14ac:dyDescent="0.25">
      <c r="P1582" s="167" t="s">
        <v>739</v>
      </c>
      <c r="Q1582" s="167">
        <v>374</v>
      </c>
      <c r="R1582" s="167" t="s">
        <v>1105</v>
      </c>
      <c r="S1582" s="167" t="s">
        <v>1102</v>
      </c>
      <c r="T1582" s="167">
        <v>1</v>
      </c>
      <c r="U1582" s="167" t="s">
        <v>3110</v>
      </c>
      <c r="V1582" s="167" t="s">
        <v>3450</v>
      </c>
      <c r="AB1582" s="167" t="s">
        <v>2039</v>
      </c>
      <c r="AC1582" s="167">
        <v>340</v>
      </c>
      <c r="AD1582" s="203">
        <v>43133</v>
      </c>
      <c r="AE1582" s="203">
        <v>43168</v>
      </c>
      <c r="AF1582" s="167" t="s">
        <v>3470</v>
      </c>
    </row>
    <row r="1583" spans="16:32" x14ac:dyDescent="0.25">
      <c r="P1583" s="167" t="s">
        <v>739</v>
      </c>
      <c r="Q1583" s="167">
        <v>374</v>
      </c>
      <c r="R1583" s="167" t="s">
        <v>1105</v>
      </c>
      <c r="S1583" s="167" t="s">
        <v>3143</v>
      </c>
      <c r="T1583" s="167">
        <v>2</v>
      </c>
      <c r="U1583" s="167" t="s">
        <v>3144</v>
      </c>
      <c r="V1583" s="167" t="s">
        <v>3450</v>
      </c>
      <c r="AB1583" s="167" t="s">
        <v>2039</v>
      </c>
      <c r="AC1583" s="167">
        <v>374</v>
      </c>
      <c r="AD1583" s="203">
        <v>43195</v>
      </c>
      <c r="AE1583" s="203">
        <v>0</v>
      </c>
      <c r="AF1583" s="167" t="s">
        <v>3469</v>
      </c>
    </row>
    <row r="1584" spans="16:32" x14ac:dyDescent="0.25">
      <c r="P1584" s="167" t="s">
        <v>739</v>
      </c>
      <c r="Q1584" s="167">
        <v>374</v>
      </c>
      <c r="R1584" s="167" t="s">
        <v>1105</v>
      </c>
      <c r="S1584" s="167" t="s">
        <v>3145</v>
      </c>
      <c r="T1584" s="167">
        <v>2</v>
      </c>
      <c r="U1584" s="167" t="s">
        <v>3146</v>
      </c>
      <c r="V1584" s="167" t="s">
        <v>3450</v>
      </c>
      <c r="AB1584" s="167" t="s">
        <v>2041</v>
      </c>
      <c r="AC1584" s="167">
        <v>347</v>
      </c>
      <c r="AD1584" s="203">
        <v>43118</v>
      </c>
      <c r="AE1584" s="203">
        <v>43133</v>
      </c>
      <c r="AF1584" s="167" t="s">
        <v>3470</v>
      </c>
    </row>
    <row r="1585" spans="16:32" x14ac:dyDescent="0.25">
      <c r="P1585" s="167" t="s">
        <v>739</v>
      </c>
      <c r="Q1585" s="167">
        <v>374</v>
      </c>
      <c r="R1585" s="167" t="s">
        <v>1105</v>
      </c>
      <c r="S1585" s="167" t="s">
        <v>3236</v>
      </c>
      <c r="T1585" s="167">
        <v>68</v>
      </c>
      <c r="U1585" s="167" t="s">
        <v>3237</v>
      </c>
      <c r="V1585" s="167" t="s">
        <v>3450</v>
      </c>
      <c r="AB1585" s="167" t="s">
        <v>2041</v>
      </c>
      <c r="AC1585" s="167">
        <v>340</v>
      </c>
      <c r="AD1585" s="203">
        <v>43133</v>
      </c>
      <c r="AE1585" s="203">
        <v>43168</v>
      </c>
      <c r="AF1585" s="167" t="s">
        <v>3470</v>
      </c>
    </row>
    <row r="1586" spans="16:32" x14ac:dyDescent="0.25">
      <c r="P1586" s="167" t="s">
        <v>739</v>
      </c>
      <c r="Q1586" s="167">
        <v>374</v>
      </c>
      <c r="R1586" s="167" t="s">
        <v>1105</v>
      </c>
      <c r="S1586" s="167" t="s">
        <v>3277</v>
      </c>
      <c r="T1586" s="167">
        <v>6</v>
      </c>
      <c r="U1586" s="167" t="s">
        <v>3278</v>
      </c>
      <c r="V1586" s="167" t="s">
        <v>3450</v>
      </c>
      <c r="AB1586" s="167" t="s">
        <v>2041</v>
      </c>
      <c r="AC1586" s="167">
        <v>340</v>
      </c>
      <c r="AD1586" s="203">
        <v>43133</v>
      </c>
      <c r="AE1586" s="203">
        <v>43168</v>
      </c>
      <c r="AF1586" s="167" t="s">
        <v>3470</v>
      </c>
    </row>
    <row r="1587" spans="16:32" x14ac:dyDescent="0.25">
      <c r="P1587" s="167" t="s">
        <v>739</v>
      </c>
      <c r="Q1587" s="167">
        <v>374</v>
      </c>
      <c r="R1587" s="167" t="s">
        <v>1105</v>
      </c>
      <c r="S1587" s="167" t="s">
        <v>1342</v>
      </c>
      <c r="T1587" s="167">
        <v>20</v>
      </c>
      <c r="U1587" s="167" t="s">
        <v>3466</v>
      </c>
      <c r="V1587" s="167" t="s">
        <v>3450</v>
      </c>
      <c r="AB1587" s="167" t="s">
        <v>2041</v>
      </c>
      <c r="AC1587" s="167">
        <v>357</v>
      </c>
      <c r="AD1587" s="203">
        <v>43139</v>
      </c>
      <c r="AE1587" s="203">
        <v>43164</v>
      </c>
      <c r="AF1587" s="167" t="s">
        <v>3470</v>
      </c>
    </row>
    <row r="1588" spans="16:32" x14ac:dyDescent="0.25">
      <c r="P1588" s="167" t="s">
        <v>739</v>
      </c>
      <c r="Q1588" s="167">
        <v>374</v>
      </c>
      <c r="R1588" s="167" t="s">
        <v>1105</v>
      </c>
      <c r="S1588" s="167" t="s">
        <v>1343</v>
      </c>
      <c r="T1588" s="167">
        <v>20</v>
      </c>
      <c r="U1588" s="167" t="s">
        <v>3467</v>
      </c>
      <c r="V1588" s="167" t="s">
        <v>3450</v>
      </c>
      <c r="AB1588" s="167" t="s">
        <v>2041</v>
      </c>
      <c r="AC1588" s="167">
        <v>364</v>
      </c>
      <c r="AD1588" s="203">
        <v>43168</v>
      </c>
      <c r="AE1588" s="203">
        <v>43179</v>
      </c>
      <c r="AF1588" s="167" t="s">
        <v>3470</v>
      </c>
    </row>
    <row r="1589" spans="16:32" x14ac:dyDescent="0.25">
      <c r="P1589" s="167" t="s">
        <v>739</v>
      </c>
      <c r="Q1589" s="167">
        <v>374</v>
      </c>
      <c r="R1589" s="167" t="s">
        <v>1105</v>
      </c>
      <c r="S1589" s="167" t="s">
        <v>1341</v>
      </c>
      <c r="T1589" s="167">
        <v>20</v>
      </c>
      <c r="U1589" s="167" t="s">
        <v>3468</v>
      </c>
      <c r="V1589" s="167" t="s">
        <v>3450</v>
      </c>
      <c r="AB1589" s="167" t="s">
        <v>2041</v>
      </c>
      <c r="AC1589" s="167">
        <v>353</v>
      </c>
      <c r="AD1589" s="203">
        <v>43180</v>
      </c>
      <c r="AE1589" s="203">
        <v>0</v>
      </c>
      <c r="AF1589" s="167" t="s">
        <v>3469</v>
      </c>
    </row>
    <row r="1590" spans="16:32" x14ac:dyDescent="0.25">
      <c r="AB1590" s="167" t="s">
        <v>2041</v>
      </c>
      <c r="AC1590" s="167">
        <v>353</v>
      </c>
      <c r="AD1590" s="203">
        <v>43180</v>
      </c>
      <c r="AE1590" s="203">
        <v>0</v>
      </c>
      <c r="AF1590" s="167" t="s">
        <v>3469</v>
      </c>
    </row>
    <row r="1591" spans="16:32" x14ac:dyDescent="0.25">
      <c r="AB1591" s="167" t="s">
        <v>2041</v>
      </c>
      <c r="AC1591" s="167">
        <v>353</v>
      </c>
      <c r="AD1591" s="203">
        <v>43180</v>
      </c>
      <c r="AE1591" s="203">
        <v>0</v>
      </c>
      <c r="AF1591" s="167" t="s">
        <v>3469</v>
      </c>
    </row>
    <row r="1592" spans="16:32" x14ac:dyDescent="0.25">
      <c r="AB1592" s="167" t="s">
        <v>2041</v>
      </c>
      <c r="AC1592" s="167">
        <v>353</v>
      </c>
      <c r="AD1592" s="203">
        <v>43180</v>
      </c>
      <c r="AE1592" s="203">
        <v>0</v>
      </c>
      <c r="AF1592" s="167" t="s">
        <v>3469</v>
      </c>
    </row>
    <row r="1593" spans="16:32" x14ac:dyDescent="0.25">
      <c r="AB1593" s="167" t="s">
        <v>2043</v>
      </c>
      <c r="AC1593" s="167">
        <v>323</v>
      </c>
      <c r="AD1593" s="203">
        <v>43074</v>
      </c>
      <c r="AE1593" s="203">
        <v>43111</v>
      </c>
      <c r="AF1593" s="167" t="s">
        <v>3470</v>
      </c>
    </row>
    <row r="1594" spans="16:32" x14ac:dyDescent="0.25">
      <c r="AB1594" s="167" t="s">
        <v>2043</v>
      </c>
      <c r="AC1594" s="167">
        <v>335</v>
      </c>
      <c r="AD1594" s="203">
        <v>43133</v>
      </c>
      <c r="AE1594" s="203">
        <v>43147</v>
      </c>
      <c r="AF1594" s="167" t="s">
        <v>3470</v>
      </c>
    </row>
    <row r="1595" spans="16:32" x14ac:dyDescent="0.25">
      <c r="AB1595" s="167" t="s">
        <v>2043</v>
      </c>
      <c r="AC1595" s="167">
        <v>340</v>
      </c>
      <c r="AD1595" s="203">
        <v>43133</v>
      </c>
      <c r="AE1595" s="203">
        <v>43168</v>
      </c>
      <c r="AF1595" s="167" t="s">
        <v>3470</v>
      </c>
    </row>
    <row r="1596" spans="16:32" x14ac:dyDescent="0.25">
      <c r="AB1596" s="167" t="s">
        <v>2043</v>
      </c>
      <c r="AC1596" s="167">
        <v>357</v>
      </c>
      <c r="AD1596" s="203">
        <v>43139</v>
      </c>
      <c r="AE1596" s="203">
        <v>43164</v>
      </c>
      <c r="AF1596" s="167" t="s">
        <v>3470</v>
      </c>
    </row>
    <row r="1597" spans="16:32" x14ac:dyDescent="0.25">
      <c r="AB1597" s="167" t="s">
        <v>2043</v>
      </c>
      <c r="AC1597" s="167">
        <v>353</v>
      </c>
      <c r="AD1597" s="203">
        <v>43180</v>
      </c>
      <c r="AE1597" s="203">
        <v>0</v>
      </c>
      <c r="AF1597" s="167" t="s">
        <v>3469</v>
      </c>
    </row>
    <row r="1598" spans="16:32" x14ac:dyDescent="0.25">
      <c r="AB1598" s="167" t="s">
        <v>2043</v>
      </c>
      <c r="AC1598" s="167">
        <v>353</v>
      </c>
      <c r="AD1598" s="203">
        <v>43180</v>
      </c>
      <c r="AE1598" s="203">
        <v>0</v>
      </c>
      <c r="AF1598" s="167" t="s">
        <v>3469</v>
      </c>
    </row>
    <row r="1599" spans="16:32" x14ac:dyDescent="0.25">
      <c r="AB1599" s="167" t="s">
        <v>2045</v>
      </c>
      <c r="AC1599" s="167">
        <v>323</v>
      </c>
      <c r="AD1599" s="203">
        <v>43074</v>
      </c>
      <c r="AE1599" s="203">
        <v>43111</v>
      </c>
      <c r="AF1599" s="167" t="s">
        <v>3470</v>
      </c>
    </row>
    <row r="1600" spans="16:32" x14ac:dyDescent="0.25">
      <c r="AB1600" s="167" t="s">
        <v>2045</v>
      </c>
      <c r="AC1600" s="167">
        <v>327</v>
      </c>
      <c r="AD1600" s="203">
        <v>43074</v>
      </c>
      <c r="AE1600" s="203">
        <v>43131</v>
      </c>
      <c r="AF1600" s="167" t="s">
        <v>3470</v>
      </c>
    </row>
    <row r="1601" spans="28:32" x14ac:dyDescent="0.25">
      <c r="AB1601" s="167" t="s">
        <v>2045</v>
      </c>
      <c r="AC1601" s="167">
        <v>347</v>
      </c>
      <c r="AD1601" s="203">
        <v>43118</v>
      </c>
      <c r="AE1601" s="203">
        <v>43133</v>
      </c>
      <c r="AF1601" s="167" t="s">
        <v>3470</v>
      </c>
    </row>
    <row r="1602" spans="28:32" x14ac:dyDescent="0.25">
      <c r="AB1602" s="167" t="s">
        <v>2045</v>
      </c>
      <c r="AC1602" s="167">
        <v>340</v>
      </c>
      <c r="AD1602" s="203">
        <v>43133</v>
      </c>
      <c r="AE1602" s="203">
        <v>43168</v>
      </c>
      <c r="AF1602" s="167" t="s">
        <v>3470</v>
      </c>
    </row>
    <row r="1603" spans="28:32" x14ac:dyDescent="0.25">
      <c r="AB1603" s="167" t="s">
        <v>2045</v>
      </c>
      <c r="AC1603" s="167">
        <v>340</v>
      </c>
      <c r="AD1603" s="203">
        <v>43133</v>
      </c>
      <c r="AE1603" s="203">
        <v>43168</v>
      </c>
      <c r="AF1603" s="167" t="s">
        <v>3470</v>
      </c>
    </row>
    <row r="1604" spans="28:32" x14ac:dyDescent="0.25">
      <c r="AB1604" s="167" t="s">
        <v>2045</v>
      </c>
      <c r="AC1604" s="167">
        <v>357</v>
      </c>
      <c r="AD1604" s="203">
        <v>43139</v>
      </c>
      <c r="AE1604" s="203">
        <v>43164</v>
      </c>
      <c r="AF1604" s="167" t="s">
        <v>3470</v>
      </c>
    </row>
    <row r="1605" spans="28:32" x14ac:dyDescent="0.25">
      <c r="AB1605" s="167" t="s">
        <v>2045</v>
      </c>
      <c r="AC1605" s="167">
        <v>353</v>
      </c>
      <c r="AD1605" s="203">
        <v>43180</v>
      </c>
      <c r="AE1605" s="203">
        <v>0</v>
      </c>
      <c r="AF1605" s="167" t="s">
        <v>3469</v>
      </c>
    </row>
    <row r="1606" spans="28:32" x14ac:dyDescent="0.25">
      <c r="AB1606" s="167" t="s">
        <v>2045</v>
      </c>
      <c r="AC1606" s="167">
        <v>353</v>
      </c>
      <c r="AD1606" s="203">
        <v>43180</v>
      </c>
      <c r="AE1606" s="203">
        <v>0</v>
      </c>
      <c r="AF1606" s="167" t="s">
        <v>3469</v>
      </c>
    </row>
    <row r="1607" spans="28:32" x14ac:dyDescent="0.25">
      <c r="AB1607" s="167" t="s">
        <v>2045</v>
      </c>
      <c r="AC1607" s="167">
        <v>353</v>
      </c>
      <c r="AD1607" s="203">
        <v>43180</v>
      </c>
      <c r="AE1607" s="203">
        <v>0</v>
      </c>
      <c r="AF1607" s="167" t="s">
        <v>3469</v>
      </c>
    </row>
    <row r="1608" spans="28:32" x14ac:dyDescent="0.25">
      <c r="AB1608" s="167" t="s">
        <v>2046</v>
      </c>
      <c r="AC1608" s="167">
        <v>323</v>
      </c>
      <c r="AD1608" s="203">
        <v>43074</v>
      </c>
      <c r="AE1608" s="203">
        <v>43111</v>
      </c>
      <c r="AF1608" s="167" t="s">
        <v>3470</v>
      </c>
    </row>
    <row r="1609" spans="28:32" x14ac:dyDescent="0.25">
      <c r="AB1609" s="167" t="s">
        <v>2046</v>
      </c>
      <c r="AC1609" s="167">
        <v>327</v>
      </c>
      <c r="AD1609" s="203">
        <v>43074</v>
      </c>
      <c r="AE1609" s="203">
        <v>43131</v>
      </c>
      <c r="AF1609" s="167" t="s">
        <v>3470</v>
      </c>
    </row>
    <row r="1610" spans="28:32" x14ac:dyDescent="0.25">
      <c r="AB1610" s="167" t="s">
        <v>2046</v>
      </c>
      <c r="AC1610" s="167">
        <v>347</v>
      </c>
      <c r="AD1610" s="203">
        <v>43118</v>
      </c>
      <c r="AE1610" s="203">
        <v>43133</v>
      </c>
      <c r="AF1610" s="167" t="s">
        <v>3470</v>
      </c>
    </row>
    <row r="1611" spans="28:32" x14ac:dyDescent="0.25">
      <c r="AB1611" s="167" t="s">
        <v>2046</v>
      </c>
      <c r="AC1611" s="167">
        <v>340</v>
      </c>
      <c r="AD1611" s="203">
        <v>43133</v>
      </c>
      <c r="AE1611" s="203">
        <v>43168</v>
      </c>
      <c r="AF1611" s="167" t="s">
        <v>3470</v>
      </c>
    </row>
    <row r="1612" spans="28:32" x14ac:dyDescent="0.25">
      <c r="AB1612" s="167" t="s">
        <v>2048</v>
      </c>
      <c r="AC1612" s="167">
        <v>353</v>
      </c>
      <c r="AD1612" s="203">
        <v>43180</v>
      </c>
      <c r="AE1612" s="203">
        <v>0</v>
      </c>
      <c r="AF1612" s="167" t="s">
        <v>3469</v>
      </c>
    </row>
    <row r="1613" spans="28:32" x14ac:dyDescent="0.25">
      <c r="AB1613" s="167" t="s">
        <v>2048</v>
      </c>
      <c r="AC1613" s="167">
        <v>353</v>
      </c>
      <c r="AD1613" s="203">
        <v>43180</v>
      </c>
      <c r="AE1613" s="203">
        <v>0</v>
      </c>
      <c r="AF1613" s="167" t="s">
        <v>3469</v>
      </c>
    </row>
    <row r="1614" spans="28:32" x14ac:dyDescent="0.25">
      <c r="AB1614" s="167" t="s">
        <v>2048</v>
      </c>
      <c r="AC1614" s="167">
        <v>353</v>
      </c>
      <c r="AD1614" s="203">
        <v>43180</v>
      </c>
      <c r="AE1614" s="203">
        <v>0</v>
      </c>
      <c r="AF1614" s="167" t="s">
        <v>3469</v>
      </c>
    </row>
    <row r="1615" spans="28:32" x14ac:dyDescent="0.25">
      <c r="AB1615" s="167" t="s">
        <v>2050</v>
      </c>
      <c r="AC1615" s="167">
        <v>323</v>
      </c>
      <c r="AD1615" s="203">
        <v>43074</v>
      </c>
      <c r="AE1615" s="203">
        <v>43111</v>
      </c>
      <c r="AF1615" s="167" t="s">
        <v>3470</v>
      </c>
    </row>
    <row r="1616" spans="28:32" x14ac:dyDescent="0.25">
      <c r="AB1616" s="167" t="s">
        <v>2050</v>
      </c>
      <c r="AC1616" s="167">
        <v>347</v>
      </c>
      <c r="AD1616" s="203">
        <v>43118</v>
      </c>
      <c r="AE1616" s="203">
        <v>43133</v>
      </c>
      <c r="AF1616" s="167" t="s">
        <v>3470</v>
      </c>
    </row>
    <row r="1617" spans="28:32" x14ac:dyDescent="0.25">
      <c r="AB1617" s="167" t="s">
        <v>2050</v>
      </c>
      <c r="AC1617" s="167">
        <v>340</v>
      </c>
      <c r="AD1617" s="203">
        <v>43133</v>
      </c>
      <c r="AE1617" s="203">
        <v>43168</v>
      </c>
      <c r="AF1617" s="167" t="s">
        <v>3470</v>
      </c>
    </row>
    <row r="1618" spans="28:32" x14ac:dyDescent="0.25">
      <c r="AB1618" s="167" t="s">
        <v>2050</v>
      </c>
      <c r="AC1618" s="167">
        <v>374</v>
      </c>
      <c r="AD1618" s="203">
        <v>43195</v>
      </c>
      <c r="AE1618" s="203">
        <v>0</v>
      </c>
      <c r="AF1618" s="167" t="s">
        <v>3469</v>
      </c>
    </row>
    <row r="1619" spans="28:32" x14ac:dyDescent="0.25">
      <c r="AB1619" s="167" t="s">
        <v>2051</v>
      </c>
      <c r="AC1619" s="167">
        <v>335</v>
      </c>
      <c r="AD1619" s="203">
        <v>43133</v>
      </c>
      <c r="AE1619" s="203">
        <v>43147</v>
      </c>
      <c r="AF1619" s="167" t="s">
        <v>3470</v>
      </c>
    </row>
    <row r="1620" spans="28:32" x14ac:dyDescent="0.25">
      <c r="AB1620" s="167" t="s">
        <v>2051</v>
      </c>
      <c r="AC1620" s="167">
        <v>340</v>
      </c>
      <c r="AD1620" s="203">
        <v>43133</v>
      </c>
      <c r="AE1620" s="203">
        <v>43168</v>
      </c>
      <c r="AF1620" s="167" t="s">
        <v>3470</v>
      </c>
    </row>
    <row r="1621" spans="28:32" x14ac:dyDescent="0.25">
      <c r="AB1621" s="167" t="s">
        <v>2051</v>
      </c>
      <c r="AC1621" s="167">
        <v>353</v>
      </c>
      <c r="AD1621" s="203">
        <v>43180</v>
      </c>
      <c r="AE1621" s="203">
        <v>0</v>
      </c>
      <c r="AF1621" s="167" t="s">
        <v>3469</v>
      </c>
    </row>
    <row r="1622" spans="28:32" x14ac:dyDescent="0.25">
      <c r="AB1622" s="167" t="s">
        <v>2051</v>
      </c>
      <c r="AC1622" s="167">
        <v>353</v>
      </c>
      <c r="AD1622" s="203">
        <v>43180</v>
      </c>
      <c r="AE1622" s="203">
        <v>0</v>
      </c>
      <c r="AF1622" s="167" t="s">
        <v>3469</v>
      </c>
    </row>
    <row r="1623" spans="28:32" x14ac:dyDescent="0.25">
      <c r="AB1623" s="167" t="s">
        <v>2051</v>
      </c>
      <c r="AC1623" s="167">
        <v>353</v>
      </c>
      <c r="AD1623" s="203">
        <v>43180</v>
      </c>
      <c r="AE1623" s="203">
        <v>0</v>
      </c>
      <c r="AF1623" s="167" t="s">
        <v>3469</v>
      </c>
    </row>
    <row r="1624" spans="28:32" x14ac:dyDescent="0.25">
      <c r="AB1624" s="167" t="s">
        <v>2051</v>
      </c>
      <c r="AC1624" s="167">
        <v>353</v>
      </c>
      <c r="AD1624" s="203">
        <v>43180</v>
      </c>
      <c r="AE1624" s="203">
        <v>0</v>
      </c>
      <c r="AF1624" s="167" t="s">
        <v>3469</v>
      </c>
    </row>
    <row r="1625" spans="28:32" x14ac:dyDescent="0.25">
      <c r="AB1625" s="167" t="s">
        <v>2051</v>
      </c>
      <c r="AC1625" s="167">
        <v>353</v>
      </c>
      <c r="AD1625" s="203">
        <v>43180</v>
      </c>
      <c r="AE1625" s="203">
        <v>0</v>
      </c>
      <c r="AF1625" s="167" t="s">
        <v>3469</v>
      </c>
    </row>
    <row r="1626" spans="28:32" x14ac:dyDescent="0.25">
      <c r="AB1626" s="167" t="s">
        <v>2051</v>
      </c>
      <c r="AC1626" s="167">
        <v>353</v>
      </c>
      <c r="AD1626" s="203">
        <v>43180</v>
      </c>
      <c r="AE1626" s="203">
        <v>0</v>
      </c>
      <c r="AF1626" s="167" t="s">
        <v>3469</v>
      </c>
    </row>
    <row r="1627" spans="28:32" x14ac:dyDescent="0.25">
      <c r="AB1627" s="167" t="s">
        <v>2051</v>
      </c>
      <c r="AC1627" s="167">
        <v>353</v>
      </c>
      <c r="AD1627" s="203">
        <v>43180</v>
      </c>
      <c r="AE1627" s="203">
        <v>0</v>
      </c>
      <c r="AF1627" s="167" t="s">
        <v>3469</v>
      </c>
    </row>
    <row r="1628" spans="28:32" x14ac:dyDescent="0.25">
      <c r="AB1628" s="167" t="s">
        <v>2051</v>
      </c>
      <c r="AC1628" s="167">
        <v>353</v>
      </c>
      <c r="AD1628" s="203">
        <v>43180</v>
      </c>
      <c r="AE1628" s="203">
        <v>0</v>
      </c>
      <c r="AF1628" s="167" t="s">
        <v>3469</v>
      </c>
    </row>
    <row r="1629" spans="28:32" x14ac:dyDescent="0.25">
      <c r="AB1629" s="167" t="s">
        <v>2051</v>
      </c>
      <c r="AC1629" s="167">
        <v>353</v>
      </c>
      <c r="AD1629" s="203">
        <v>43180</v>
      </c>
      <c r="AE1629" s="203">
        <v>0</v>
      </c>
      <c r="AF1629" s="167" t="s">
        <v>3469</v>
      </c>
    </row>
    <row r="1630" spans="28:32" x14ac:dyDescent="0.25">
      <c r="AB1630" s="167" t="s">
        <v>2051</v>
      </c>
      <c r="AC1630" s="167">
        <v>353</v>
      </c>
      <c r="AD1630" s="203">
        <v>43180</v>
      </c>
      <c r="AE1630" s="203">
        <v>0</v>
      </c>
      <c r="AF1630" s="167" t="s">
        <v>3469</v>
      </c>
    </row>
    <row r="1631" spans="28:32" x14ac:dyDescent="0.25">
      <c r="AB1631" s="167" t="s">
        <v>2051</v>
      </c>
      <c r="AC1631" s="167">
        <v>353</v>
      </c>
      <c r="AD1631" s="203">
        <v>43180</v>
      </c>
      <c r="AE1631" s="203">
        <v>0</v>
      </c>
      <c r="AF1631" s="167" t="s">
        <v>3469</v>
      </c>
    </row>
    <row r="1632" spans="28:32" x14ac:dyDescent="0.25">
      <c r="AB1632" s="167" t="s">
        <v>2051</v>
      </c>
      <c r="AC1632" s="167">
        <v>353</v>
      </c>
      <c r="AD1632" s="203">
        <v>43180</v>
      </c>
      <c r="AE1632" s="203">
        <v>0</v>
      </c>
      <c r="AF1632" s="167" t="s">
        <v>3469</v>
      </c>
    </row>
    <row r="1633" spans="28:32" x14ac:dyDescent="0.25">
      <c r="AB1633" s="167" t="s">
        <v>2053</v>
      </c>
      <c r="AC1633" s="167">
        <v>327</v>
      </c>
      <c r="AD1633" s="203">
        <v>43074</v>
      </c>
      <c r="AE1633" s="203">
        <v>43131</v>
      </c>
      <c r="AF1633" s="167" t="s">
        <v>3470</v>
      </c>
    </row>
    <row r="1634" spans="28:32" x14ac:dyDescent="0.25">
      <c r="AB1634" s="167" t="s">
        <v>2053</v>
      </c>
      <c r="AC1634" s="167">
        <v>335</v>
      </c>
      <c r="AD1634" s="203">
        <v>43133</v>
      </c>
      <c r="AE1634" s="203">
        <v>43147</v>
      </c>
      <c r="AF1634" s="167" t="s">
        <v>3470</v>
      </c>
    </row>
    <row r="1635" spans="28:32" x14ac:dyDescent="0.25">
      <c r="AB1635" s="167" t="s">
        <v>2053</v>
      </c>
      <c r="AC1635" s="167">
        <v>374</v>
      </c>
      <c r="AD1635" s="203">
        <v>43195</v>
      </c>
      <c r="AE1635" s="203">
        <v>0</v>
      </c>
      <c r="AF1635" s="167" t="s">
        <v>3469</v>
      </c>
    </row>
    <row r="1636" spans="28:32" x14ac:dyDescent="0.25">
      <c r="AB1636" s="167" t="s">
        <v>2054</v>
      </c>
      <c r="AC1636" s="167">
        <v>347</v>
      </c>
      <c r="AD1636" s="203">
        <v>43118</v>
      </c>
      <c r="AE1636" s="203">
        <v>43133</v>
      </c>
      <c r="AF1636" s="167" t="s">
        <v>3470</v>
      </c>
    </row>
    <row r="1637" spans="28:32" x14ac:dyDescent="0.25">
      <c r="AB1637" s="167" t="s">
        <v>2054</v>
      </c>
      <c r="AC1637" s="167">
        <v>335</v>
      </c>
      <c r="AD1637" s="203">
        <v>43133</v>
      </c>
      <c r="AE1637" s="203">
        <v>43147</v>
      </c>
      <c r="AF1637" s="167" t="s">
        <v>3470</v>
      </c>
    </row>
    <row r="1638" spans="28:32" x14ac:dyDescent="0.25">
      <c r="AB1638" s="167" t="s">
        <v>2054</v>
      </c>
      <c r="AC1638" s="167">
        <v>340</v>
      </c>
      <c r="AD1638" s="203">
        <v>43133</v>
      </c>
      <c r="AE1638" s="203">
        <v>43168</v>
      </c>
      <c r="AF1638" s="167" t="s">
        <v>3470</v>
      </c>
    </row>
    <row r="1639" spans="28:32" x14ac:dyDescent="0.25">
      <c r="AB1639" s="167" t="s">
        <v>2054</v>
      </c>
      <c r="AC1639" s="167">
        <v>340</v>
      </c>
      <c r="AD1639" s="203">
        <v>43133</v>
      </c>
      <c r="AE1639" s="203">
        <v>43168</v>
      </c>
      <c r="AF1639" s="167" t="s">
        <v>3470</v>
      </c>
    </row>
    <row r="1640" spans="28:32" x14ac:dyDescent="0.25">
      <c r="AB1640" s="167" t="s">
        <v>2054</v>
      </c>
      <c r="AC1640" s="167">
        <v>357</v>
      </c>
      <c r="AD1640" s="203">
        <v>43139</v>
      </c>
      <c r="AE1640" s="203">
        <v>43164</v>
      </c>
      <c r="AF1640" s="167" t="s">
        <v>3470</v>
      </c>
    </row>
    <row r="1641" spans="28:32" x14ac:dyDescent="0.25">
      <c r="AB1641" s="167" t="s">
        <v>2054</v>
      </c>
      <c r="AC1641" s="167">
        <v>364</v>
      </c>
      <c r="AD1641" s="203">
        <v>43168</v>
      </c>
      <c r="AE1641" s="203">
        <v>43179</v>
      </c>
      <c r="AF1641" s="167" t="s">
        <v>3470</v>
      </c>
    </row>
    <row r="1642" spans="28:32" x14ac:dyDescent="0.25">
      <c r="AB1642" s="167" t="s">
        <v>2054</v>
      </c>
      <c r="AC1642" s="167">
        <v>353</v>
      </c>
      <c r="AD1642" s="203">
        <v>43180</v>
      </c>
      <c r="AE1642" s="203">
        <v>0</v>
      </c>
      <c r="AF1642" s="167" t="s">
        <v>3469</v>
      </c>
    </row>
    <row r="1643" spans="28:32" x14ac:dyDescent="0.25">
      <c r="AB1643" s="167" t="s">
        <v>2054</v>
      </c>
      <c r="AC1643" s="167">
        <v>353</v>
      </c>
      <c r="AD1643" s="203">
        <v>43180</v>
      </c>
      <c r="AE1643" s="203">
        <v>0</v>
      </c>
      <c r="AF1643" s="167" t="s">
        <v>3469</v>
      </c>
    </row>
    <row r="1644" spans="28:32" x14ac:dyDescent="0.25">
      <c r="AB1644" s="167" t="s">
        <v>2054</v>
      </c>
      <c r="AC1644" s="167">
        <v>353</v>
      </c>
      <c r="AD1644" s="203">
        <v>43180</v>
      </c>
      <c r="AE1644" s="203">
        <v>0</v>
      </c>
      <c r="AF1644" s="167" t="s">
        <v>3469</v>
      </c>
    </row>
    <row r="1645" spans="28:32" x14ac:dyDescent="0.25">
      <c r="AB1645" s="167" t="s">
        <v>2055</v>
      </c>
      <c r="AC1645" s="167">
        <v>347</v>
      </c>
      <c r="AD1645" s="203">
        <v>43118</v>
      </c>
      <c r="AE1645" s="203">
        <v>43133</v>
      </c>
      <c r="AF1645" s="167" t="s">
        <v>3470</v>
      </c>
    </row>
    <row r="1646" spans="28:32" x14ac:dyDescent="0.25">
      <c r="AB1646" s="167" t="s">
        <v>2055</v>
      </c>
      <c r="AC1646" s="167">
        <v>340</v>
      </c>
      <c r="AD1646" s="203">
        <v>43133</v>
      </c>
      <c r="AE1646" s="203">
        <v>43168</v>
      </c>
      <c r="AF1646" s="167" t="s">
        <v>3470</v>
      </c>
    </row>
    <row r="1647" spans="28:32" x14ac:dyDescent="0.25">
      <c r="AB1647" s="167" t="s">
        <v>2055</v>
      </c>
      <c r="AC1647" s="167">
        <v>357</v>
      </c>
      <c r="AD1647" s="203">
        <v>43139</v>
      </c>
      <c r="AE1647" s="203">
        <v>43164</v>
      </c>
      <c r="AF1647" s="167" t="s">
        <v>3470</v>
      </c>
    </row>
    <row r="1648" spans="28:32" x14ac:dyDescent="0.25">
      <c r="AB1648" s="167" t="s">
        <v>2055</v>
      </c>
      <c r="AC1648" s="167">
        <v>364</v>
      </c>
      <c r="AD1648" s="203">
        <v>43168</v>
      </c>
      <c r="AE1648" s="203">
        <v>43179</v>
      </c>
      <c r="AF1648" s="167" t="s">
        <v>3470</v>
      </c>
    </row>
    <row r="1649" spans="28:32" x14ac:dyDescent="0.25">
      <c r="AB1649" s="167" t="s">
        <v>2055</v>
      </c>
      <c r="AC1649" s="167">
        <v>353</v>
      </c>
      <c r="AD1649" s="203">
        <v>43180</v>
      </c>
      <c r="AE1649" s="203">
        <v>0</v>
      </c>
      <c r="AF1649" s="167" t="s">
        <v>3469</v>
      </c>
    </row>
    <row r="1650" spans="28:32" x14ac:dyDescent="0.25">
      <c r="AB1650" s="167" t="s">
        <v>2055</v>
      </c>
      <c r="AC1650" s="167">
        <v>353</v>
      </c>
      <c r="AD1650" s="203">
        <v>43180</v>
      </c>
      <c r="AE1650" s="203">
        <v>0</v>
      </c>
      <c r="AF1650" s="167" t="s">
        <v>3469</v>
      </c>
    </row>
    <row r="1651" spans="28:32" x14ac:dyDescent="0.25">
      <c r="AB1651" s="167" t="s">
        <v>2055</v>
      </c>
      <c r="AC1651" s="167">
        <v>353</v>
      </c>
      <c r="AD1651" s="203">
        <v>43180</v>
      </c>
      <c r="AE1651" s="203">
        <v>0</v>
      </c>
      <c r="AF1651" s="167" t="s">
        <v>3469</v>
      </c>
    </row>
    <row r="1652" spans="28:32" x14ac:dyDescent="0.25">
      <c r="AB1652" s="167" t="s">
        <v>2055</v>
      </c>
      <c r="AC1652" s="167">
        <v>353</v>
      </c>
      <c r="AD1652" s="203">
        <v>43180</v>
      </c>
      <c r="AE1652" s="203">
        <v>0</v>
      </c>
      <c r="AF1652" s="167" t="s">
        <v>3469</v>
      </c>
    </row>
    <row r="1653" spans="28:32" x14ac:dyDescent="0.25">
      <c r="AB1653" s="167" t="s">
        <v>2055</v>
      </c>
      <c r="AC1653" s="167">
        <v>353</v>
      </c>
      <c r="AD1653" s="203">
        <v>43180</v>
      </c>
      <c r="AE1653" s="203">
        <v>0</v>
      </c>
      <c r="AF1653" s="167" t="s">
        <v>3469</v>
      </c>
    </row>
    <row r="1654" spans="28:32" x14ac:dyDescent="0.25">
      <c r="AB1654" s="167" t="s">
        <v>2055</v>
      </c>
      <c r="AC1654" s="167">
        <v>353</v>
      </c>
      <c r="AD1654" s="203">
        <v>43180</v>
      </c>
      <c r="AE1654" s="203">
        <v>0</v>
      </c>
      <c r="AF1654" s="167" t="s">
        <v>3469</v>
      </c>
    </row>
    <row r="1655" spans="28:32" x14ac:dyDescent="0.25">
      <c r="AB1655" s="167" t="s">
        <v>2055</v>
      </c>
      <c r="AC1655" s="167">
        <v>353</v>
      </c>
      <c r="AD1655" s="203">
        <v>43180</v>
      </c>
      <c r="AE1655" s="203">
        <v>0</v>
      </c>
      <c r="AF1655" s="167" t="s">
        <v>3469</v>
      </c>
    </row>
    <row r="1656" spans="28:32" x14ac:dyDescent="0.25">
      <c r="AB1656" s="167" t="s">
        <v>2055</v>
      </c>
      <c r="AC1656" s="167">
        <v>353</v>
      </c>
      <c r="AD1656" s="203">
        <v>43180</v>
      </c>
      <c r="AE1656" s="203">
        <v>0</v>
      </c>
      <c r="AF1656" s="167" t="s">
        <v>3469</v>
      </c>
    </row>
    <row r="1657" spans="28:32" x14ac:dyDescent="0.25">
      <c r="AB1657" s="167" t="s">
        <v>2056</v>
      </c>
      <c r="AC1657" s="167">
        <v>327</v>
      </c>
      <c r="AD1657" s="203">
        <v>43074</v>
      </c>
      <c r="AE1657" s="203">
        <v>43131</v>
      </c>
      <c r="AF1657" s="167" t="s">
        <v>3470</v>
      </c>
    </row>
    <row r="1658" spans="28:32" x14ac:dyDescent="0.25">
      <c r="AB1658" s="167" t="s">
        <v>2056</v>
      </c>
      <c r="AC1658" s="167">
        <v>327</v>
      </c>
      <c r="AD1658" s="203">
        <v>43074</v>
      </c>
      <c r="AE1658" s="203">
        <v>43131</v>
      </c>
      <c r="AF1658" s="167" t="s">
        <v>3470</v>
      </c>
    </row>
    <row r="1659" spans="28:32" x14ac:dyDescent="0.25">
      <c r="AB1659" s="167" t="s">
        <v>2056</v>
      </c>
      <c r="AC1659" s="167">
        <v>327</v>
      </c>
      <c r="AD1659" s="203">
        <v>43074</v>
      </c>
      <c r="AE1659" s="203">
        <v>43131</v>
      </c>
      <c r="AF1659" s="167" t="s">
        <v>3470</v>
      </c>
    </row>
    <row r="1660" spans="28:32" x14ac:dyDescent="0.25">
      <c r="AB1660" s="167" t="s">
        <v>2056</v>
      </c>
      <c r="AC1660" s="167">
        <v>327</v>
      </c>
      <c r="AD1660" s="203">
        <v>43074</v>
      </c>
      <c r="AE1660" s="203">
        <v>43131</v>
      </c>
      <c r="AF1660" s="167" t="s">
        <v>3470</v>
      </c>
    </row>
    <row r="1661" spans="28:32" x14ac:dyDescent="0.25">
      <c r="AB1661" s="167" t="s">
        <v>2056</v>
      </c>
      <c r="AC1661" s="167">
        <v>335</v>
      </c>
      <c r="AD1661" s="203">
        <v>43133</v>
      </c>
      <c r="AE1661" s="203">
        <v>43147</v>
      </c>
      <c r="AF1661" s="167" t="s">
        <v>3470</v>
      </c>
    </row>
    <row r="1662" spans="28:32" x14ac:dyDescent="0.25">
      <c r="AB1662" s="167" t="s">
        <v>2056</v>
      </c>
      <c r="AC1662" s="167">
        <v>353</v>
      </c>
      <c r="AD1662" s="203">
        <v>43180</v>
      </c>
      <c r="AE1662" s="203">
        <v>0</v>
      </c>
      <c r="AF1662" s="167" t="s">
        <v>3469</v>
      </c>
    </row>
    <row r="1663" spans="28:32" x14ac:dyDescent="0.25">
      <c r="AB1663" s="167" t="s">
        <v>2056</v>
      </c>
      <c r="AC1663" s="167">
        <v>353</v>
      </c>
      <c r="AD1663" s="203">
        <v>43180</v>
      </c>
      <c r="AE1663" s="203">
        <v>0</v>
      </c>
      <c r="AF1663" s="167" t="s">
        <v>3469</v>
      </c>
    </row>
    <row r="1664" spans="28:32" x14ac:dyDescent="0.25">
      <c r="AB1664" s="167" t="s">
        <v>2056</v>
      </c>
      <c r="AC1664" s="167">
        <v>353</v>
      </c>
      <c r="AD1664" s="203">
        <v>43180</v>
      </c>
      <c r="AE1664" s="203">
        <v>0</v>
      </c>
      <c r="AF1664" s="167" t="s">
        <v>3469</v>
      </c>
    </row>
    <row r="1665" spans="28:32" x14ac:dyDescent="0.25">
      <c r="AB1665" s="167" t="s">
        <v>2056</v>
      </c>
      <c r="AC1665" s="167">
        <v>353</v>
      </c>
      <c r="AD1665" s="203">
        <v>43180</v>
      </c>
      <c r="AE1665" s="203">
        <v>0</v>
      </c>
      <c r="AF1665" s="167" t="s">
        <v>3469</v>
      </c>
    </row>
    <row r="1666" spans="28:32" x14ac:dyDescent="0.25">
      <c r="AB1666" s="167" t="s">
        <v>2056</v>
      </c>
      <c r="AC1666" s="167">
        <v>353</v>
      </c>
      <c r="AD1666" s="203">
        <v>43180</v>
      </c>
      <c r="AE1666" s="203">
        <v>0</v>
      </c>
      <c r="AF1666" s="167" t="s">
        <v>3469</v>
      </c>
    </row>
    <row r="1667" spans="28:32" x14ac:dyDescent="0.25">
      <c r="AB1667" s="167" t="s">
        <v>2056</v>
      </c>
      <c r="AC1667" s="167">
        <v>353</v>
      </c>
      <c r="AD1667" s="203">
        <v>43180</v>
      </c>
      <c r="AE1667" s="203">
        <v>0</v>
      </c>
      <c r="AF1667" s="167" t="s">
        <v>3469</v>
      </c>
    </row>
    <row r="1668" spans="28:32" x14ac:dyDescent="0.25">
      <c r="AB1668" s="167" t="s">
        <v>2056</v>
      </c>
      <c r="AC1668" s="167">
        <v>353</v>
      </c>
      <c r="AD1668" s="203">
        <v>43180</v>
      </c>
      <c r="AE1668" s="203">
        <v>0</v>
      </c>
      <c r="AF1668" s="167" t="s">
        <v>3469</v>
      </c>
    </row>
    <row r="1669" spans="28:32" x14ac:dyDescent="0.25">
      <c r="AB1669" s="167" t="s">
        <v>2056</v>
      </c>
      <c r="AC1669" s="167">
        <v>353</v>
      </c>
      <c r="AD1669" s="203">
        <v>43180</v>
      </c>
      <c r="AE1669" s="203">
        <v>0</v>
      </c>
      <c r="AF1669" s="167" t="s">
        <v>3469</v>
      </c>
    </row>
    <row r="1670" spans="28:32" x14ac:dyDescent="0.25">
      <c r="AB1670" s="167" t="s">
        <v>2056</v>
      </c>
      <c r="AC1670" s="167">
        <v>353</v>
      </c>
      <c r="AD1670" s="203">
        <v>43180</v>
      </c>
      <c r="AE1670" s="203">
        <v>0</v>
      </c>
      <c r="AF1670" s="167" t="s">
        <v>3469</v>
      </c>
    </row>
    <row r="1671" spans="28:32" x14ac:dyDescent="0.25">
      <c r="AB1671" s="167" t="s">
        <v>2058</v>
      </c>
      <c r="AC1671" s="167">
        <v>364</v>
      </c>
      <c r="AD1671" s="203">
        <v>43168</v>
      </c>
      <c r="AE1671" s="203">
        <v>43179</v>
      </c>
      <c r="AF1671" s="167" t="s">
        <v>3470</v>
      </c>
    </row>
    <row r="1672" spans="28:32" x14ac:dyDescent="0.25">
      <c r="AB1672" s="167" t="s">
        <v>2058</v>
      </c>
      <c r="AC1672" s="167">
        <v>353</v>
      </c>
      <c r="AD1672" s="203">
        <v>43180</v>
      </c>
      <c r="AE1672" s="203">
        <v>0</v>
      </c>
      <c r="AF1672" s="167" t="s">
        <v>3469</v>
      </c>
    </row>
    <row r="1673" spans="28:32" x14ac:dyDescent="0.25">
      <c r="AB1673" s="167" t="s">
        <v>2060</v>
      </c>
      <c r="AC1673" s="167">
        <v>327</v>
      </c>
      <c r="AD1673" s="203">
        <v>43074</v>
      </c>
      <c r="AE1673" s="203">
        <v>43131</v>
      </c>
      <c r="AF1673" s="167" t="s">
        <v>3470</v>
      </c>
    </row>
    <row r="1674" spans="28:32" x14ac:dyDescent="0.25">
      <c r="AB1674" s="167" t="s">
        <v>2060</v>
      </c>
      <c r="AC1674" s="167">
        <v>347</v>
      </c>
      <c r="AD1674" s="203">
        <v>43118</v>
      </c>
      <c r="AE1674" s="203">
        <v>43133</v>
      </c>
      <c r="AF1674" s="167" t="s">
        <v>3470</v>
      </c>
    </row>
    <row r="1675" spans="28:32" x14ac:dyDescent="0.25">
      <c r="AB1675" s="167" t="s">
        <v>2060</v>
      </c>
      <c r="AC1675" s="167">
        <v>340</v>
      </c>
      <c r="AD1675" s="203">
        <v>43133</v>
      </c>
      <c r="AE1675" s="203">
        <v>43168</v>
      </c>
      <c r="AF1675" s="167" t="s">
        <v>3470</v>
      </c>
    </row>
    <row r="1676" spans="28:32" x14ac:dyDescent="0.25">
      <c r="AB1676" s="167" t="s">
        <v>2060</v>
      </c>
      <c r="AC1676" s="167">
        <v>353</v>
      </c>
      <c r="AD1676" s="203">
        <v>43180</v>
      </c>
      <c r="AE1676" s="203">
        <v>0</v>
      </c>
      <c r="AF1676" s="167" t="s">
        <v>3469</v>
      </c>
    </row>
    <row r="1677" spans="28:32" x14ac:dyDescent="0.25">
      <c r="AB1677" s="167" t="s">
        <v>2062</v>
      </c>
      <c r="AC1677" s="167">
        <v>327</v>
      </c>
      <c r="AD1677" s="203">
        <v>43074</v>
      </c>
      <c r="AE1677" s="203">
        <v>43131</v>
      </c>
      <c r="AF1677" s="167" t="s">
        <v>3470</v>
      </c>
    </row>
    <row r="1678" spans="28:32" x14ac:dyDescent="0.25">
      <c r="AB1678" s="167" t="s">
        <v>2062</v>
      </c>
      <c r="AC1678" s="167">
        <v>347</v>
      </c>
      <c r="AD1678" s="203">
        <v>43118</v>
      </c>
      <c r="AE1678" s="203">
        <v>43133</v>
      </c>
      <c r="AF1678" s="167" t="s">
        <v>3470</v>
      </c>
    </row>
    <row r="1679" spans="28:32" x14ac:dyDescent="0.25">
      <c r="AB1679" s="167" t="s">
        <v>2062</v>
      </c>
      <c r="AC1679" s="167">
        <v>353</v>
      </c>
      <c r="AD1679" s="203">
        <v>43180</v>
      </c>
      <c r="AE1679" s="203">
        <v>0</v>
      </c>
      <c r="AF1679" s="167" t="s">
        <v>3469</v>
      </c>
    </row>
    <row r="1680" spans="28:32" x14ac:dyDescent="0.25">
      <c r="AB1680" s="167" t="s">
        <v>2062</v>
      </c>
      <c r="AC1680" s="167">
        <v>353</v>
      </c>
      <c r="AD1680" s="203">
        <v>43180</v>
      </c>
      <c r="AE1680" s="203">
        <v>0</v>
      </c>
      <c r="AF1680" s="167" t="s">
        <v>3469</v>
      </c>
    </row>
    <row r="1681" spans="28:32" x14ac:dyDescent="0.25">
      <c r="AB1681" s="167" t="s">
        <v>2063</v>
      </c>
      <c r="AC1681" s="167">
        <v>357</v>
      </c>
      <c r="AD1681" s="203">
        <v>43139</v>
      </c>
      <c r="AE1681" s="203">
        <v>43164</v>
      </c>
      <c r="AF1681" s="167" t="s">
        <v>3470</v>
      </c>
    </row>
    <row r="1682" spans="28:32" x14ac:dyDescent="0.25">
      <c r="AB1682" s="167" t="s">
        <v>2063</v>
      </c>
      <c r="AC1682" s="167">
        <v>364</v>
      </c>
      <c r="AD1682" s="203">
        <v>43168</v>
      </c>
      <c r="AE1682" s="203">
        <v>43179</v>
      </c>
      <c r="AF1682" s="167" t="s">
        <v>3470</v>
      </c>
    </row>
    <row r="1683" spans="28:32" x14ac:dyDescent="0.25">
      <c r="AB1683" s="167" t="s">
        <v>2063</v>
      </c>
      <c r="AC1683" s="167">
        <v>353</v>
      </c>
      <c r="AD1683" s="203">
        <v>43180</v>
      </c>
      <c r="AE1683" s="203">
        <v>0</v>
      </c>
      <c r="AF1683" s="167" t="s">
        <v>3469</v>
      </c>
    </row>
    <row r="1684" spans="28:32" x14ac:dyDescent="0.25">
      <c r="AB1684" s="167" t="s">
        <v>2065</v>
      </c>
      <c r="AC1684" s="167">
        <v>323</v>
      </c>
      <c r="AD1684" s="203">
        <v>43074</v>
      </c>
      <c r="AE1684" s="203">
        <v>43111</v>
      </c>
      <c r="AF1684" s="167" t="s">
        <v>3470</v>
      </c>
    </row>
    <row r="1685" spans="28:32" x14ac:dyDescent="0.25">
      <c r="AB1685" s="167" t="s">
        <v>2065</v>
      </c>
      <c r="AC1685" s="167">
        <v>340</v>
      </c>
      <c r="AD1685" s="203">
        <v>43133</v>
      </c>
      <c r="AE1685" s="203">
        <v>43168</v>
      </c>
      <c r="AF1685" s="167" t="s">
        <v>3470</v>
      </c>
    </row>
    <row r="1686" spans="28:32" x14ac:dyDescent="0.25">
      <c r="AB1686" s="167" t="s">
        <v>2065</v>
      </c>
      <c r="AC1686" s="167">
        <v>357</v>
      </c>
      <c r="AD1686" s="203">
        <v>43139</v>
      </c>
      <c r="AE1686" s="203">
        <v>43164</v>
      </c>
      <c r="AF1686" s="167" t="s">
        <v>3470</v>
      </c>
    </row>
    <row r="1687" spans="28:32" x14ac:dyDescent="0.25">
      <c r="AB1687" s="167" t="s">
        <v>2065</v>
      </c>
      <c r="AC1687" s="167">
        <v>364</v>
      </c>
      <c r="AD1687" s="203">
        <v>43168</v>
      </c>
      <c r="AE1687" s="203">
        <v>43179</v>
      </c>
      <c r="AF1687" s="167" t="s">
        <v>3470</v>
      </c>
    </row>
    <row r="1688" spans="28:32" x14ac:dyDescent="0.25">
      <c r="AB1688" s="167" t="s">
        <v>2065</v>
      </c>
      <c r="AC1688" s="167">
        <v>353</v>
      </c>
      <c r="AD1688" s="203">
        <v>43180</v>
      </c>
      <c r="AE1688" s="203">
        <v>0</v>
      </c>
      <c r="AF1688" s="167" t="s">
        <v>3469</v>
      </c>
    </row>
    <row r="1689" spans="28:32" x14ac:dyDescent="0.25">
      <c r="AB1689" s="167" t="s">
        <v>2065</v>
      </c>
      <c r="AC1689" s="167">
        <v>353</v>
      </c>
      <c r="AD1689" s="203">
        <v>43180</v>
      </c>
      <c r="AE1689" s="203">
        <v>0</v>
      </c>
      <c r="AF1689" s="167" t="s">
        <v>3469</v>
      </c>
    </row>
    <row r="1690" spans="28:32" x14ac:dyDescent="0.25">
      <c r="AB1690" s="167" t="s">
        <v>3399</v>
      </c>
      <c r="AC1690" s="167">
        <v>356</v>
      </c>
      <c r="AD1690" s="203">
        <v>43139</v>
      </c>
      <c r="AE1690" s="203">
        <v>0</v>
      </c>
      <c r="AF1690" s="167" t="s">
        <v>3469</v>
      </c>
    </row>
    <row r="1691" spans="28:32" x14ac:dyDescent="0.25">
      <c r="AB1691" s="167" t="s">
        <v>2066</v>
      </c>
      <c r="AC1691" s="167">
        <v>323</v>
      </c>
      <c r="AD1691" s="203">
        <v>43074</v>
      </c>
      <c r="AE1691" s="203">
        <v>43111</v>
      </c>
      <c r="AF1691" s="167" t="s">
        <v>3470</v>
      </c>
    </row>
    <row r="1692" spans="28:32" x14ac:dyDescent="0.25">
      <c r="AB1692" s="167" t="s">
        <v>2066</v>
      </c>
      <c r="AC1692" s="167">
        <v>327</v>
      </c>
      <c r="AD1692" s="203">
        <v>43074</v>
      </c>
      <c r="AE1692" s="203">
        <v>43131</v>
      </c>
      <c r="AF1692" s="167" t="s">
        <v>3470</v>
      </c>
    </row>
    <row r="1693" spans="28:32" x14ac:dyDescent="0.25">
      <c r="AB1693" s="167" t="s">
        <v>2066</v>
      </c>
      <c r="AC1693" s="167">
        <v>347</v>
      </c>
      <c r="AD1693" s="203">
        <v>43118</v>
      </c>
      <c r="AE1693" s="203">
        <v>43133</v>
      </c>
      <c r="AF1693" s="167" t="s">
        <v>3470</v>
      </c>
    </row>
    <row r="1694" spans="28:32" x14ac:dyDescent="0.25">
      <c r="AB1694" s="167" t="s">
        <v>2066</v>
      </c>
      <c r="AC1694" s="167">
        <v>340</v>
      </c>
      <c r="AD1694" s="203">
        <v>43133</v>
      </c>
      <c r="AE1694" s="203">
        <v>43168</v>
      </c>
      <c r="AF1694" s="167" t="s">
        <v>3470</v>
      </c>
    </row>
    <row r="1695" spans="28:32" x14ac:dyDescent="0.25">
      <c r="AB1695" s="167" t="s">
        <v>2066</v>
      </c>
      <c r="AC1695" s="167">
        <v>340</v>
      </c>
      <c r="AD1695" s="203">
        <v>43133</v>
      </c>
      <c r="AE1695" s="203">
        <v>43168</v>
      </c>
      <c r="AF1695" s="167" t="s">
        <v>3470</v>
      </c>
    </row>
    <row r="1696" spans="28:32" x14ac:dyDescent="0.25">
      <c r="AB1696" s="167" t="s">
        <v>2066</v>
      </c>
      <c r="AC1696" s="167">
        <v>357</v>
      </c>
      <c r="AD1696" s="203">
        <v>43139</v>
      </c>
      <c r="AE1696" s="203">
        <v>43164</v>
      </c>
      <c r="AF1696" s="167" t="s">
        <v>3470</v>
      </c>
    </row>
    <row r="1697" spans="28:32" x14ac:dyDescent="0.25">
      <c r="AB1697" s="167" t="s">
        <v>2066</v>
      </c>
      <c r="AC1697" s="167">
        <v>364</v>
      </c>
      <c r="AD1697" s="203">
        <v>43168</v>
      </c>
      <c r="AE1697" s="203">
        <v>43179</v>
      </c>
      <c r="AF1697" s="167" t="s">
        <v>3470</v>
      </c>
    </row>
    <row r="1698" spans="28:32" x14ac:dyDescent="0.25">
      <c r="AB1698" s="167" t="s">
        <v>2066</v>
      </c>
      <c r="AC1698" s="167">
        <v>353</v>
      </c>
      <c r="AD1698" s="203">
        <v>43180</v>
      </c>
      <c r="AE1698" s="203">
        <v>0</v>
      </c>
      <c r="AF1698" s="167" t="s">
        <v>3469</v>
      </c>
    </row>
    <row r="1699" spans="28:32" x14ac:dyDescent="0.25">
      <c r="AB1699" s="167" t="s">
        <v>2066</v>
      </c>
      <c r="AC1699" s="167">
        <v>353</v>
      </c>
      <c r="AD1699" s="203">
        <v>43180</v>
      </c>
      <c r="AE1699" s="203">
        <v>0</v>
      </c>
      <c r="AF1699" s="167" t="s">
        <v>3469</v>
      </c>
    </row>
    <row r="1700" spans="28:32" x14ac:dyDescent="0.25">
      <c r="AB1700" s="167" t="s">
        <v>2066</v>
      </c>
      <c r="AC1700" s="167">
        <v>353</v>
      </c>
      <c r="AD1700" s="203">
        <v>43180</v>
      </c>
      <c r="AE1700" s="203">
        <v>0</v>
      </c>
      <c r="AF1700" s="167" t="s">
        <v>3469</v>
      </c>
    </row>
    <row r="1701" spans="28:32" x14ac:dyDescent="0.25">
      <c r="AB1701" s="167" t="s">
        <v>2067</v>
      </c>
      <c r="AC1701" s="167">
        <v>327</v>
      </c>
      <c r="AD1701" s="203">
        <v>43074</v>
      </c>
      <c r="AE1701" s="203">
        <v>43131</v>
      </c>
      <c r="AF1701" s="167" t="s">
        <v>3470</v>
      </c>
    </row>
    <row r="1702" spans="28:32" x14ac:dyDescent="0.25">
      <c r="AB1702" s="167" t="s">
        <v>2067</v>
      </c>
      <c r="AC1702" s="167">
        <v>347</v>
      </c>
      <c r="AD1702" s="203">
        <v>43118</v>
      </c>
      <c r="AE1702" s="203">
        <v>43133</v>
      </c>
      <c r="AF1702" s="167" t="s">
        <v>3470</v>
      </c>
    </row>
    <row r="1703" spans="28:32" x14ac:dyDescent="0.25">
      <c r="AB1703" s="167" t="s">
        <v>2067</v>
      </c>
      <c r="AC1703" s="167">
        <v>340</v>
      </c>
      <c r="AD1703" s="203">
        <v>43133</v>
      </c>
      <c r="AE1703" s="203">
        <v>43168</v>
      </c>
      <c r="AF1703" s="167" t="s">
        <v>3470</v>
      </c>
    </row>
    <row r="1704" spans="28:32" x14ac:dyDescent="0.25">
      <c r="AB1704" s="167" t="s">
        <v>2067</v>
      </c>
      <c r="AC1704" s="167">
        <v>340</v>
      </c>
      <c r="AD1704" s="203">
        <v>43133</v>
      </c>
      <c r="AE1704" s="203">
        <v>43168</v>
      </c>
      <c r="AF1704" s="167" t="s">
        <v>3470</v>
      </c>
    </row>
    <row r="1705" spans="28:32" x14ac:dyDescent="0.25">
      <c r="AB1705" s="167" t="s">
        <v>2067</v>
      </c>
      <c r="AC1705" s="167">
        <v>357</v>
      </c>
      <c r="AD1705" s="203">
        <v>43139</v>
      </c>
      <c r="AE1705" s="203">
        <v>43164</v>
      </c>
      <c r="AF1705" s="167" t="s">
        <v>3470</v>
      </c>
    </row>
    <row r="1706" spans="28:32" x14ac:dyDescent="0.25">
      <c r="AB1706" s="167" t="s">
        <v>2067</v>
      </c>
      <c r="AC1706" s="167">
        <v>364</v>
      </c>
      <c r="AD1706" s="203">
        <v>43168</v>
      </c>
      <c r="AE1706" s="203">
        <v>43179</v>
      </c>
      <c r="AF1706" s="167" t="s">
        <v>3470</v>
      </c>
    </row>
    <row r="1707" spans="28:32" x14ac:dyDescent="0.25">
      <c r="AB1707" s="167" t="s">
        <v>2067</v>
      </c>
      <c r="AC1707" s="167">
        <v>353</v>
      </c>
      <c r="AD1707" s="203">
        <v>43180</v>
      </c>
      <c r="AE1707" s="203">
        <v>0</v>
      </c>
      <c r="AF1707" s="167" t="s">
        <v>3469</v>
      </c>
    </row>
    <row r="1708" spans="28:32" x14ac:dyDescent="0.25">
      <c r="AB1708" s="167" t="s">
        <v>2067</v>
      </c>
      <c r="AC1708" s="167">
        <v>353</v>
      </c>
      <c r="AD1708" s="203">
        <v>43180</v>
      </c>
      <c r="AE1708" s="203">
        <v>0</v>
      </c>
      <c r="AF1708" s="167" t="s">
        <v>3469</v>
      </c>
    </row>
    <row r="1709" spans="28:32" x14ac:dyDescent="0.25">
      <c r="AB1709" s="167" t="s">
        <v>2067</v>
      </c>
      <c r="AC1709" s="167">
        <v>353</v>
      </c>
      <c r="AD1709" s="203">
        <v>43180</v>
      </c>
      <c r="AE1709" s="203">
        <v>0</v>
      </c>
      <c r="AF1709" s="167" t="s">
        <v>3469</v>
      </c>
    </row>
    <row r="1710" spans="28:32" x14ac:dyDescent="0.25">
      <c r="AB1710" s="167" t="s">
        <v>2067</v>
      </c>
      <c r="AC1710" s="167">
        <v>353</v>
      </c>
      <c r="AD1710" s="203">
        <v>43180</v>
      </c>
      <c r="AE1710" s="203">
        <v>0</v>
      </c>
      <c r="AF1710" s="167" t="s">
        <v>3469</v>
      </c>
    </row>
    <row r="1711" spans="28:32" x14ac:dyDescent="0.25">
      <c r="AB1711" s="167" t="s">
        <v>2067</v>
      </c>
      <c r="AC1711" s="167">
        <v>353</v>
      </c>
      <c r="AD1711" s="203">
        <v>43180</v>
      </c>
      <c r="AE1711" s="203">
        <v>0</v>
      </c>
      <c r="AF1711" s="167" t="s">
        <v>3469</v>
      </c>
    </row>
    <row r="1712" spans="28:32" x14ac:dyDescent="0.25">
      <c r="AB1712" s="167" t="s">
        <v>2069</v>
      </c>
      <c r="AC1712" s="167">
        <v>347</v>
      </c>
      <c r="AD1712" s="203">
        <v>43118</v>
      </c>
      <c r="AE1712" s="203">
        <v>43133</v>
      </c>
      <c r="AF1712" s="167" t="s">
        <v>3470</v>
      </c>
    </row>
    <row r="1713" spans="28:32" x14ac:dyDescent="0.25">
      <c r="AB1713" s="167" t="s">
        <v>2069</v>
      </c>
      <c r="AC1713" s="167">
        <v>340</v>
      </c>
      <c r="AD1713" s="203">
        <v>43133</v>
      </c>
      <c r="AE1713" s="203">
        <v>43168</v>
      </c>
      <c r="AF1713" s="167" t="s">
        <v>3470</v>
      </c>
    </row>
    <row r="1714" spans="28:32" x14ac:dyDescent="0.25">
      <c r="AB1714" s="167" t="s">
        <v>2069</v>
      </c>
      <c r="AC1714" s="167">
        <v>364</v>
      </c>
      <c r="AD1714" s="203">
        <v>43168</v>
      </c>
      <c r="AE1714" s="203">
        <v>43179</v>
      </c>
      <c r="AF1714" s="167" t="s">
        <v>3470</v>
      </c>
    </row>
    <row r="1715" spans="28:32" x14ac:dyDescent="0.25">
      <c r="AB1715" s="167" t="s">
        <v>2069</v>
      </c>
      <c r="AC1715" s="167">
        <v>353</v>
      </c>
      <c r="AD1715" s="203">
        <v>43180</v>
      </c>
      <c r="AE1715" s="203">
        <v>0</v>
      </c>
      <c r="AF1715" s="167" t="s">
        <v>3469</v>
      </c>
    </row>
    <row r="1716" spans="28:32" x14ac:dyDescent="0.25">
      <c r="AB1716" s="167" t="s">
        <v>3422</v>
      </c>
      <c r="AC1716" s="167">
        <v>353</v>
      </c>
      <c r="AD1716" s="203">
        <v>43180</v>
      </c>
      <c r="AE1716" s="203">
        <v>0</v>
      </c>
      <c r="AF1716" s="167" t="s">
        <v>3469</v>
      </c>
    </row>
    <row r="1717" spans="28:32" x14ac:dyDescent="0.25">
      <c r="AB1717" s="167" t="s">
        <v>2071</v>
      </c>
      <c r="AC1717" s="167">
        <v>347</v>
      </c>
      <c r="AD1717" s="203">
        <v>43118</v>
      </c>
      <c r="AE1717" s="203">
        <v>43133</v>
      </c>
      <c r="AF1717" s="167" t="s">
        <v>3470</v>
      </c>
    </row>
    <row r="1718" spans="28:32" x14ac:dyDescent="0.25">
      <c r="AB1718" s="167" t="s">
        <v>2071</v>
      </c>
      <c r="AC1718" s="167">
        <v>340</v>
      </c>
      <c r="AD1718" s="203">
        <v>43133</v>
      </c>
      <c r="AE1718" s="203">
        <v>43168</v>
      </c>
      <c r="AF1718" s="167" t="s">
        <v>3470</v>
      </c>
    </row>
    <row r="1719" spans="28:32" x14ac:dyDescent="0.25">
      <c r="AB1719" s="167" t="s">
        <v>2071</v>
      </c>
      <c r="AC1719" s="167">
        <v>340</v>
      </c>
      <c r="AD1719" s="203">
        <v>43133</v>
      </c>
      <c r="AE1719" s="203">
        <v>43168</v>
      </c>
      <c r="AF1719" s="167" t="s">
        <v>3470</v>
      </c>
    </row>
    <row r="1720" spans="28:32" x14ac:dyDescent="0.25">
      <c r="AB1720" s="167" t="s">
        <v>2071</v>
      </c>
      <c r="AC1720" s="167">
        <v>353</v>
      </c>
      <c r="AD1720" s="203">
        <v>43180</v>
      </c>
      <c r="AE1720" s="203">
        <v>0</v>
      </c>
      <c r="AF1720" s="167" t="s">
        <v>3469</v>
      </c>
    </row>
    <row r="1721" spans="28:32" x14ac:dyDescent="0.25">
      <c r="AB1721" s="167" t="s">
        <v>2071</v>
      </c>
      <c r="AC1721" s="167">
        <v>353</v>
      </c>
      <c r="AD1721" s="203">
        <v>43180</v>
      </c>
      <c r="AE1721" s="203">
        <v>0</v>
      </c>
      <c r="AF1721" s="167" t="s">
        <v>3469</v>
      </c>
    </row>
    <row r="1722" spans="28:32" x14ac:dyDescent="0.25">
      <c r="AB1722" s="167" t="s">
        <v>2073</v>
      </c>
      <c r="AC1722" s="167">
        <v>347</v>
      </c>
      <c r="AD1722" s="203">
        <v>43118</v>
      </c>
      <c r="AE1722" s="203">
        <v>43133</v>
      </c>
      <c r="AF1722" s="167" t="s">
        <v>3470</v>
      </c>
    </row>
    <row r="1723" spans="28:32" x14ac:dyDescent="0.25">
      <c r="AB1723" s="167" t="s">
        <v>2073</v>
      </c>
      <c r="AC1723" s="167">
        <v>340</v>
      </c>
      <c r="AD1723" s="203">
        <v>43133</v>
      </c>
      <c r="AE1723" s="203">
        <v>43168</v>
      </c>
      <c r="AF1723" s="167" t="s">
        <v>3470</v>
      </c>
    </row>
    <row r="1724" spans="28:32" x14ac:dyDescent="0.25">
      <c r="AB1724" s="167" t="s">
        <v>2073</v>
      </c>
      <c r="AC1724" s="167">
        <v>364</v>
      </c>
      <c r="AD1724" s="203">
        <v>43168</v>
      </c>
      <c r="AE1724" s="203">
        <v>43179</v>
      </c>
      <c r="AF1724" s="167" t="s">
        <v>3470</v>
      </c>
    </row>
    <row r="1725" spans="28:32" x14ac:dyDescent="0.25">
      <c r="AB1725" s="167" t="s">
        <v>2073</v>
      </c>
      <c r="AC1725" s="167">
        <v>353</v>
      </c>
      <c r="AD1725" s="203">
        <v>43180</v>
      </c>
      <c r="AE1725" s="203">
        <v>0</v>
      </c>
      <c r="AF1725" s="167" t="s">
        <v>3469</v>
      </c>
    </row>
    <row r="1726" spans="28:32" x14ac:dyDescent="0.25">
      <c r="AB1726" s="167" t="s">
        <v>2074</v>
      </c>
      <c r="AC1726" s="167">
        <v>323</v>
      </c>
      <c r="AD1726" s="203">
        <v>43074</v>
      </c>
      <c r="AE1726" s="203">
        <v>43111</v>
      </c>
      <c r="AF1726" s="167" t="s">
        <v>3470</v>
      </c>
    </row>
    <row r="1727" spans="28:32" x14ac:dyDescent="0.25">
      <c r="AB1727" s="167" t="s">
        <v>2074</v>
      </c>
      <c r="AC1727" s="167">
        <v>327</v>
      </c>
      <c r="AD1727" s="203">
        <v>43074</v>
      </c>
      <c r="AE1727" s="203">
        <v>43131</v>
      </c>
      <c r="AF1727" s="167" t="s">
        <v>3470</v>
      </c>
    </row>
    <row r="1728" spans="28:32" x14ac:dyDescent="0.25">
      <c r="AB1728" s="167" t="s">
        <v>2074</v>
      </c>
      <c r="AC1728" s="167">
        <v>347</v>
      </c>
      <c r="AD1728" s="203">
        <v>43118</v>
      </c>
      <c r="AE1728" s="203">
        <v>43133</v>
      </c>
      <c r="AF1728" s="167" t="s">
        <v>3470</v>
      </c>
    </row>
    <row r="1729" spans="28:32" x14ac:dyDescent="0.25">
      <c r="AB1729" s="167" t="s">
        <v>2074</v>
      </c>
      <c r="AC1729" s="167">
        <v>340</v>
      </c>
      <c r="AD1729" s="203">
        <v>43133</v>
      </c>
      <c r="AE1729" s="203">
        <v>43168</v>
      </c>
      <c r="AF1729" s="167" t="s">
        <v>3470</v>
      </c>
    </row>
    <row r="1730" spans="28:32" x14ac:dyDescent="0.25">
      <c r="AB1730" s="167" t="s">
        <v>2074</v>
      </c>
      <c r="AC1730" s="167">
        <v>340</v>
      </c>
      <c r="AD1730" s="203">
        <v>43133</v>
      </c>
      <c r="AE1730" s="203">
        <v>43168</v>
      </c>
      <c r="AF1730" s="167" t="s">
        <v>3470</v>
      </c>
    </row>
    <row r="1731" spans="28:32" x14ac:dyDescent="0.25">
      <c r="AB1731" s="167" t="s">
        <v>2074</v>
      </c>
      <c r="AC1731" s="167">
        <v>357</v>
      </c>
      <c r="AD1731" s="203">
        <v>43139</v>
      </c>
      <c r="AE1731" s="203">
        <v>43164</v>
      </c>
      <c r="AF1731" s="167" t="s">
        <v>3470</v>
      </c>
    </row>
    <row r="1732" spans="28:32" x14ac:dyDescent="0.25">
      <c r="AB1732" s="167" t="s">
        <v>2074</v>
      </c>
      <c r="AC1732" s="167">
        <v>364</v>
      </c>
      <c r="AD1732" s="203">
        <v>43168</v>
      </c>
      <c r="AE1732" s="203">
        <v>43179</v>
      </c>
      <c r="AF1732" s="167" t="s">
        <v>3470</v>
      </c>
    </row>
    <row r="1733" spans="28:32" x14ac:dyDescent="0.25">
      <c r="AB1733" s="167" t="s">
        <v>2074</v>
      </c>
      <c r="AC1733" s="167">
        <v>353</v>
      </c>
      <c r="AD1733" s="203">
        <v>43180</v>
      </c>
      <c r="AE1733" s="203">
        <v>0</v>
      </c>
      <c r="AF1733" s="167" t="s">
        <v>3469</v>
      </c>
    </row>
    <row r="1734" spans="28:32" x14ac:dyDescent="0.25">
      <c r="AB1734" s="167" t="s">
        <v>2074</v>
      </c>
      <c r="AC1734" s="167">
        <v>353</v>
      </c>
      <c r="AD1734" s="203">
        <v>43180</v>
      </c>
      <c r="AE1734" s="203">
        <v>0</v>
      </c>
      <c r="AF1734" s="167" t="s">
        <v>3469</v>
      </c>
    </row>
    <row r="1735" spans="28:32" x14ac:dyDescent="0.25">
      <c r="AB1735" s="167" t="s">
        <v>2074</v>
      </c>
      <c r="AC1735" s="167">
        <v>353</v>
      </c>
      <c r="AD1735" s="203">
        <v>43180</v>
      </c>
      <c r="AE1735" s="203">
        <v>0</v>
      </c>
      <c r="AF1735" s="167" t="s">
        <v>3469</v>
      </c>
    </row>
    <row r="1736" spans="28:32" x14ac:dyDescent="0.25">
      <c r="AB1736" s="167" t="s">
        <v>2075</v>
      </c>
      <c r="AC1736" s="167">
        <v>327</v>
      </c>
      <c r="AD1736" s="203">
        <v>43074</v>
      </c>
      <c r="AE1736" s="203">
        <v>43131</v>
      </c>
      <c r="AF1736" s="167" t="s">
        <v>3470</v>
      </c>
    </row>
    <row r="1737" spans="28:32" x14ac:dyDescent="0.25">
      <c r="AB1737" s="167" t="s">
        <v>2075</v>
      </c>
      <c r="AC1737" s="167">
        <v>327</v>
      </c>
      <c r="AD1737" s="203">
        <v>43074</v>
      </c>
      <c r="AE1737" s="203">
        <v>43131</v>
      </c>
      <c r="AF1737" s="167" t="s">
        <v>3470</v>
      </c>
    </row>
    <row r="1738" spans="28:32" x14ac:dyDescent="0.25">
      <c r="AB1738" s="167" t="s">
        <v>2075</v>
      </c>
      <c r="AC1738" s="167">
        <v>327</v>
      </c>
      <c r="AD1738" s="203">
        <v>43074</v>
      </c>
      <c r="AE1738" s="203">
        <v>43131</v>
      </c>
      <c r="AF1738" s="167" t="s">
        <v>3470</v>
      </c>
    </row>
    <row r="1739" spans="28:32" x14ac:dyDescent="0.25">
      <c r="AB1739" s="167" t="s">
        <v>2075</v>
      </c>
      <c r="AC1739" s="167">
        <v>347</v>
      </c>
      <c r="AD1739" s="203">
        <v>43118</v>
      </c>
      <c r="AE1739" s="203">
        <v>43133</v>
      </c>
      <c r="AF1739" s="167" t="s">
        <v>3470</v>
      </c>
    </row>
    <row r="1740" spans="28:32" x14ac:dyDescent="0.25">
      <c r="AB1740" s="167" t="s">
        <v>2075</v>
      </c>
      <c r="AC1740" s="167">
        <v>340</v>
      </c>
      <c r="AD1740" s="203">
        <v>43133</v>
      </c>
      <c r="AE1740" s="203">
        <v>43168</v>
      </c>
      <c r="AF1740" s="167" t="s">
        <v>3470</v>
      </c>
    </row>
    <row r="1741" spans="28:32" x14ac:dyDescent="0.25">
      <c r="AB1741" s="167" t="s">
        <v>2075</v>
      </c>
      <c r="AC1741" s="167">
        <v>340</v>
      </c>
      <c r="AD1741" s="203">
        <v>43133</v>
      </c>
      <c r="AE1741" s="203">
        <v>43168</v>
      </c>
      <c r="AF1741" s="167" t="s">
        <v>3470</v>
      </c>
    </row>
    <row r="1742" spans="28:32" x14ac:dyDescent="0.25">
      <c r="AB1742" s="167" t="s">
        <v>2075</v>
      </c>
      <c r="AC1742" s="167">
        <v>340</v>
      </c>
      <c r="AD1742" s="203">
        <v>43133</v>
      </c>
      <c r="AE1742" s="203">
        <v>43168</v>
      </c>
      <c r="AF1742" s="167" t="s">
        <v>3470</v>
      </c>
    </row>
    <row r="1743" spans="28:32" x14ac:dyDescent="0.25">
      <c r="AB1743" s="167" t="s">
        <v>2075</v>
      </c>
      <c r="AC1743" s="167">
        <v>357</v>
      </c>
      <c r="AD1743" s="203">
        <v>43139</v>
      </c>
      <c r="AE1743" s="203">
        <v>43164</v>
      </c>
      <c r="AF1743" s="167" t="s">
        <v>3470</v>
      </c>
    </row>
    <row r="1744" spans="28:32" x14ac:dyDescent="0.25">
      <c r="AB1744" s="167" t="s">
        <v>2075</v>
      </c>
      <c r="AC1744" s="167">
        <v>364</v>
      </c>
      <c r="AD1744" s="203">
        <v>43168</v>
      </c>
      <c r="AE1744" s="203">
        <v>43179</v>
      </c>
      <c r="AF1744" s="167" t="s">
        <v>3470</v>
      </c>
    </row>
    <row r="1745" spans="28:32" x14ac:dyDescent="0.25">
      <c r="AB1745" s="167" t="s">
        <v>2075</v>
      </c>
      <c r="AC1745" s="167">
        <v>353</v>
      </c>
      <c r="AD1745" s="203">
        <v>43180</v>
      </c>
      <c r="AE1745" s="203">
        <v>0</v>
      </c>
      <c r="AF1745" s="167" t="s">
        <v>3469</v>
      </c>
    </row>
    <row r="1746" spans="28:32" x14ac:dyDescent="0.25">
      <c r="AB1746" s="167" t="s">
        <v>2075</v>
      </c>
      <c r="AC1746" s="167">
        <v>353</v>
      </c>
      <c r="AD1746" s="203">
        <v>43180</v>
      </c>
      <c r="AE1746" s="203">
        <v>0</v>
      </c>
      <c r="AF1746" s="167" t="s">
        <v>3469</v>
      </c>
    </row>
    <row r="1747" spans="28:32" x14ac:dyDescent="0.25">
      <c r="AB1747" s="167" t="s">
        <v>2075</v>
      </c>
      <c r="AC1747" s="167">
        <v>353</v>
      </c>
      <c r="AD1747" s="203">
        <v>43180</v>
      </c>
      <c r="AE1747" s="203">
        <v>0</v>
      </c>
      <c r="AF1747" s="167" t="s">
        <v>3469</v>
      </c>
    </row>
    <row r="1748" spans="28:32" x14ac:dyDescent="0.25">
      <c r="AB1748" s="167" t="s">
        <v>2075</v>
      </c>
      <c r="AC1748" s="167">
        <v>353</v>
      </c>
      <c r="AD1748" s="203">
        <v>43180</v>
      </c>
      <c r="AE1748" s="203">
        <v>0</v>
      </c>
      <c r="AF1748" s="167" t="s">
        <v>3469</v>
      </c>
    </row>
    <row r="1749" spans="28:32" x14ac:dyDescent="0.25">
      <c r="AB1749" s="167" t="s">
        <v>2077</v>
      </c>
      <c r="AC1749" s="167">
        <v>323</v>
      </c>
      <c r="AD1749" s="203">
        <v>43074</v>
      </c>
      <c r="AE1749" s="203">
        <v>43111</v>
      </c>
      <c r="AF1749" s="167" t="s">
        <v>3470</v>
      </c>
    </row>
    <row r="1750" spans="28:32" x14ac:dyDescent="0.25">
      <c r="AB1750" s="167" t="s">
        <v>2077</v>
      </c>
      <c r="AC1750" s="167">
        <v>347</v>
      </c>
      <c r="AD1750" s="203">
        <v>43118</v>
      </c>
      <c r="AE1750" s="203">
        <v>43133</v>
      </c>
      <c r="AF1750" s="167" t="s">
        <v>3470</v>
      </c>
    </row>
    <row r="1751" spans="28:32" x14ac:dyDescent="0.25">
      <c r="AB1751" s="167" t="s">
        <v>2077</v>
      </c>
      <c r="AC1751" s="167">
        <v>340</v>
      </c>
      <c r="AD1751" s="203">
        <v>43133</v>
      </c>
      <c r="AE1751" s="203">
        <v>43168</v>
      </c>
      <c r="AF1751" s="167" t="s">
        <v>3470</v>
      </c>
    </row>
    <row r="1752" spans="28:32" x14ac:dyDescent="0.25">
      <c r="AB1752" s="167" t="s">
        <v>2077</v>
      </c>
      <c r="AC1752" s="167">
        <v>340</v>
      </c>
      <c r="AD1752" s="203">
        <v>43133</v>
      </c>
      <c r="AE1752" s="203">
        <v>43168</v>
      </c>
      <c r="AF1752" s="167" t="s">
        <v>3470</v>
      </c>
    </row>
    <row r="1753" spans="28:32" x14ac:dyDescent="0.25">
      <c r="AB1753" s="167" t="s">
        <v>2077</v>
      </c>
      <c r="AC1753" s="167">
        <v>357</v>
      </c>
      <c r="AD1753" s="203">
        <v>43139</v>
      </c>
      <c r="AE1753" s="203">
        <v>43164</v>
      </c>
      <c r="AF1753" s="167" t="s">
        <v>3470</v>
      </c>
    </row>
    <row r="1754" spans="28:32" x14ac:dyDescent="0.25">
      <c r="AB1754" s="167" t="s">
        <v>2077</v>
      </c>
      <c r="AC1754" s="167">
        <v>364</v>
      </c>
      <c r="AD1754" s="203">
        <v>43168</v>
      </c>
      <c r="AE1754" s="203">
        <v>43179</v>
      </c>
      <c r="AF1754" s="167" t="s">
        <v>3470</v>
      </c>
    </row>
    <row r="1755" spans="28:32" x14ac:dyDescent="0.25">
      <c r="AB1755" s="167" t="s">
        <v>2077</v>
      </c>
      <c r="AC1755" s="167">
        <v>353</v>
      </c>
      <c r="AD1755" s="203">
        <v>43180</v>
      </c>
      <c r="AE1755" s="203">
        <v>0</v>
      </c>
      <c r="AF1755" s="167" t="s">
        <v>3469</v>
      </c>
    </row>
    <row r="1756" spans="28:32" x14ac:dyDescent="0.25">
      <c r="AB1756" s="167" t="s">
        <v>2077</v>
      </c>
      <c r="AC1756" s="167">
        <v>353</v>
      </c>
      <c r="AD1756" s="203">
        <v>43180</v>
      </c>
      <c r="AE1756" s="203">
        <v>0</v>
      </c>
      <c r="AF1756" s="167" t="s">
        <v>3469</v>
      </c>
    </row>
    <row r="1757" spans="28:32" x14ac:dyDescent="0.25">
      <c r="AB1757" s="167" t="s">
        <v>2079</v>
      </c>
      <c r="AC1757" s="167">
        <v>327</v>
      </c>
      <c r="AD1757" s="203">
        <v>43074</v>
      </c>
      <c r="AE1757" s="203">
        <v>43131</v>
      </c>
      <c r="AF1757" s="167" t="s">
        <v>3470</v>
      </c>
    </row>
    <row r="1758" spans="28:32" x14ac:dyDescent="0.25">
      <c r="AB1758" s="167" t="s">
        <v>2079</v>
      </c>
      <c r="AC1758" s="167">
        <v>335</v>
      </c>
      <c r="AD1758" s="203">
        <v>43133</v>
      </c>
      <c r="AE1758" s="203">
        <v>43147</v>
      </c>
      <c r="AF1758" s="167" t="s">
        <v>3470</v>
      </c>
    </row>
    <row r="1759" spans="28:32" x14ac:dyDescent="0.25">
      <c r="AB1759" s="167" t="s">
        <v>2079</v>
      </c>
      <c r="AC1759" s="167">
        <v>364</v>
      </c>
      <c r="AD1759" s="203">
        <v>43168</v>
      </c>
      <c r="AE1759" s="203">
        <v>43179</v>
      </c>
      <c r="AF1759" s="167" t="s">
        <v>3470</v>
      </c>
    </row>
    <row r="1760" spans="28:32" x14ac:dyDescent="0.25">
      <c r="AB1760" s="167" t="s">
        <v>2079</v>
      </c>
      <c r="AC1760" s="167">
        <v>353</v>
      </c>
      <c r="AD1760" s="203">
        <v>43180</v>
      </c>
      <c r="AE1760" s="203">
        <v>0</v>
      </c>
      <c r="AF1760" s="167" t="s">
        <v>3469</v>
      </c>
    </row>
    <row r="1761" spans="28:32" x14ac:dyDescent="0.25">
      <c r="AB1761" s="167" t="s">
        <v>2079</v>
      </c>
      <c r="AC1761" s="167">
        <v>353</v>
      </c>
      <c r="AD1761" s="203">
        <v>43180</v>
      </c>
      <c r="AE1761" s="203">
        <v>0</v>
      </c>
      <c r="AF1761" s="167" t="s">
        <v>3469</v>
      </c>
    </row>
    <row r="1762" spans="28:32" x14ac:dyDescent="0.25">
      <c r="AB1762" s="167" t="s">
        <v>2079</v>
      </c>
      <c r="AC1762" s="167">
        <v>353</v>
      </c>
      <c r="AD1762" s="203">
        <v>43180</v>
      </c>
      <c r="AE1762" s="203">
        <v>0</v>
      </c>
      <c r="AF1762" s="167" t="s">
        <v>3469</v>
      </c>
    </row>
    <row r="1763" spans="28:32" x14ac:dyDescent="0.25">
      <c r="AB1763" s="167" t="s">
        <v>2079</v>
      </c>
      <c r="AC1763" s="167">
        <v>353</v>
      </c>
      <c r="AD1763" s="203">
        <v>43180</v>
      </c>
      <c r="AE1763" s="203">
        <v>0</v>
      </c>
      <c r="AF1763" s="167" t="s">
        <v>3469</v>
      </c>
    </row>
    <row r="1764" spans="28:32" x14ac:dyDescent="0.25">
      <c r="AB1764" s="167" t="s">
        <v>2080</v>
      </c>
      <c r="AC1764" s="167">
        <v>340</v>
      </c>
      <c r="AD1764" s="203">
        <v>43133</v>
      </c>
      <c r="AE1764" s="203">
        <v>43168</v>
      </c>
      <c r="AF1764" s="167" t="s">
        <v>3470</v>
      </c>
    </row>
    <row r="1765" spans="28:32" x14ac:dyDescent="0.25">
      <c r="AB1765" s="167" t="s">
        <v>2080</v>
      </c>
      <c r="AC1765" s="167">
        <v>353</v>
      </c>
      <c r="AD1765" s="203">
        <v>43180</v>
      </c>
      <c r="AE1765" s="203">
        <v>0</v>
      </c>
      <c r="AF1765" s="167" t="s">
        <v>3469</v>
      </c>
    </row>
    <row r="1766" spans="28:32" x14ac:dyDescent="0.25">
      <c r="AB1766" s="167" t="s">
        <v>2080</v>
      </c>
      <c r="AC1766" s="167">
        <v>353</v>
      </c>
      <c r="AD1766" s="203">
        <v>43180</v>
      </c>
      <c r="AE1766" s="203">
        <v>0</v>
      </c>
      <c r="AF1766" s="167" t="s">
        <v>3469</v>
      </c>
    </row>
    <row r="1767" spans="28:32" x14ac:dyDescent="0.25">
      <c r="AB1767" s="167" t="s">
        <v>2080</v>
      </c>
      <c r="AC1767" s="167">
        <v>353</v>
      </c>
      <c r="AD1767" s="203">
        <v>43180</v>
      </c>
      <c r="AE1767" s="203">
        <v>0</v>
      </c>
      <c r="AF1767" s="167" t="s">
        <v>3469</v>
      </c>
    </row>
    <row r="1768" spans="28:32" x14ac:dyDescent="0.25">
      <c r="AB1768" s="167" t="s">
        <v>2080</v>
      </c>
      <c r="AC1768" s="167">
        <v>353</v>
      </c>
      <c r="AD1768" s="203">
        <v>43180</v>
      </c>
      <c r="AE1768" s="203">
        <v>0</v>
      </c>
      <c r="AF1768" s="167" t="s">
        <v>3469</v>
      </c>
    </row>
    <row r="1769" spans="28:32" x14ac:dyDescent="0.25">
      <c r="AB1769" s="167" t="s">
        <v>2080</v>
      </c>
      <c r="AC1769" s="167">
        <v>353</v>
      </c>
      <c r="AD1769" s="203">
        <v>43180</v>
      </c>
      <c r="AE1769" s="203">
        <v>0</v>
      </c>
      <c r="AF1769" s="167" t="s">
        <v>3469</v>
      </c>
    </row>
    <row r="1770" spans="28:32" x14ac:dyDescent="0.25">
      <c r="AB1770" s="167" t="s">
        <v>2080</v>
      </c>
      <c r="AC1770" s="167">
        <v>353</v>
      </c>
      <c r="AD1770" s="203">
        <v>43180</v>
      </c>
      <c r="AE1770" s="203">
        <v>0</v>
      </c>
      <c r="AF1770" s="167" t="s">
        <v>3469</v>
      </c>
    </row>
    <row r="1771" spans="28:32" x14ac:dyDescent="0.25">
      <c r="AB1771" s="167" t="s">
        <v>2080</v>
      </c>
      <c r="AC1771" s="167">
        <v>353</v>
      </c>
      <c r="AD1771" s="203">
        <v>43180</v>
      </c>
      <c r="AE1771" s="203">
        <v>0</v>
      </c>
      <c r="AF1771" s="167" t="s">
        <v>3469</v>
      </c>
    </row>
    <row r="1772" spans="28:32" x14ac:dyDescent="0.25">
      <c r="AB1772" s="167" t="s">
        <v>2080</v>
      </c>
      <c r="AC1772" s="167">
        <v>353</v>
      </c>
      <c r="AD1772" s="203">
        <v>43180</v>
      </c>
      <c r="AE1772" s="203">
        <v>0</v>
      </c>
      <c r="AF1772" s="167" t="s">
        <v>3469</v>
      </c>
    </row>
    <row r="1773" spans="28:32" x14ac:dyDescent="0.25">
      <c r="AB1773" s="167" t="s">
        <v>2080</v>
      </c>
      <c r="AC1773" s="167">
        <v>353</v>
      </c>
      <c r="AD1773" s="203">
        <v>43180</v>
      </c>
      <c r="AE1773" s="203">
        <v>0</v>
      </c>
      <c r="AF1773" s="167" t="s">
        <v>3469</v>
      </c>
    </row>
    <row r="1774" spans="28:32" x14ac:dyDescent="0.25">
      <c r="AB1774" s="167" t="s">
        <v>2080</v>
      </c>
      <c r="AC1774" s="167">
        <v>353</v>
      </c>
      <c r="AD1774" s="203">
        <v>43180</v>
      </c>
      <c r="AE1774" s="203">
        <v>0</v>
      </c>
      <c r="AF1774" s="167" t="s">
        <v>3469</v>
      </c>
    </row>
    <row r="1775" spans="28:32" x14ac:dyDescent="0.25">
      <c r="AB1775" s="167" t="s">
        <v>2080</v>
      </c>
      <c r="AC1775" s="167">
        <v>353</v>
      </c>
      <c r="AD1775" s="203">
        <v>43180</v>
      </c>
      <c r="AE1775" s="203">
        <v>0</v>
      </c>
      <c r="AF1775" s="167" t="s">
        <v>3469</v>
      </c>
    </row>
    <row r="1776" spans="28:32" x14ac:dyDescent="0.25">
      <c r="AB1776" s="167" t="s">
        <v>2081</v>
      </c>
      <c r="AC1776" s="167">
        <v>347</v>
      </c>
      <c r="AD1776" s="203">
        <v>43118</v>
      </c>
      <c r="AE1776" s="203">
        <v>43133</v>
      </c>
      <c r="AF1776" s="167" t="s">
        <v>3470</v>
      </c>
    </row>
    <row r="1777" spans="28:32" x14ac:dyDescent="0.25">
      <c r="AB1777" s="167" t="s">
        <v>2081</v>
      </c>
      <c r="AC1777" s="167">
        <v>340</v>
      </c>
      <c r="AD1777" s="203">
        <v>43133</v>
      </c>
      <c r="AE1777" s="203">
        <v>43168</v>
      </c>
      <c r="AF1777" s="167" t="s">
        <v>3470</v>
      </c>
    </row>
    <row r="1778" spans="28:32" x14ac:dyDescent="0.25">
      <c r="AB1778" s="167" t="s">
        <v>2081</v>
      </c>
      <c r="AC1778" s="167">
        <v>357</v>
      </c>
      <c r="AD1778" s="203">
        <v>43139</v>
      </c>
      <c r="AE1778" s="203">
        <v>43164</v>
      </c>
      <c r="AF1778" s="167" t="s">
        <v>3470</v>
      </c>
    </row>
    <row r="1779" spans="28:32" x14ac:dyDescent="0.25">
      <c r="AB1779" s="167" t="s">
        <v>2081</v>
      </c>
      <c r="AC1779" s="167">
        <v>353</v>
      </c>
      <c r="AD1779" s="203">
        <v>43180</v>
      </c>
      <c r="AE1779" s="203">
        <v>0</v>
      </c>
      <c r="AF1779" s="167" t="s">
        <v>3469</v>
      </c>
    </row>
    <row r="1780" spans="28:32" x14ac:dyDescent="0.25">
      <c r="AB1780" s="167" t="s">
        <v>2081</v>
      </c>
      <c r="AC1780" s="167">
        <v>353</v>
      </c>
      <c r="AD1780" s="203">
        <v>43180</v>
      </c>
      <c r="AE1780" s="203">
        <v>0</v>
      </c>
      <c r="AF1780" s="167" t="s">
        <v>3469</v>
      </c>
    </row>
    <row r="1781" spans="28:32" x14ac:dyDescent="0.25">
      <c r="AB1781" s="167" t="s">
        <v>2083</v>
      </c>
      <c r="AC1781" s="167">
        <v>357</v>
      </c>
      <c r="AD1781" s="203">
        <v>43139</v>
      </c>
      <c r="AE1781" s="203">
        <v>43164</v>
      </c>
      <c r="AF1781" s="167" t="s">
        <v>3470</v>
      </c>
    </row>
    <row r="1782" spans="28:32" x14ac:dyDescent="0.25">
      <c r="AB1782" s="167" t="s">
        <v>2083</v>
      </c>
      <c r="AC1782" s="167">
        <v>353</v>
      </c>
      <c r="AD1782" s="203">
        <v>43180</v>
      </c>
      <c r="AE1782" s="203">
        <v>0</v>
      </c>
      <c r="AF1782" s="167" t="s">
        <v>3469</v>
      </c>
    </row>
    <row r="1783" spans="28:32" x14ac:dyDescent="0.25">
      <c r="AB1783" s="167" t="s">
        <v>2085</v>
      </c>
      <c r="AC1783" s="167">
        <v>323</v>
      </c>
      <c r="AD1783" s="203">
        <v>43074</v>
      </c>
      <c r="AE1783" s="203">
        <v>43111</v>
      </c>
      <c r="AF1783" s="167" t="s">
        <v>3470</v>
      </c>
    </row>
    <row r="1784" spans="28:32" x14ac:dyDescent="0.25">
      <c r="AB1784" s="167" t="s">
        <v>2085</v>
      </c>
      <c r="AC1784" s="167">
        <v>327</v>
      </c>
      <c r="AD1784" s="203">
        <v>43074</v>
      </c>
      <c r="AE1784" s="203">
        <v>43131</v>
      </c>
      <c r="AF1784" s="167" t="s">
        <v>3470</v>
      </c>
    </row>
    <row r="1785" spans="28:32" x14ac:dyDescent="0.25">
      <c r="AB1785" s="167" t="s">
        <v>2085</v>
      </c>
      <c r="AC1785" s="167">
        <v>347</v>
      </c>
      <c r="AD1785" s="203">
        <v>43118</v>
      </c>
      <c r="AE1785" s="203">
        <v>43133</v>
      </c>
      <c r="AF1785" s="167" t="s">
        <v>3470</v>
      </c>
    </row>
    <row r="1786" spans="28:32" x14ac:dyDescent="0.25">
      <c r="AB1786" s="167" t="s">
        <v>2085</v>
      </c>
      <c r="AC1786" s="167">
        <v>357</v>
      </c>
      <c r="AD1786" s="203">
        <v>43139</v>
      </c>
      <c r="AE1786" s="203">
        <v>43164</v>
      </c>
      <c r="AF1786" s="167" t="s">
        <v>3470</v>
      </c>
    </row>
    <row r="1787" spans="28:32" x14ac:dyDescent="0.25">
      <c r="AB1787" s="167" t="s">
        <v>2085</v>
      </c>
      <c r="AC1787" s="167">
        <v>364</v>
      </c>
      <c r="AD1787" s="203">
        <v>43168</v>
      </c>
      <c r="AE1787" s="203">
        <v>43179</v>
      </c>
      <c r="AF1787" s="167" t="s">
        <v>3470</v>
      </c>
    </row>
    <row r="1788" spans="28:32" x14ac:dyDescent="0.25">
      <c r="AB1788" s="167" t="s">
        <v>2085</v>
      </c>
      <c r="AC1788" s="167">
        <v>353</v>
      </c>
      <c r="AD1788" s="203">
        <v>43180</v>
      </c>
      <c r="AE1788" s="203">
        <v>0</v>
      </c>
      <c r="AF1788" s="167" t="s">
        <v>3469</v>
      </c>
    </row>
    <row r="1789" spans="28:32" x14ac:dyDescent="0.25">
      <c r="AB1789" s="167" t="s">
        <v>2085</v>
      </c>
      <c r="AC1789" s="167">
        <v>353</v>
      </c>
      <c r="AD1789" s="203">
        <v>43180</v>
      </c>
      <c r="AE1789" s="203">
        <v>0</v>
      </c>
      <c r="AF1789" s="167" t="s">
        <v>3469</v>
      </c>
    </row>
    <row r="1790" spans="28:32" x14ac:dyDescent="0.25">
      <c r="AB1790" s="167" t="s">
        <v>2085</v>
      </c>
      <c r="AC1790" s="167">
        <v>353</v>
      </c>
      <c r="AD1790" s="203">
        <v>43180</v>
      </c>
      <c r="AE1790" s="203">
        <v>0</v>
      </c>
      <c r="AF1790" s="167" t="s">
        <v>3469</v>
      </c>
    </row>
    <row r="1791" spans="28:32" x14ac:dyDescent="0.25">
      <c r="AB1791" s="167" t="s">
        <v>2085</v>
      </c>
      <c r="AC1791" s="167">
        <v>353</v>
      </c>
      <c r="AD1791" s="203">
        <v>43180</v>
      </c>
      <c r="AE1791" s="203">
        <v>0</v>
      </c>
      <c r="AF1791" s="167" t="s">
        <v>3469</v>
      </c>
    </row>
    <row r="1792" spans="28:32" x14ac:dyDescent="0.25">
      <c r="AB1792" s="167" t="s">
        <v>2085</v>
      </c>
      <c r="AC1792" s="167">
        <v>353</v>
      </c>
      <c r="AD1792" s="203">
        <v>43180</v>
      </c>
      <c r="AE1792" s="203">
        <v>0</v>
      </c>
      <c r="AF1792" s="167" t="s">
        <v>3469</v>
      </c>
    </row>
    <row r="1793" spans="28:32" x14ac:dyDescent="0.25">
      <c r="AB1793" s="167" t="s">
        <v>2086</v>
      </c>
      <c r="AC1793" s="167">
        <v>356</v>
      </c>
      <c r="AD1793" s="203">
        <v>43139</v>
      </c>
      <c r="AE1793" s="203">
        <v>0</v>
      </c>
      <c r="AF1793" s="167" t="s">
        <v>3469</v>
      </c>
    </row>
    <row r="1794" spans="28:32" x14ac:dyDescent="0.25">
      <c r="AB1794" s="167" t="s">
        <v>2088</v>
      </c>
      <c r="AC1794" s="167">
        <v>347</v>
      </c>
      <c r="AD1794" s="203">
        <v>43118</v>
      </c>
      <c r="AE1794" s="203">
        <v>43133</v>
      </c>
      <c r="AF1794" s="167" t="s">
        <v>3470</v>
      </c>
    </row>
    <row r="1795" spans="28:32" x14ac:dyDescent="0.25">
      <c r="AB1795" s="167" t="s">
        <v>2088</v>
      </c>
      <c r="AC1795" s="167">
        <v>340</v>
      </c>
      <c r="AD1795" s="203">
        <v>43133</v>
      </c>
      <c r="AE1795" s="203">
        <v>43168</v>
      </c>
      <c r="AF1795" s="167" t="s">
        <v>3470</v>
      </c>
    </row>
    <row r="1796" spans="28:32" x14ac:dyDescent="0.25">
      <c r="AB1796" s="167" t="s">
        <v>2088</v>
      </c>
      <c r="AC1796" s="167">
        <v>357</v>
      </c>
      <c r="AD1796" s="203">
        <v>43139</v>
      </c>
      <c r="AE1796" s="203">
        <v>43164</v>
      </c>
      <c r="AF1796" s="167" t="s">
        <v>3470</v>
      </c>
    </row>
    <row r="1797" spans="28:32" x14ac:dyDescent="0.25">
      <c r="AB1797" s="167" t="s">
        <v>2088</v>
      </c>
      <c r="AC1797" s="167">
        <v>353</v>
      </c>
      <c r="AD1797" s="203">
        <v>43180</v>
      </c>
      <c r="AE1797" s="203">
        <v>0</v>
      </c>
      <c r="AF1797" s="167" t="s">
        <v>3469</v>
      </c>
    </row>
    <row r="1798" spans="28:32" x14ac:dyDescent="0.25">
      <c r="AB1798" s="167" t="s">
        <v>2089</v>
      </c>
      <c r="AC1798" s="167">
        <v>347</v>
      </c>
      <c r="AD1798" s="203">
        <v>43118</v>
      </c>
      <c r="AE1798" s="203">
        <v>43133</v>
      </c>
      <c r="AF1798" s="167" t="s">
        <v>3470</v>
      </c>
    </row>
    <row r="1799" spans="28:32" x14ac:dyDescent="0.25">
      <c r="AB1799" s="167" t="s">
        <v>2089</v>
      </c>
      <c r="AC1799" s="167">
        <v>340</v>
      </c>
      <c r="AD1799" s="203">
        <v>43133</v>
      </c>
      <c r="AE1799" s="203">
        <v>43168</v>
      </c>
      <c r="AF1799" s="167" t="s">
        <v>3470</v>
      </c>
    </row>
    <row r="1800" spans="28:32" x14ac:dyDescent="0.25">
      <c r="AB1800" s="167" t="s">
        <v>2089</v>
      </c>
      <c r="AC1800" s="167">
        <v>364</v>
      </c>
      <c r="AD1800" s="203">
        <v>43168</v>
      </c>
      <c r="AE1800" s="203">
        <v>43179</v>
      </c>
      <c r="AF1800" s="167" t="s">
        <v>3470</v>
      </c>
    </row>
    <row r="1801" spans="28:32" x14ac:dyDescent="0.25">
      <c r="AB1801" s="167" t="s">
        <v>2089</v>
      </c>
      <c r="AC1801" s="167">
        <v>353</v>
      </c>
      <c r="AD1801" s="203">
        <v>43180</v>
      </c>
      <c r="AE1801" s="203">
        <v>0</v>
      </c>
      <c r="AF1801" s="167" t="s">
        <v>3469</v>
      </c>
    </row>
    <row r="1802" spans="28:32" x14ac:dyDescent="0.25">
      <c r="AB1802" s="167" t="s">
        <v>2091</v>
      </c>
      <c r="AC1802" s="167">
        <v>347</v>
      </c>
      <c r="AD1802" s="203">
        <v>43118</v>
      </c>
      <c r="AE1802" s="203">
        <v>43133</v>
      </c>
      <c r="AF1802" s="167" t="s">
        <v>3470</v>
      </c>
    </row>
    <row r="1803" spans="28:32" x14ac:dyDescent="0.25">
      <c r="AB1803" s="167" t="s">
        <v>2091</v>
      </c>
      <c r="AC1803" s="167">
        <v>340</v>
      </c>
      <c r="AD1803" s="203">
        <v>43133</v>
      </c>
      <c r="AE1803" s="203">
        <v>43168</v>
      </c>
      <c r="AF1803" s="167" t="s">
        <v>3470</v>
      </c>
    </row>
    <row r="1804" spans="28:32" x14ac:dyDescent="0.25">
      <c r="AB1804" s="167" t="s">
        <v>2091</v>
      </c>
      <c r="AC1804" s="167">
        <v>364</v>
      </c>
      <c r="AD1804" s="203">
        <v>43168</v>
      </c>
      <c r="AE1804" s="203">
        <v>43179</v>
      </c>
      <c r="AF1804" s="167" t="s">
        <v>3470</v>
      </c>
    </row>
    <row r="1805" spans="28:32" x14ac:dyDescent="0.25">
      <c r="AB1805" s="167" t="s">
        <v>2091</v>
      </c>
      <c r="AC1805" s="167">
        <v>353</v>
      </c>
      <c r="AD1805" s="203">
        <v>43180</v>
      </c>
      <c r="AE1805" s="203">
        <v>0</v>
      </c>
      <c r="AF1805" s="167" t="s">
        <v>3469</v>
      </c>
    </row>
    <row r="1806" spans="28:32" x14ac:dyDescent="0.25">
      <c r="AB1806" s="167" t="s">
        <v>2091</v>
      </c>
      <c r="AC1806" s="167">
        <v>353</v>
      </c>
      <c r="AD1806" s="203">
        <v>43180</v>
      </c>
      <c r="AE1806" s="203">
        <v>0</v>
      </c>
      <c r="AF1806" s="167" t="s">
        <v>3469</v>
      </c>
    </row>
    <row r="1807" spans="28:32" x14ac:dyDescent="0.25">
      <c r="AB1807" s="167" t="s">
        <v>2091</v>
      </c>
      <c r="AC1807" s="167">
        <v>353</v>
      </c>
      <c r="AD1807" s="203">
        <v>43180</v>
      </c>
      <c r="AE1807" s="203">
        <v>0</v>
      </c>
      <c r="AF1807" s="167" t="s">
        <v>3469</v>
      </c>
    </row>
    <row r="1808" spans="28:32" x14ac:dyDescent="0.25">
      <c r="AB1808" s="167" t="s">
        <v>2093</v>
      </c>
      <c r="AC1808" s="167">
        <v>327</v>
      </c>
      <c r="AD1808" s="203">
        <v>43074</v>
      </c>
      <c r="AE1808" s="203">
        <v>43131</v>
      </c>
      <c r="AF1808" s="167" t="s">
        <v>3470</v>
      </c>
    </row>
    <row r="1809" spans="28:32" x14ac:dyDescent="0.25">
      <c r="AB1809" s="167" t="s">
        <v>2093</v>
      </c>
      <c r="AC1809" s="167">
        <v>364</v>
      </c>
      <c r="AD1809" s="203">
        <v>43168</v>
      </c>
      <c r="AE1809" s="203">
        <v>43179</v>
      </c>
      <c r="AF1809" s="167" t="s">
        <v>3470</v>
      </c>
    </row>
    <row r="1810" spans="28:32" x14ac:dyDescent="0.25">
      <c r="AB1810" s="167" t="s">
        <v>2093</v>
      </c>
      <c r="AC1810" s="167">
        <v>353</v>
      </c>
      <c r="AD1810" s="203">
        <v>43180</v>
      </c>
      <c r="AE1810" s="203">
        <v>0</v>
      </c>
      <c r="AF1810" s="167" t="s">
        <v>3469</v>
      </c>
    </row>
    <row r="1811" spans="28:32" x14ac:dyDescent="0.25">
      <c r="AB1811" s="167" t="s">
        <v>2094</v>
      </c>
      <c r="AC1811" s="167">
        <v>347</v>
      </c>
      <c r="AD1811" s="203">
        <v>43118</v>
      </c>
      <c r="AE1811" s="203">
        <v>43133</v>
      </c>
      <c r="AF1811" s="167" t="s">
        <v>3470</v>
      </c>
    </row>
    <row r="1812" spans="28:32" x14ac:dyDescent="0.25">
      <c r="AB1812" s="167" t="s">
        <v>2094</v>
      </c>
      <c r="AC1812" s="167">
        <v>340</v>
      </c>
      <c r="AD1812" s="203">
        <v>43133</v>
      </c>
      <c r="AE1812" s="203">
        <v>43168</v>
      </c>
      <c r="AF1812" s="167" t="s">
        <v>3470</v>
      </c>
    </row>
    <row r="1813" spans="28:32" x14ac:dyDescent="0.25">
      <c r="AB1813" s="167" t="s">
        <v>2094</v>
      </c>
      <c r="AC1813" s="167">
        <v>340</v>
      </c>
      <c r="AD1813" s="203">
        <v>43133</v>
      </c>
      <c r="AE1813" s="203">
        <v>43168</v>
      </c>
      <c r="AF1813" s="167" t="s">
        <v>3470</v>
      </c>
    </row>
    <row r="1814" spans="28:32" x14ac:dyDescent="0.25">
      <c r="AB1814" s="167" t="s">
        <v>2095</v>
      </c>
      <c r="AC1814" s="167">
        <v>327</v>
      </c>
      <c r="AD1814" s="203">
        <v>43074</v>
      </c>
      <c r="AE1814" s="203">
        <v>43131</v>
      </c>
      <c r="AF1814" s="167" t="s">
        <v>3470</v>
      </c>
    </row>
    <row r="1815" spans="28:32" x14ac:dyDescent="0.25">
      <c r="AB1815" s="167" t="s">
        <v>2095</v>
      </c>
      <c r="AC1815" s="167">
        <v>327</v>
      </c>
      <c r="AD1815" s="203">
        <v>43074</v>
      </c>
      <c r="AE1815" s="203">
        <v>43131</v>
      </c>
      <c r="AF1815" s="167" t="s">
        <v>3470</v>
      </c>
    </row>
    <row r="1816" spans="28:32" x14ac:dyDescent="0.25">
      <c r="AB1816" s="167" t="s">
        <v>2095</v>
      </c>
      <c r="AC1816" s="167">
        <v>327</v>
      </c>
      <c r="AD1816" s="203">
        <v>43074</v>
      </c>
      <c r="AE1816" s="203">
        <v>43131</v>
      </c>
      <c r="AF1816" s="167" t="s">
        <v>3470</v>
      </c>
    </row>
    <row r="1817" spans="28:32" x14ac:dyDescent="0.25">
      <c r="AB1817" s="167" t="s">
        <v>2095</v>
      </c>
      <c r="AC1817" s="167">
        <v>327</v>
      </c>
      <c r="AD1817" s="203">
        <v>43074</v>
      </c>
      <c r="AE1817" s="203">
        <v>43131</v>
      </c>
      <c r="AF1817" s="167" t="s">
        <v>3470</v>
      </c>
    </row>
    <row r="1818" spans="28:32" x14ac:dyDescent="0.25">
      <c r="AB1818" s="167" t="s">
        <v>2095</v>
      </c>
      <c r="AC1818" s="167">
        <v>347</v>
      </c>
      <c r="AD1818" s="203">
        <v>43118</v>
      </c>
      <c r="AE1818" s="203">
        <v>43133</v>
      </c>
      <c r="AF1818" s="167" t="s">
        <v>3470</v>
      </c>
    </row>
    <row r="1819" spans="28:32" x14ac:dyDescent="0.25">
      <c r="AB1819" s="167" t="s">
        <v>2095</v>
      </c>
      <c r="AC1819" s="167">
        <v>340</v>
      </c>
      <c r="AD1819" s="203">
        <v>43133</v>
      </c>
      <c r="AE1819" s="203">
        <v>43168</v>
      </c>
      <c r="AF1819" s="167" t="s">
        <v>3470</v>
      </c>
    </row>
    <row r="1820" spans="28:32" x14ac:dyDescent="0.25">
      <c r="AB1820" s="167" t="s">
        <v>2095</v>
      </c>
      <c r="AC1820" s="167">
        <v>357</v>
      </c>
      <c r="AD1820" s="203">
        <v>43139</v>
      </c>
      <c r="AE1820" s="203">
        <v>43164</v>
      </c>
      <c r="AF1820" s="167" t="s">
        <v>3470</v>
      </c>
    </row>
    <row r="1821" spans="28:32" x14ac:dyDescent="0.25">
      <c r="AB1821" s="167" t="s">
        <v>2095</v>
      </c>
      <c r="AC1821" s="167">
        <v>353</v>
      </c>
      <c r="AD1821" s="203">
        <v>43180</v>
      </c>
      <c r="AE1821" s="203">
        <v>0</v>
      </c>
      <c r="AF1821" s="167" t="s">
        <v>3469</v>
      </c>
    </row>
    <row r="1822" spans="28:32" x14ac:dyDescent="0.25">
      <c r="AB1822" s="167" t="s">
        <v>2095</v>
      </c>
      <c r="AC1822" s="167">
        <v>353</v>
      </c>
      <c r="AD1822" s="203">
        <v>43180</v>
      </c>
      <c r="AE1822" s="203">
        <v>0</v>
      </c>
      <c r="AF1822" s="167" t="s">
        <v>3469</v>
      </c>
    </row>
    <row r="1823" spans="28:32" x14ac:dyDescent="0.25">
      <c r="AB1823" s="167" t="s">
        <v>3481</v>
      </c>
      <c r="AC1823" s="167">
        <v>340</v>
      </c>
      <c r="AD1823" s="203">
        <v>43133</v>
      </c>
      <c r="AE1823" s="203">
        <v>43168</v>
      </c>
      <c r="AF1823" s="167" t="s">
        <v>3470</v>
      </c>
    </row>
    <row r="1824" spans="28:32" x14ac:dyDescent="0.25">
      <c r="AB1824" s="167" t="s">
        <v>2096</v>
      </c>
      <c r="AC1824" s="167">
        <v>323</v>
      </c>
      <c r="AD1824" s="203">
        <v>43074</v>
      </c>
      <c r="AE1824" s="203">
        <v>43111</v>
      </c>
      <c r="AF1824" s="167" t="s">
        <v>3470</v>
      </c>
    </row>
    <row r="1825" spans="28:32" x14ac:dyDescent="0.25">
      <c r="AB1825" s="167" t="s">
        <v>2096</v>
      </c>
      <c r="AC1825" s="167">
        <v>327</v>
      </c>
      <c r="AD1825" s="203">
        <v>43074</v>
      </c>
      <c r="AE1825" s="203">
        <v>43131</v>
      </c>
      <c r="AF1825" s="167" t="s">
        <v>3470</v>
      </c>
    </row>
    <row r="1826" spans="28:32" x14ac:dyDescent="0.25">
      <c r="AB1826" s="167" t="s">
        <v>2096</v>
      </c>
      <c r="AC1826" s="167">
        <v>347</v>
      </c>
      <c r="AD1826" s="203">
        <v>43118</v>
      </c>
      <c r="AE1826" s="203">
        <v>43133</v>
      </c>
      <c r="AF1826" s="167" t="s">
        <v>3470</v>
      </c>
    </row>
    <row r="1827" spans="28:32" x14ac:dyDescent="0.25">
      <c r="AB1827" s="167" t="s">
        <v>2096</v>
      </c>
      <c r="AC1827" s="167">
        <v>364</v>
      </c>
      <c r="AD1827" s="203">
        <v>43168</v>
      </c>
      <c r="AE1827" s="203">
        <v>43179</v>
      </c>
      <c r="AF1827" s="167" t="s">
        <v>3470</v>
      </c>
    </row>
    <row r="1828" spans="28:32" x14ac:dyDescent="0.25">
      <c r="AB1828" s="167" t="s">
        <v>2097</v>
      </c>
      <c r="AC1828" s="167">
        <v>347</v>
      </c>
      <c r="AD1828" s="203">
        <v>43118</v>
      </c>
      <c r="AE1828" s="203">
        <v>43133</v>
      </c>
      <c r="AF1828" s="167" t="s">
        <v>3470</v>
      </c>
    </row>
    <row r="1829" spans="28:32" x14ac:dyDescent="0.25">
      <c r="AB1829" s="167" t="s">
        <v>2097</v>
      </c>
      <c r="AC1829" s="167">
        <v>340</v>
      </c>
      <c r="AD1829" s="203">
        <v>43133</v>
      </c>
      <c r="AE1829" s="203">
        <v>43168</v>
      </c>
      <c r="AF1829" s="167" t="s">
        <v>3470</v>
      </c>
    </row>
    <row r="1830" spans="28:32" x14ac:dyDescent="0.25">
      <c r="AB1830" s="167" t="s">
        <v>2097</v>
      </c>
      <c r="AC1830" s="167">
        <v>340</v>
      </c>
      <c r="AD1830" s="203">
        <v>43133</v>
      </c>
      <c r="AE1830" s="203">
        <v>43168</v>
      </c>
      <c r="AF1830" s="167" t="s">
        <v>3470</v>
      </c>
    </row>
    <row r="1831" spans="28:32" x14ac:dyDescent="0.25">
      <c r="AB1831" s="167" t="s">
        <v>2099</v>
      </c>
      <c r="AC1831" s="167">
        <v>323</v>
      </c>
      <c r="AD1831" s="203">
        <v>43074</v>
      </c>
      <c r="AE1831" s="203">
        <v>43111</v>
      </c>
      <c r="AF1831" s="167" t="s">
        <v>3470</v>
      </c>
    </row>
    <row r="1832" spans="28:32" x14ac:dyDescent="0.25">
      <c r="AB1832" s="167" t="s">
        <v>2099</v>
      </c>
      <c r="AC1832" s="167">
        <v>347</v>
      </c>
      <c r="AD1832" s="203">
        <v>43118</v>
      </c>
      <c r="AE1832" s="203">
        <v>43133</v>
      </c>
      <c r="AF1832" s="167" t="s">
        <v>3470</v>
      </c>
    </row>
    <row r="1833" spans="28:32" x14ac:dyDescent="0.25">
      <c r="AB1833" s="167" t="s">
        <v>2099</v>
      </c>
      <c r="AC1833" s="167">
        <v>340</v>
      </c>
      <c r="AD1833" s="203">
        <v>43133</v>
      </c>
      <c r="AE1833" s="203">
        <v>43168</v>
      </c>
      <c r="AF1833" s="167" t="s">
        <v>3470</v>
      </c>
    </row>
    <row r="1834" spans="28:32" x14ac:dyDescent="0.25">
      <c r="AB1834" s="167" t="s">
        <v>2099</v>
      </c>
      <c r="AC1834" s="167">
        <v>353</v>
      </c>
      <c r="AD1834" s="203">
        <v>43180</v>
      </c>
      <c r="AE1834" s="203">
        <v>0</v>
      </c>
      <c r="AF1834" s="167" t="s">
        <v>3469</v>
      </c>
    </row>
    <row r="1835" spans="28:32" x14ac:dyDescent="0.25">
      <c r="AB1835" s="167" t="s">
        <v>2101</v>
      </c>
      <c r="AC1835" s="167">
        <v>347</v>
      </c>
      <c r="AD1835" s="203">
        <v>43118</v>
      </c>
      <c r="AE1835" s="203">
        <v>43133</v>
      </c>
      <c r="AF1835" s="167" t="s">
        <v>3470</v>
      </c>
    </row>
    <row r="1836" spans="28:32" x14ac:dyDescent="0.25">
      <c r="AB1836" s="167" t="s">
        <v>2101</v>
      </c>
      <c r="AC1836" s="167">
        <v>340</v>
      </c>
      <c r="AD1836" s="203">
        <v>43133</v>
      </c>
      <c r="AE1836" s="203">
        <v>43168</v>
      </c>
      <c r="AF1836" s="167" t="s">
        <v>3470</v>
      </c>
    </row>
    <row r="1837" spans="28:32" x14ac:dyDescent="0.25">
      <c r="AB1837" s="167" t="s">
        <v>2101</v>
      </c>
      <c r="AC1837" s="167">
        <v>364</v>
      </c>
      <c r="AD1837" s="203">
        <v>43168</v>
      </c>
      <c r="AE1837" s="203">
        <v>43179</v>
      </c>
      <c r="AF1837" s="167" t="s">
        <v>3470</v>
      </c>
    </row>
    <row r="1838" spans="28:32" x14ac:dyDescent="0.25">
      <c r="AB1838" s="167" t="s">
        <v>2101</v>
      </c>
      <c r="AC1838" s="167">
        <v>353</v>
      </c>
      <c r="AD1838" s="203">
        <v>43180</v>
      </c>
      <c r="AE1838" s="203">
        <v>0</v>
      </c>
      <c r="AF1838" s="167" t="s">
        <v>3469</v>
      </c>
    </row>
    <row r="1839" spans="28:32" x14ac:dyDescent="0.25">
      <c r="AB1839" s="167" t="s">
        <v>2101</v>
      </c>
      <c r="AC1839" s="167">
        <v>353</v>
      </c>
      <c r="AD1839" s="203">
        <v>43180</v>
      </c>
      <c r="AE1839" s="203">
        <v>0</v>
      </c>
      <c r="AF1839" s="167" t="s">
        <v>3469</v>
      </c>
    </row>
    <row r="1840" spans="28:32" x14ac:dyDescent="0.25">
      <c r="AB1840" s="167" t="s">
        <v>2102</v>
      </c>
      <c r="AC1840" s="167">
        <v>323</v>
      </c>
      <c r="AD1840" s="203">
        <v>43074</v>
      </c>
      <c r="AE1840" s="203">
        <v>43111</v>
      </c>
      <c r="AF1840" s="167" t="s">
        <v>3470</v>
      </c>
    </row>
    <row r="1841" spans="28:32" x14ac:dyDescent="0.25">
      <c r="AB1841" s="167" t="s">
        <v>2102</v>
      </c>
      <c r="AC1841" s="167">
        <v>327</v>
      </c>
      <c r="AD1841" s="203">
        <v>43074</v>
      </c>
      <c r="AE1841" s="203">
        <v>43131</v>
      </c>
      <c r="AF1841" s="167" t="s">
        <v>3470</v>
      </c>
    </row>
    <row r="1842" spans="28:32" x14ac:dyDescent="0.25">
      <c r="AB1842" s="167" t="s">
        <v>2102</v>
      </c>
      <c r="AC1842" s="167">
        <v>347</v>
      </c>
      <c r="AD1842" s="203">
        <v>43118</v>
      </c>
      <c r="AE1842" s="203">
        <v>43133</v>
      </c>
      <c r="AF1842" s="167" t="s">
        <v>3470</v>
      </c>
    </row>
    <row r="1843" spans="28:32" x14ac:dyDescent="0.25">
      <c r="AB1843" s="167" t="s">
        <v>2102</v>
      </c>
      <c r="AC1843" s="167">
        <v>340</v>
      </c>
      <c r="AD1843" s="203">
        <v>43133</v>
      </c>
      <c r="AE1843" s="203">
        <v>43168</v>
      </c>
      <c r="AF1843" s="167" t="s">
        <v>3470</v>
      </c>
    </row>
    <row r="1844" spans="28:32" x14ac:dyDescent="0.25">
      <c r="AB1844" s="167" t="s">
        <v>2102</v>
      </c>
      <c r="AC1844" s="167">
        <v>340</v>
      </c>
      <c r="AD1844" s="203">
        <v>43133</v>
      </c>
      <c r="AE1844" s="203">
        <v>43168</v>
      </c>
      <c r="AF1844" s="167" t="s">
        <v>3470</v>
      </c>
    </row>
    <row r="1845" spans="28:32" x14ac:dyDescent="0.25">
      <c r="AB1845" s="167" t="s">
        <v>2102</v>
      </c>
      <c r="AC1845" s="167">
        <v>357</v>
      </c>
      <c r="AD1845" s="203">
        <v>43139</v>
      </c>
      <c r="AE1845" s="203">
        <v>43164</v>
      </c>
      <c r="AF1845" s="167" t="s">
        <v>3470</v>
      </c>
    </row>
    <row r="1846" spans="28:32" x14ac:dyDescent="0.25">
      <c r="AB1846" s="167" t="s">
        <v>2102</v>
      </c>
      <c r="AC1846" s="167">
        <v>364</v>
      </c>
      <c r="AD1846" s="203">
        <v>43168</v>
      </c>
      <c r="AE1846" s="203">
        <v>43179</v>
      </c>
      <c r="AF1846" s="167" t="s">
        <v>3470</v>
      </c>
    </row>
    <row r="1847" spans="28:32" x14ac:dyDescent="0.25">
      <c r="AB1847" s="167" t="s">
        <v>2102</v>
      </c>
      <c r="AC1847" s="167">
        <v>353</v>
      </c>
      <c r="AD1847" s="203">
        <v>43180</v>
      </c>
      <c r="AE1847" s="203">
        <v>0</v>
      </c>
      <c r="AF1847" s="167" t="s">
        <v>3469</v>
      </c>
    </row>
    <row r="1848" spans="28:32" x14ac:dyDescent="0.25">
      <c r="AB1848" s="167" t="s">
        <v>2102</v>
      </c>
      <c r="AC1848" s="167">
        <v>353</v>
      </c>
      <c r="AD1848" s="203">
        <v>43180</v>
      </c>
      <c r="AE1848" s="203">
        <v>0</v>
      </c>
      <c r="AF1848" s="167" t="s">
        <v>3469</v>
      </c>
    </row>
    <row r="1849" spans="28:32" x14ac:dyDescent="0.25">
      <c r="AB1849" s="167" t="s">
        <v>2103</v>
      </c>
      <c r="AC1849" s="167">
        <v>340</v>
      </c>
      <c r="AD1849" s="203">
        <v>43133</v>
      </c>
      <c r="AE1849" s="203">
        <v>43168</v>
      </c>
      <c r="AF1849" s="167" t="s">
        <v>3470</v>
      </c>
    </row>
    <row r="1850" spans="28:32" x14ac:dyDescent="0.25">
      <c r="AB1850" s="167" t="s">
        <v>2103</v>
      </c>
      <c r="AC1850" s="167">
        <v>357</v>
      </c>
      <c r="AD1850" s="203">
        <v>43139</v>
      </c>
      <c r="AE1850" s="203">
        <v>43164</v>
      </c>
      <c r="AF1850" s="167" t="s">
        <v>3470</v>
      </c>
    </row>
    <row r="1851" spans="28:32" x14ac:dyDescent="0.25">
      <c r="AB1851" s="167" t="s">
        <v>2103</v>
      </c>
      <c r="AC1851" s="167">
        <v>353</v>
      </c>
      <c r="AD1851" s="203">
        <v>43180</v>
      </c>
      <c r="AE1851" s="203">
        <v>0</v>
      </c>
      <c r="AF1851" s="167" t="s">
        <v>3469</v>
      </c>
    </row>
    <row r="1852" spans="28:32" x14ac:dyDescent="0.25">
      <c r="AB1852" s="167" t="s">
        <v>2103</v>
      </c>
      <c r="AC1852" s="167">
        <v>353</v>
      </c>
      <c r="AD1852" s="203">
        <v>43180</v>
      </c>
      <c r="AE1852" s="203">
        <v>0</v>
      </c>
      <c r="AF1852" s="167" t="s">
        <v>3469</v>
      </c>
    </row>
    <row r="1853" spans="28:32" x14ac:dyDescent="0.25">
      <c r="AB1853" s="167" t="s">
        <v>2103</v>
      </c>
      <c r="AC1853" s="167">
        <v>353</v>
      </c>
      <c r="AD1853" s="203">
        <v>43180</v>
      </c>
      <c r="AE1853" s="203">
        <v>0</v>
      </c>
      <c r="AF1853" s="167" t="s">
        <v>3469</v>
      </c>
    </row>
    <row r="1854" spans="28:32" x14ac:dyDescent="0.25">
      <c r="AB1854" s="167" t="s">
        <v>2103</v>
      </c>
      <c r="AC1854" s="167">
        <v>353</v>
      </c>
      <c r="AD1854" s="203">
        <v>43180</v>
      </c>
      <c r="AE1854" s="203">
        <v>0</v>
      </c>
      <c r="AF1854" s="167" t="s">
        <v>3469</v>
      </c>
    </row>
    <row r="1855" spans="28:32" x14ac:dyDescent="0.25">
      <c r="AB1855" s="167" t="s">
        <v>2103</v>
      </c>
      <c r="AC1855" s="167">
        <v>353</v>
      </c>
      <c r="AD1855" s="203">
        <v>43180</v>
      </c>
      <c r="AE1855" s="203">
        <v>0</v>
      </c>
      <c r="AF1855" s="167" t="s">
        <v>3469</v>
      </c>
    </row>
    <row r="1856" spans="28:32" x14ac:dyDescent="0.25">
      <c r="AB1856" s="167" t="s">
        <v>2103</v>
      </c>
      <c r="AC1856" s="167">
        <v>353</v>
      </c>
      <c r="AD1856" s="203">
        <v>43180</v>
      </c>
      <c r="AE1856" s="203">
        <v>0</v>
      </c>
      <c r="AF1856" s="167" t="s">
        <v>3469</v>
      </c>
    </row>
    <row r="1857" spans="28:32" x14ac:dyDescent="0.25">
      <c r="AB1857" s="167" t="s">
        <v>2103</v>
      </c>
      <c r="AC1857" s="167">
        <v>353</v>
      </c>
      <c r="AD1857" s="203">
        <v>43180</v>
      </c>
      <c r="AE1857" s="203">
        <v>0</v>
      </c>
      <c r="AF1857" s="167" t="s">
        <v>3469</v>
      </c>
    </row>
    <row r="1858" spans="28:32" x14ac:dyDescent="0.25">
      <c r="AB1858" s="167" t="s">
        <v>2104</v>
      </c>
      <c r="AC1858" s="167">
        <v>323</v>
      </c>
      <c r="AD1858" s="203">
        <v>43074</v>
      </c>
      <c r="AE1858" s="203">
        <v>43111</v>
      </c>
      <c r="AF1858" s="167" t="s">
        <v>3470</v>
      </c>
    </row>
    <row r="1859" spans="28:32" x14ac:dyDescent="0.25">
      <c r="AB1859" s="167" t="s">
        <v>2104</v>
      </c>
      <c r="AC1859" s="167">
        <v>327</v>
      </c>
      <c r="AD1859" s="203">
        <v>43074</v>
      </c>
      <c r="AE1859" s="203">
        <v>43131</v>
      </c>
      <c r="AF1859" s="167" t="s">
        <v>3470</v>
      </c>
    </row>
    <row r="1860" spans="28:32" x14ac:dyDescent="0.25">
      <c r="AB1860" s="167" t="s">
        <v>2104</v>
      </c>
      <c r="AC1860" s="167">
        <v>327</v>
      </c>
      <c r="AD1860" s="203">
        <v>43074</v>
      </c>
      <c r="AE1860" s="203">
        <v>43131</v>
      </c>
      <c r="AF1860" s="167" t="s">
        <v>3470</v>
      </c>
    </row>
    <row r="1861" spans="28:32" x14ac:dyDescent="0.25">
      <c r="AB1861" s="167" t="s">
        <v>2104</v>
      </c>
      <c r="AC1861" s="167">
        <v>347</v>
      </c>
      <c r="AD1861" s="203">
        <v>43118</v>
      </c>
      <c r="AE1861" s="203">
        <v>43133</v>
      </c>
      <c r="AF1861" s="167" t="s">
        <v>3470</v>
      </c>
    </row>
    <row r="1862" spans="28:32" x14ac:dyDescent="0.25">
      <c r="AB1862" s="167" t="s">
        <v>2104</v>
      </c>
      <c r="AC1862" s="167">
        <v>340</v>
      </c>
      <c r="AD1862" s="203">
        <v>43133</v>
      </c>
      <c r="AE1862" s="203">
        <v>43168</v>
      </c>
      <c r="AF1862" s="167" t="s">
        <v>3470</v>
      </c>
    </row>
    <row r="1863" spans="28:32" x14ac:dyDescent="0.25">
      <c r="AB1863" s="167" t="s">
        <v>2104</v>
      </c>
      <c r="AC1863" s="167">
        <v>340</v>
      </c>
      <c r="AD1863" s="203">
        <v>43133</v>
      </c>
      <c r="AE1863" s="203">
        <v>43168</v>
      </c>
      <c r="AF1863" s="167" t="s">
        <v>3470</v>
      </c>
    </row>
    <row r="1864" spans="28:32" x14ac:dyDescent="0.25">
      <c r="AB1864" s="167" t="s">
        <v>2104</v>
      </c>
      <c r="AC1864" s="167">
        <v>357</v>
      </c>
      <c r="AD1864" s="203">
        <v>43139</v>
      </c>
      <c r="AE1864" s="203">
        <v>43164</v>
      </c>
      <c r="AF1864" s="167" t="s">
        <v>3470</v>
      </c>
    </row>
    <row r="1865" spans="28:32" x14ac:dyDescent="0.25">
      <c r="AB1865" s="167" t="s">
        <v>2104</v>
      </c>
      <c r="AC1865" s="167">
        <v>364</v>
      </c>
      <c r="AD1865" s="203">
        <v>43168</v>
      </c>
      <c r="AE1865" s="203">
        <v>43179</v>
      </c>
      <c r="AF1865" s="167" t="s">
        <v>3470</v>
      </c>
    </row>
    <row r="1866" spans="28:32" x14ac:dyDescent="0.25">
      <c r="AB1866" s="167" t="s">
        <v>2104</v>
      </c>
      <c r="AC1866" s="167">
        <v>353</v>
      </c>
      <c r="AD1866" s="203">
        <v>43180</v>
      </c>
      <c r="AE1866" s="203">
        <v>0</v>
      </c>
      <c r="AF1866" s="167" t="s">
        <v>3469</v>
      </c>
    </row>
    <row r="1867" spans="28:32" x14ac:dyDescent="0.25">
      <c r="AB1867" s="167" t="s">
        <v>2104</v>
      </c>
      <c r="AC1867" s="167">
        <v>353</v>
      </c>
      <c r="AD1867" s="203">
        <v>43180</v>
      </c>
      <c r="AE1867" s="203">
        <v>0</v>
      </c>
      <c r="AF1867" s="167" t="s">
        <v>3469</v>
      </c>
    </row>
    <row r="1868" spans="28:32" x14ac:dyDescent="0.25">
      <c r="AB1868" s="167" t="s">
        <v>2104</v>
      </c>
      <c r="AC1868" s="167">
        <v>353</v>
      </c>
      <c r="AD1868" s="203">
        <v>43180</v>
      </c>
      <c r="AE1868" s="203">
        <v>0</v>
      </c>
      <c r="AF1868" s="167" t="s">
        <v>3469</v>
      </c>
    </row>
    <row r="1869" spans="28:32" x14ac:dyDescent="0.25">
      <c r="AB1869" s="167" t="s">
        <v>2105</v>
      </c>
      <c r="AC1869" s="167">
        <v>323</v>
      </c>
      <c r="AD1869" s="203">
        <v>43074</v>
      </c>
      <c r="AE1869" s="203">
        <v>43111</v>
      </c>
      <c r="AF1869" s="167" t="s">
        <v>3470</v>
      </c>
    </row>
    <row r="1870" spans="28:32" x14ac:dyDescent="0.25">
      <c r="AB1870" s="167" t="s">
        <v>2105</v>
      </c>
      <c r="AC1870" s="167">
        <v>327</v>
      </c>
      <c r="AD1870" s="203">
        <v>43074</v>
      </c>
      <c r="AE1870" s="203">
        <v>43131</v>
      </c>
      <c r="AF1870" s="167" t="s">
        <v>3470</v>
      </c>
    </row>
    <row r="1871" spans="28:32" x14ac:dyDescent="0.25">
      <c r="AB1871" s="167" t="s">
        <v>2105</v>
      </c>
      <c r="AC1871" s="167">
        <v>347</v>
      </c>
      <c r="AD1871" s="203">
        <v>43118</v>
      </c>
      <c r="AE1871" s="203">
        <v>43133</v>
      </c>
      <c r="AF1871" s="167" t="s">
        <v>3470</v>
      </c>
    </row>
    <row r="1872" spans="28:32" x14ac:dyDescent="0.25">
      <c r="AB1872" s="167" t="s">
        <v>2105</v>
      </c>
      <c r="AC1872" s="167">
        <v>357</v>
      </c>
      <c r="AD1872" s="203">
        <v>43139</v>
      </c>
      <c r="AE1872" s="203">
        <v>43164</v>
      </c>
      <c r="AF1872" s="167" t="s">
        <v>3470</v>
      </c>
    </row>
    <row r="1873" spans="28:32" x14ac:dyDescent="0.25">
      <c r="AB1873" s="167" t="s">
        <v>2105</v>
      </c>
      <c r="AC1873" s="167">
        <v>364</v>
      </c>
      <c r="AD1873" s="203">
        <v>43168</v>
      </c>
      <c r="AE1873" s="203">
        <v>43179</v>
      </c>
      <c r="AF1873" s="167" t="s">
        <v>3470</v>
      </c>
    </row>
    <row r="1874" spans="28:32" x14ac:dyDescent="0.25">
      <c r="AB1874" s="167" t="s">
        <v>2105</v>
      </c>
      <c r="AC1874" s="167">
        <v>353</v>
      </c>
      <c r="AD1874" s="203">
        <v>43180</v>
      </c>
      <c r="AE1874" s="203">
        <v>0</v>
      </c>
      <c r="AF1874" s="167" t="s">
        <v>3469</v>
      </c>
    </row>
    <row r="1875" spans="28:32" x14ac:dyDescent="0.25">
      <c r="AB1875" s="167" t="s">
        <v>2105</v>
      </c>
      <c r="AC1875" s="167">
        <v>353</v>
      </c>
      <c r="AD1875" s="203">
        <v>43180</v>
      </c>
      <c r="AE1875" s="203">
        <v>0</v>
      </c>
      <c r="AF1875" s="167" t="s">
        <v>3469</v>
      </c>
    </row>
    <row r="1876" spans="28:32" x14ac:dyDescent="0.25">
      <c r="AB1876" s="167" t="s">
        <v>2105</v>
      </c>
      <c r="AC1876" s="167">
        <v>353</v>
      </c>
      <c r="AD1876" s="203">
        <v>43180</v>
      </c>
      <c r="AE1876" s="203">
        <v>0</v>
      </c>
      <c r="AF1876" s="167" t="s">
        <v>3469</v>
      </c>
    </row>
    <row r="1877" spans="28:32" x14ac:dyDescent="0.25">
      <c r="AB1877" s="167" t="s">
        <v>2105</v>
      </c>
      <c r="AC1877" s="167">
        <v>353</v>
      </c>
      <c r="AD1877" s="203">
        <v>43180</v>
      </c>
      <c r="AE1877" s="203">
        <v>0</v>
      </c>
      <c r="AF1877" s="167" t="s">
        <v>3469</v>
      </c>
    </row>
    <row r="1878" spans="28:32" x14ac:dyDescent="0.25">
      <c r="AB1878" s="167" t="s">
        <v>2105</v>
      </c>
      <c r="AC1878" s="167">
        <v>353</v>
      </c>
      <c r="AD1878" s="203">
        <v>43180</v>
      </c>
      <c r="AE1878" s="203">
        <v>0</v>
      </c>
      <c r="AF1878" s="167" t="s">
        <v>3469</v>
      </c>
    </row>
    <row r="1879" spans="28:32" x14ac:dyDescent="0.25">
      <c r="AB1879" s="167" t="s">
        <v>2105</v>
      </c>
      <c r="AC1879" s="167">
        <v>353</v>
      </c>
      <c r="AD1879" s="203">
        <v>43180</v>
      </c>
      <c r="AE1879" s="203">
        <v>0</v>
      </c>
      <c r="AF1879" s="167" t="s">
        <v>3469</v>
      </c>
    </row>
    <row r="1880" spans="28:32" x14ac:dyDescent="0.25">
      <c r="AB1880" s="167" t="s">
        <v>2105</v>
      </c>
      <c r="AC1880" s="167">
        <v>353</v>
      </c>
      <c r="AD1880" s="203">
        <v>43180</v>
      </c>
      <c r="AE1880" s="203">
        <v>0</v>
      </c>
      <c r="AF1880" s="167" t="s">
        <v>3469</v>
      </c>
    </row>
    <row r="1881" spans="28:32" x14ac:dyDescent="0.25">
      <c r="AB1881" s="167" t="s">
        <v>2105</v>
      </c>
      <c r="AC1881" s="167">
        <v>353</v>
      </c>
      <c r="AD1881" s="203">
        <v>43180</v>
      </c>
      <c r="AE1881" s="203">
        <v>0</v>
      </c>
      <c r="AF1881" s="167" t="s">
        <v>3469</v>
      </c>
    </row>
    <row r="1882" spans="28:32" x14ac:dyDescent="0.25">
      <c r="AB1882" s="167" t="s">
        <v>2105</v>
      </c>
      <c r="AC1882" s="167">
        <v>353</v>
      </c>
      <c r="AD1882" s="203">
        <v>43180</v>
      </c>
      <c r="AE1882" s="203">
        <v>0</v>
      </c>
      <c r="AF1882" s="167" t="s">
        <v>3469</v>
      </c>
    </row>
    <row r="1883" spans="28:32" x14ac:dyDescent="0.25">
      <c r="AB1883" s="167" t="s">
        <v>2105</v>
      </c>
      <c r="AC1883" s="167">
        <v>353</v>
      </c>
      <c r="AD1883" s="203">
        <v>43180</v>
      </c>
      <c r="AE1883" s="203">
        <v>0</v>
      </c>
      <c r="AF1883" s="167" t="s">
        <v>3469</v>
      </c>
    </row>
    <row r="1884" spans="28:32" x14ac:dyDescent="0.25">
      <c r="AB1884" s="167" t="s">
        <v>2105</v>
      </c>
      <c r="AC1884" s="167">
        <v>353</v>
      </c>
      <c r="AD1884" s="203">
        <v>43180</v>
      </c>
      <c r="AE1884" s="203">
        <v>0</v>
      </c>
      <c r="AF1884" s="167" t="s">
        <v>3469</v>
      </c>
    </row>
    <row r="1885" spans="28:32" x14ac:dyDescent="0.25">
      <c r="AB1885" s="167" t="s">
        <v>2105</v>
      </c>
      <c r="AC1885" s="167">
        <v>353</v>
      </c>
      <c r="AD1885" s="203">
        <v>43180</v>
      </c>
      <c r="AE1885" s="203">
        <v>0</v>
      </c>
      <c r="AF1885" s="167" t="s">
        <v>3469</v>
      </c>
    </row>
    <row r="1886" spans="28:32" x14ac:dyDescent="0.25">
      <c r="AB1886" s="167" t="s">
        <v>2105</v>
      </c>
      <c r="AC1886" s="167">
        <v>353</v>
      </c>
      <c r="AD1886" s="203">
        <v>43180</v>
      </c>
      <c r="AE1886" s="203">
        <v>0</v>
      </c>
      <c r="AF1886" s="167" t="s">
        <v>3469</v>
      </c>
    </row>
    <row r="1887" spans="28:32" x14ac:dyDescent="0.25">
      <c r="AB1887" s="167" t="s">
        <v>2105</v>
      </c>
      <c r="AC1887" s="167">
        <v>353</v>
      </c>
      <c r="AD1887" s="203">
        <v>43180</v>
      </c>
      <c r="AE1887" s="203">
        <v>0</v>
      </c>
      <c r="AF1887" s="167" t="s">
        <v>3469</v>
      </c>
    </row>
    <row r="1888" spans="28:32" x14ac:dyDescent="0.25">
      <c r="AB1888" s="167" t="s">
        <v>2105</v>
      </c>
      <c r="AC1888" s="167">
        <v>353</v>
      </c>
      <c r="AD1888" s="203">
        <v>43180</v>
      </c>
      <c r="AE1888" s="203">
        <v>0</v>
      </c>
      <c r="AF1888" s="167" t="s">
        <v>3469</v>
      </c>
    </row>
    <row r="1889" spans="28:32" x14ac:dyDescent="0.25">
      <c r="AB1889" s="167" t="s">
        <v>2107</v>
      </c>
      <c r="AC1889" s="167">
        <v>323</v>
      </c>
      <c r="AD1889" s="203">
        <v>43074</v>
      </c>
      <c r="AE1889" s="203">
        <v>43111</v>
      </c>
      <c r="AF1889" s="167" t="s">
        <v>3470</v>
      </c>
    </row>
    <row r="1890" spans="28:32" x14ac:dyDescent="0.25">
      <c r="AB1890" s="167" t="s">
        <v>2107</v>
      </c>
      <c r="AC1890" s="167">
        <v>327</v>
      </c>
      <c r="AD1890" s="203">
        <v>43074</v>
      </c>
      <c r="AE1890" s="203">
        <v>43131</v>
      </c>
      <c r="AF1890" s="167" t="s">
        <v>3470</v>
      </c>
    </row>
    <row r="1891" spans="28:32" x14ac:dyDescent="0.25">
      <c r="AB1891" s="167" t="s">
        <v>2107</v>
      </c>
      <c r="AC1891" s="167">
        <v>347</v>
      </c>
      <c r="AD1891" s="203">
        <v>43118</v>
      </c>
      <c r="AE1891" s="203">
        <v>43133</v>
      </c>
      <c r="AF1891" s="167" t="s">
        <v>3470</v>
      </c>
    </row>
    <row r="1892" spans="28:32" x14ac:dyDescent="0.25">
      <c r="AB1892" s="167" t="s">
        <v>2107</v>
      </c>
      <c r="AC1892" s="167">
        <v>340</v>
      </c>
      <c r="AD1892" s="203">
        <v>43133</v>
      </c>
      <c r="AE1892" s="203">
        <v>43168</v>
      </c>
      <c r="AF1892" s="167" t="s">
        <v>3470</v>
      </c>
    </row>
    <row r="1893" spans="28:32" x14ac:dyDescent="0.25">
      <c r="AB1893" s="167" t="s">
        <v>2107</v>
      </c>
      <c r="AC1893" s="167">
        <v>340</v>
      </c>
      <c r="AD1893" s="203">
        <v>43133</v>
      </c>
      <c r="AE1893" s="203">
        <v>43168</v>
      </c>
      <c r="AF1893" s="167" t="s">
        <v>3470</v>
      </c>
    </row>
    <row r="1894" spans="28:32" x14ac:dyDescent="0.25">
      <c r="AB1894" s="167" t="s">
        <v>2107</v>
      </c>
      <c r="AC1894" s="167">
        <v>374</v>
      </c>
      <c r="AD1894" s="203">
        <v>43195</v>
      </c>
      <c r="AE1894" s="203">
        <v>0</v>
      </c>
      <c r="AF1894" s="167" t="s">
        <v>3469</v>
      </c>
    </row>
    <row r="1895" spans="28:32" x14ac:dyDescent="0.25">
      <c r="AB1895" s="167" t="s">
        <v>2108</v>
      </c>
      <c r="AC1895" s="167">
        <v>347</v>
      </c>
      <c r="AD1895" s="203">
        <v>43118</v>
      </c>
      <c r="AE1895" s="203">
        <v>43133</v>
      </c>
      <c r="AF1895" s="167" t="s">
        <v>3470</v>
      </c>
    </row>
    <row r="1896" spans="28:32" x14ac:dyDescent="0.25">
      <c r="AB1896" s="167" t="s">
        <v>2108</v>
      </c>
      <c r="AC1896" s="167">
        <v>340</v>
      </c>
      <c r="AD1896" s="203">
        <v>43133</v>
      </c>
      <c r="AE1896" s="203">
        <v>43168</v>
      </c>
      <c r="AF1896" s="167" t="s">
        <v>3470</v>
      </c>
    </row>
    <row r="1897" spans="28:32" x14ac:dyDescent="0.25">
      <c r="AB1897" s="167" t="s">
        <v>2108</v>
      </c>
      <c r="AC1897" s="167">
        <v>340</v>
      </c>
      <c r="AD1897" s="203">
        <v>43133</v>
      </c>
      <c r="AE1897" s="203">
        <v>43168</v>
      </c>
      <c r="AF1897" s="167" t="s">
        <v>3470</v>
      </c>
    </row>
    <row r="1898" spans="28:32" x14ac:dyDescent="0.25">
      <c r="AB1898" s="167" t="s">
        <v>2108</v>
      </c>
      <c r="AC1898" s="167">
        <v>374</v>
      </c>
      <c r="AD1898" s="203">
        <v>43195</v>
      </c>
      <c r="AE1898" s="203">
        <v>0</v>
      </c>
      <c r="AF1898" s="167" t="s">
        <v>3469</v>
      </c>
    </row>
    <row r="1899" spans="28:32" x14ac:dyDescent="0.25">
      <c r="AB1899" s="167" t="s">
        <v>2109</v>
      </c>
      <c r="AC1899" s="167">
        <v>347</v>
      </c>
      <c r="AD1899" s="203">
        <v>43118</v>
      </c>
      <c r="AE1899" s="203">
        <v>43133</v>
      </c>
      <c r="AF1899" s="167" t="s">
        <v>3470</v>
      </c>
    </row>
    <row r="1900" spans="28:32" x14ac:dyDescent="0.25">
      <c r="AB1900" s="167" t="s">
        <v>2109</v>
      </c>
      <c r="AC1900" s="167">
        <v>340</v>
      </c>
      <c r="AD1900" s="203">
        <v>43133</v>
      </c>
      <c r="AE1900" s="203">
        <v>43168</v>
      </c>
      <c r="AF1900" s="167" t="s">
        <v>3470</v>
      </c>
    </row>
    <row r="1901" spans="28:32" x14ac:dyDescent="0.25">
      <c r="AB1901" s="167" t="s">
        <v>2109</v>
      </c>
      <c r="AC1901" s="167">
        <v>357</v>
      </c>
      <c r="AD1901" s="203">
        <v>43139</v>
      </c>
      <c r="AE1901" s="203">
        <v>43164</v>
      </c>
      <c r="AF1901" s="167" t="s">
        <v>3470</v>
      </c>
    </row>
    <row r="1902" spans="28:32" x14ac:dyDescent="0.25">
      <c r="AB1902" s="167" t="s">
        <v>2109</v>
      </c>
      <c r="AC1902" s="167">
        <v>353</v>
      </c>
      <c r="AD1902" s="203">
        <v>43180</v>
      </c>
      <c r="AE1902" s="203">
        <v>0</v>
      </c>
      <c r="AF1902" s="167" t="s">
        <v>3469</v>
      </c>
    </row>
    <row r="1903" spans="28:32" x14ac:dyDescent="0.25">
      <c r="AB1903" s="167" t="s">
        <v>2111</v>
      </c>
      <c r="AC1903" s="167">
        <v>347</v>
      </c>
      <c r="AD1903" s="203">
        <v>43118</v>
      </c>
      <c r="AE1903" s="203">
        <v>43133</v>
      </c>
      <c r="AF1903" s="167" t="s">
        <v>3470</v>
      </c>
    </row>
    <row r="1904" spans="28:32" x14ac:dyDescent="0.25">
      <c r="AB1904" s="167" t="s">
        <v>2111</v>
      </c>
      <c r="AC1904" s="167">
        <v>357</v>
      </c>
      <c r="AD1904" s="203">
        <v>43139</v>
      </c>
      <c r="AE1904" s="203">
        <v>43164</v>
      </c>
      <c r="AF1904" s="167" t="s">
        <v>3470</v>
      </c>
    </row>
    <row r="1905" spans="28:32" x14ac:dyDescent="0.25">
      <c r="AB1905" s="167" t="s">
        <v>2111</v>
      </c>
      <c r="AC1905" s="167">
        <v>353</v>
      </c>
      <c r="AD1905" s="203">
        <v>43180</v>
      </c>
      <c r="AE1905" s="203">
        <v>0</v>
      </c>
      <c r="AF1905" s="167" t="s">
        <v>3469</v>
      </c>
    </row>
    <row r="1906" spans="28:32" x14ac:dyDescent="0.25">
      <c r="AB1906" s="167" t="s">
        <v>2111</v>
      </c>
      <c r="AC1906" s="167">
        <v>353</v>
      </c>
      <c r="AD1906" s="203">
        <v>43180</v>
      </c>
      <c r="AE1906" s="203">
        <v>0</v>
      </c>
      <c r="AF1906" s="167" t="s">
        <v>3469</v>
      </c>
    </row>
    <row r="1907" spans="28:32" x14ac:dyDescent="0.25">
      <c r="AB1907" s="167" t="s">
        <v>2111</v>
      </c>
      <c r="AC1907" s="167">
        <v>353</v>
      </c>
      <c r="AD1907" s="203">
        <v>43180</v>
      </c>
      <c r="AE1907" s="203">
        <v>0</v>
      </c>
      <c r="AF1907" s="167" t="s">
        <v>3469</v>
      </c>
    </row>
    <row r="1908" spans="28:32" x14ac:dyDescent="0.25">
      <c r="AB1908" s="167" t="s">
        <v>2113</v>
      </c>
      <c r="AC1908" s="167">
        <v>347</v>
      </c>
      <c r="AD1908" s="203">
        <v>43118</v>
      </c>
      <c r="AE1908" s="203">
        <v>43133</v>
      </c>
      <c r="AF1908" s="167" t="s">
        <v>3470</v>
      </c>
    </row>
    <row r="1909" spans="28:32" x14ac:dyDescent="0.25">
      <c r="AB1909" s="167" t="s">
        <v>2113</v>
      </c>
      <c r="AC1909" s="167">
        <v>340</v>
      </c>
      <c r="AD1909" s="203">
        <v>43133</v>
      </c>
      <c r="AE1909" s="203">
        <v>43168</v>
      </c>
      <c r="AF1909" s="167" t="s">
        <v>3470</v>
      </c>
    </row>
    <row r="1910" spans="28:32" x14ac:dyDescent="0.25">
      <c r="AB1910" s="167" t="s">
        <v>2113</v>
      </c>
      <c r="AC1910" s="167">
        <v>364</v>
      </c>
      <c r="AD1910" s="203">
        <v>43168</v>
      </c>
      <c r="AE1910" s="203">
        <v>43179</v>
      </c>
      <c r="AF1910" s="167" t="s">
        <v>3470</v>
      </c>
    </row>
    <row r="1911" spans="28:32" x14ac:dyDescent="0.25">
      <c r="AB1911" s="167" t="s">
        <v>2113</v>
      </c>
      <c r="AC1911" s="167">
        <v>353</v>
      </c>
      <c r="AD1911" s="203">
        <v>43180</v>
      </c>
      <c r="AE1911" s="203">
        <v>0</v>
      </c>
      <c r="AF1911" s="167" t="s">
        <v>3469</v>
      </c>
    </row>
    <row r="1912" spans="28:32" x14ac:dyDescent="0.25">
      <c r="AB1912" s="167" t="s">
        <v>2115</v>
      </c>
      <c r="AC1912" s="167">
        <v>347</v>
      </c>
      <c r="AD1912" s="203">
        <v>43118</v>
      </c>
      <c r="AE1912" s="203">
        <v>43133</v>
      </c>
      <c r="AF1912" s="167" t="s">
        <v>3470</v>
      </c>
    </row>
    <row r="1913" spans="28:32" x14ac:dyDescent="0.25">
      <c r="AB1913" s="167" t="s">
        <v>2115</v>
      </c>
      <c r="AC1913" s="167">
        <v>340</v>
      </c>
      <c r="AD1913" s="203">
        <v>43133</v>
      </c>
      <c r="AE1913" s="203">
        <v>43168</v>
      </c>
      <c r="AF1913" s="167" t="s">
        <v>3470</v>
      </c>
    </row>
    <row r="1914" spans="28:32" x14ac:dyDescent="0.25">
      <c r="AB1914" s="167" t="s">
        <v>2115</v>
      </c>
      <c r="AC1914" s="167">
        <v>357</v>
      </c>
      <c r="AD1914" s="203">
        <v>43139</v>
      </c>
      <c r="AE1914" s="203">
        <v>43164</v>
      </c>
      <c r="AF1914" s="167" t="s">
        <v>3470</v>
      </c>
    </row>
    <row r="1915" spans="28:32" x14ac:dyDescent="0.25">
      <c r="AB1915" s="167" t="s">
        <v>2115</v>
      </c>
      <c r="AC1915" s="167">
        <v>353</v>
      </c>
      <c r="AD1915" s="203">
        <v>43180</v>
      </c>
      <c r="AE1915" s="203">
        <v>0</v>
      </c>
      <c r="AF1915" s="167" t="s">
        <v>3469</v>
      </c>
    </row>
    <row r="1916" spans="28:32" x14ac:dyDescent="0.25">
      <c r="AB1916" s="167" t="s">
        <v>2115</v>
      </c>
      <c r="AC1916" s="167">
        <v>353</v>
      </c>
      <c r="AD1916" s="203">
        <v>43180</v>
      </c>
      <c r="AE1916" s="203">
        <v>0</v>
      </c>
      <c r="AF1916" s="167" t="s">
        <v>3469</v>
      </c>
    </row>
    <row r="1917" spans="28:32" x14ac:dyDescent="0.25">
      <c r="AB1917" s="167" t="s">
        <v>2116</v>
      </c>
      <c r="AC1917" s="167">
        <v>323</v>
      </c>
      <c r="AD1917" s="203">
        <v>43074</v>
      </c>
      <c r="AE1917" s="203">
        <v>43111</v>
      </c>
      <c r="AF1917" s="167" t="s">
        <v>3470</v>
      </c>
    </row>
    <row r="1918" spans="28:32" x14ac:dyDescent="0.25">
      <c r="AB1918" s="167" t="s">
        <v>2116</v>
      </c>
      <c r="AC1918" s="167">
        <v>327</v>
      </c>
      <c r="AD1918" s="203">
        <v>43074</v>
      </c>
      <c r="AE1918" s="203">
        <v>43131</v>
      </c>
      <c r="AF1918" s="167" t="s">
        <v>3470</v>
      </c>
    </row>
    <row r="1919" spans="28:32" x14ac:dyDescent="0.25">
      <c r="AB1919" s="167" t="s">
        <v>2116</v>
      </c>
      <c r="AC1919" s="167">
        <v>347</v>
      </c>
      <c r="AD1919" s="203">
        <v>43118</v>
      </c>
      <c r="AE1919" s="203">
        <v>43133</v>
      </c>
      <c r="AF1919" s="167" t="s">
        <v>3470</v>
      </c>
    </row>
    <row r="1920" spans="28:32" x14ac:dyDescent="0.25">
      <c r="AB1920" s="167" t="s">
        <v>2116</v>
      </c>
      <c r="AC1920" s="167">
        <v>340</v>
      </c>
      <c r="AD1920" s="203">
        <v>43133</v>
      </c>
      <c r="AE1920" s="203">
        <v>43168</v>
      </c>
      <c r="AF1920" s="167" t="s">
        <v>3470</v>
      </c>
    </row>
    <row r="1921" spans="28:32" x14ac:dyDescent="0.25">
      <c r="AB1921" s="167" t="s">
        <v>2116</v>
      </c>
      <c r="AC1921" s="167">
        <v>340</v>
      </c>
      <c r="AD1921" s="203">
        <v>43133</v>
      </c>
      <c r="AE1921" s="203">
        <v>43168</v>
      </c>
      <c r="AF1921" s="167" t="s">
        <v>3470</v>
      </c>
    </row>
    <row r="1922" spans="28:32" x14ac:dyDescent="0.25">
      <c r="AB1922" s="167" t="s">
        <v>2116</v>
      </c>
      <c r="AC1922" s="167">
        <v>374</v>
      </c>
      <c r="AD1922" s="203">
        <v>43195</v>
      </c>
      <c r="AE1922" s="203">
        <v>0</v>
      </c>
      <c r="AF1922" s="167" t="s">
        <v>3469</v>
      </c>
    </row>
    <row r="1923" spans="28:32" x14ac:dyDescent="0.25">
      <c r="AB1923" s="167" t="s">
        <v>2118</v>
      </c>
      <c r="AC1923" s="167">
        <v>357</v>
      </c>
      <c r="AD1923" s="203">
        <v>43139</v>
      </c>
      <c r="AE1923" s="203">
        <v>43164</v>
      </c>
      <c r="AF1923" s="167" t="s">
        <v>3470</v>
      </c>
    </row>
    <row r="1924" spans="28:32" x14ac:dyDescent="0.25">
      <c r="AB1924" s="167" t="s">
        <v>2118</v>
      </c>
      <c r="AC1924" s="167">
        <v>364</v>
      </c>
      <c r="AD1924" s="203">
        <v>43168</v>
      </c>
      <c r="AE1924" s="203">
        <v>43179</v>
      </c>
      <c r="AF1924" s="167" t="s">
        <v>3470</v>
      </c>
    </row>
    <row r="1925" spans="28:32" x14ac:dyDescent="0.25">
      <c r="AB1925" s="167" t="s">
        <v>2118</v>
      </c>
      <c r="AC1925" s="167">
        <v>353</v>
      </c>
      <c r="AD1925" s="203">
        <v>43180</v>
      </c>
      <c r="AE1925" s="203">
        <v>0</v>
      </c>
      <c r="AF1925" s="167" t="s">
        <v>3469</v>
      </c>
    </row>
    <row r="1926" spans="28:32" x14ac:dyDescent="0.25">
      <c r="AB1926" s="167" t="s">
        <v>2118</v>
      </c>
      <c r="AC1926" s="167">
        <v>353</v>
      </c>
      <c r="AD1926" s="203">
        <v>43180</v>
      </c>
      <c r="AE1926" s="203">
        <v>0</v>
      </c>
      <c r="AF1926" s="167" t="s">
        <v>3469</v>
      </c>
    </row>
    <row r="1927" spans="28:32" x14ac:dyDescent="0.25">
      <c r="AB1927" s="167" t="s">
        <v>2119</v>
      </c>
      <c r="AC1927" s="167">
        <v>327</v>
      </c>
      <c r="AD1927" s="203">
        <v>43074</v>
      </c>
      <c r="AE1927" s="203">
        <v>43131</v>
      </c>
      <c r="AF1927" s="167" t="s">
        <v>3470</v>
      </c>
    </row>
    <row r="1928" spans="28:32" x14ac:dyDescent="0.25">
      <c r="AB1928" s="167" t="s">
        <v>2119</v>
      </c>
      <c r="AC1928" s="167">
        <v>327</v>
      </c>
      <c r="AD1928" s="203">
        <v>43074</v>
      </c>
      <c r="AE1928" s="203">
        <v>43131</v>
      </c>
      <c r="AF1928" s="167" t="s">
        <v>3470</v>
      </c>
    </row>
    <row r="1929" spans="28:32" x14ac:dyDescent="0.25">
      <c r="AB1929" s="167" t="s">
        <v>2119</v>
      </c>
      <c r="AC1929" s="167">
        <v>327</v>
      </c>
      <c r="AD1929" s="203">
        <v>43074</v>
      </c>
      <c r="AE1929" s="203">
        <v>43131</v>
      </c>
      <c r="AF1929" s="167" t="s">
        <v>3470</v>
      </c>
    </row>
    <row r="1930" spans="28:32" x14ac:dyDescent="0.25">
      <c r="AB1930" s="167" t="s">
        <v>2119</v>
      </c>
      <c r="AC1930" s="167">
        <v>335</v>
      </c>
      <c r="AD1930" s="203">
        <v>43133</v>
      </c>
      <c r="AE1930" s="203">
        <v>43147</v>
      </c>
      <c r="AF1930" s="167" t="s">
        <v>3470</v>
      </c>
    </row>
    <row r="1931" spans="28:32" x14ac:dyDescent="0.25">
      <c r="AB1931" s="167" t="s">
        <v>2119</v>
      </c>
      <c r="AC1931" s="167">
        <v>340</v>
      </c>
      <c r="AD1931" s="203">
        <v>43133</v>
      </c>
      <c r="AE1931" s="203">
        <v>43168</v>
      </c>
      <c r="AF1931" s="167" t="s">
        <v>3470</v>
      </c>
    </row>
    <row r="1932" spans="28:32" x14ac:dyDescent="0.25">
      <c r="AB1932" s="167" t="s">
        <v>2119</v>
      </c>
      <c r="AC1932" s="167">
        <v>357</v>
      </c>
      <c r="AD1932" s="203">
        <v>43139</v>
      </c>
      <c r="AE1932" s="203">
        <v>43164</v>
      </c>
      <c r="AF1932" s="167" t="s">
        <v>3470</v>
      </c>
    </row>
    <row r="1933" spans="28:32" x14ac:dyDescent="0.25">
      <c r="AB1933" s="167" t="s">
        <v>2119</v>
      </c>
      <c r="AC1933" s="167">
        <v>364</v>
      </c>
      <c r="AD1933" s="203">
        <v>43168</v>
      </c>
      <c r="AE1933" s="203">
        <v>43179</v>
      </c>
      <c r="AF1933" s="167" t="s">
        <v>3470</v>
      </c>
    </row>
    <row r="1934" spans="28:32" x14ac:dyDescent="0.25">
      <c r="AB1934" s="167" t="s">
        <v>2119</v>
      </c>
      <c r="AC1934" s="167">
        <v>353</v>
      </c>
      <c r="AD1934" s="203">
        <v>43180</v>
      </c>
      <c r="AE1934" s="203">
        <v>0</v>
      </c>
      <c r="AF1934" s="167" t="s">
        <v>3469</v>
      </c>
    </row>
    <row r="1935" spans="28:32" x14ac:dyDescent="0.25">
      <c r="AB1935" s="167" t="s">
        <v>2119</v>
      </c>
      <c r="AC1935" s="167">
        <v>353</v>
      </c>
      <c r="AD1935" s="203">
        <v>43180</v>
      </c>
      <c r="AE1935" s="203">
        <v>0</v>
      </c>
      <c r="AF1935" s="167" t="s">
        <v>3469</v>
      </c>
    </row>
    <row r="1936" spans="28:32" x14ac:dyDescent="0.25">
      <c r="AB1936" s="167" t="s">
        <v>2119</v>
      </c>
      <c r="AC1936" s="167">
        <v>353</v>
      </c>
      <c r="AD1936" s="203">
        <v>43180</v>
      </c>
      <c r="AE1936" s="203">
        <v>0</v>
      </c>
      <c r="AF1936" s="167" t="s">
        <v>3469</v>
      </c>
    </row>
    <row r="1937" spans="28:32" x14ac:dyDescent="0.25">
      <c r="AB1937" s="167" t="s">
        <v>2119</v>
      </c>
      <c r="AC1937" s="167">
        <v>353</v>
      </c>
      <c r="AD1937" s="203">
        <v>43180</v>
      </c>
      <c r="AE1937" s="203">
        <v>0</v>
      </c>
      <c r="AF1937" s="167" t="s">
        <v>3469</v>
      </c>
    </row>
    <row r="1938" spans="28:32" x14ac:dyDescent="0.25">
      <c r="AB1938" s="167" t="s">
        <v>2119</v>
      </c>
      <c r="AC1938" s="167">
        <v>353</v>
      </c>
      <c r="AD1938" s="203">
        <v>43180</v>
      </c>
      <c r="AE1938" s="203">
        <v>0</v>
      </c>
      <c r="AF1938" s="167" t="s">
        <v>3469</v>
      </c>
    </row>
    <row r="1939" spans="28:32" x14ac:dyDescent="0.25">
      <c r="AB1939" s="167" t="s">
        <v>2119</v>
      </c>
      <c r="AC1939" s="167">
        <v>353</v>
      </c>
      <c r="AD1939" s="203">
        <v>43180</v>
      </c>
      <c r="AE1939" s="203">
        <v>0</v>
      </c>
      <c r="AF1939" s="167" t="s">
        <v>3469</v>
      </c>
    </row>
    <row r="1940" spans="28:32" x14ac:dyDescent="0.25">
      <c r="AB1940" s="167" t="s">
        <v>2121</v>
      </c>
      <c r="AC1940" s="167">
        <v>323</v>
      </c>
      <c r="AD1940" s="203">
        <v>43074</v>
      </c>
      <c r="AE1940" s="203">
        <v>43111</v>
      </c>
      <c r="AF1940" s="167" t="s">
        <v>3470</v>
      </c>
    </row>
    <row r="1941" spans="28:32" x14ac:dyDescent="0.25">
      <c r="AB1941" s="167" t="s">
        <v>2121</v>
      </c>
      <c r="AC1941" s="167">
        <v>347</v>
      </c>
      <c r="AD1941" s="203">
        <v>43118</v>
      </c>
      <c r="AE1941" s="203">
        <v>43133</v>
      </c>
      <c r="AF1941" s="167" t="s">
        <v>3470</v>
      </c>
    </row>
    <row r="1942" spans="28:32" x14ac:dyDescent="0.25">
      <c r="AB1942" s="167" t="s">
        <v>2121</v>
      </c>
      <c r="AC1942" s="167">
        <v>335</v>
      </c>
      <c r="AD1942" s="203">
        <v>43133</v>
      </c>
      <c r="AE1942" s="203">
        <v>43147</v>
      </c>
      <c r="AF1942" s="167" t="s">
        <v>3470</v>
      </c>
    </row>
    <row r="1943" spans="28:32" x14ac:dyDescent="0.25">
      <c r="AB1943" s="167" t="s">
        <v>2121</v>
      </c>
      <c r="AC1943" s="167">
        <v>340</v>
      </c>
      <c r="AD1943" s="203">
        <v>43133</v>
      </c>
      <c r="AE1943" s="203">
        <v>43168</v>
      </c>
      <c r="AF1943" s="167" t="s">
        <v>3470</v>
      </c>
    </row>
    <row r="1944" spans="28:32" x14ac:dyDescent="0.25">
      <c r="AB1944" s="167" t="s">
        <v>2121</v>
      </c>
      <c r="AC1944" s="167">
        <v>340</v>
      </c>
      <c r="AD1944" s="203">
        <v>43133</v>
      </c>
      <c r="AE1944" s="203">
        <v>43168</v>
      </c>
      <c r="AF1944" s="167" t="s">
        <v>3470</v>
      </c>
    </row>
    <row r="1945" spans="28:32" x14ac:dyDescent="0.25">
      <c r="AB1945" s="167" t="s">
        <v>2121</v>
      </c>
      <c r="AC1945" s="167">
        <v>353</v>
      </c>
      <c r="AD1945" s="203">
        <v>43180</v>
      </c>
      <c r="AE1945" s="203">
        <v>0</v>
      </c>
      <c r="AF1945" s="167" t="s">
        <v>3469</v>
      </c>
    </row>
    <row r="1946" spans="28:32" x14ac:dyDescent="0.25">
      <c r="AB1946" s="167" t="s">
        <v>2121</v>
      </c>
      <c r="AC1946" s="167">
        <v>353</v>
      </c>
      <c r="AD1946" s="203">
        <v>43180</v>
      </c>
      <c r="AE1946" s="203">
        <v>0</v>
      </c>
      <c r="AF1946" s="167" t="s">
        <v>3469</v>
      </c>
    </row>
    <row r="1947" spans="28:32" x14ac:dyDescent="0.25">
      <c r="AB1947" s="167" t="s">
        <v>2123</v>
      </c>
      <c r="AC1947" s="167">
        <v>357</v>
      </c>
      <c r="AD1947" s="203">
        <v>43139</v>
      </c>
      <c r="AE1947" s="203">
        <v>43164</v>
      </c>
      <c r="AF1947" s="167" t="s">
        <v>3470</v>
      </c>
    </row>
    <row r="1948" spans="28:32" x14ac:dyDescent="0.25">
      <c r="AB1948" s="167" t="s">
        <v>2123</v>
      </c>
      <c r="AC1948" s="167">
        <v>353</v>
      </c>
      <c r="AD1948" s="203">
        <v>43180</v>
      </c>
      <c r="AE1948" s="203">
        <v>0</v>
      </c>
      <c r="AF1948" s="167" t="s">
        <v>3469</v>
      </c>
    </row>
    <row r="1949" spans="28:32" x14ac:dyDescent="0.25">
      <c r="AB1949" s="167" t="s">
        <v>2124</v>
      </c>
      <c r="AC1949" s="167">
        <v>327</v>
      </c>
      <c r="AD1949" s="203">
        <v>43074</v>
      </c>
      <c r="AE1949" s="203">
        <v>43131</v>
      </c>
      <c r="AF1949" s="167" t="s">
        <v>3470</v>
      </c>
    </row>
    <row r="1950" spans="28:32" x14ac:dyDescent="0.25">
      <c r="AB1950" s="167" t="s">
        <v>2124</v>
      </c>
      <c r="AC1950" s="167">
        <v>364</v>
      </c>
      <c r="AD1950" s="203">
        <v>43168</v>
      </c>
      <c r="AE1950" s="203">
        <v>43179</v>
      </c>
      <c r="AF1950" s="167" t="s">
        <v>3470</v>
      </c>
    </row>
    <row r="1951" spans="28:32" x14ac:dyDescent="0.25">
      <c r="AB1951" s="167" t="s">
        <v>2124</v>
      </c>
      <c r="AC1951" s="167">
        <v>353</v>
      </c>
      <c r="AD1951" s="203">
        <v>43180</v>
      </c>
      <c r="AE1951" s="203">
        <v>0</v>
      </c>
      <c r="AF1951" s="167" t="s">
        <v>3469</v>
      </c>
    </row>
    <row r="1952" spans="28:32" x14ac:dyDescent="0.25">
      <c r="AB1952" s="167" t="s">
        <v>2126</v>
      </c>
      <c r="AC1952" s="167">
        <v>327</v>
      </c>
      <c r="AD1952" s="203">
        <v>43074</v>
      </c>
      <c r="AE1952" s="203">
        <v>43131</v>
      </c>
      <c r="AF1952" s="167" t="s">
        <v>3470</v>
      </c>
    </row>
    <row r="1953" spans="28:32" x14ac:dyDescent="0.25">
      <c r="AB1953" s="167" t="s">
        <v>2126</v>
      </c>
      <c r="AC1953" s="167">
        <v>347</v>
      </c>
      <c r="AD1953" s="203">
        <v>43118</v>
      </c>
      <c r="AE1953" s="203">
        <v>43133</v>
      </c>
      <c r="AF1953" s="167" t="s">
        <v>3470</v>
      </c>
    </row>
    <row r="1954" spans="28:32" x14ac:dyDescent="0.25">
      <c r="AB1954" s="167" t="s">
        <v>2126</v>
      </c>
      <c r="AC1954" s="167">
        <v>340</v>
      </c>
      <c r="AD1954" s="203">
        <v>43133</v>
      </c>
      <c r="AE1954" s="203">
        <v>43168</v>
      </c>
      <c r="AF1954" s="167" t="s">
        <v>3470</v>
      </c>
    </row>
    <row r="1955" spans="28:32" x14ac:dyDescent="0.25">
      <c r="AB1955" s="167" t="s">
        <v>2126</v>
      </c>
      <c r="AC1955" s="167">
        <v>340</v>
      </c>
      <c r="AD1955" s="203">
        <v>43133</v>
      </c>
      <c r="AE1955" s="203">
        <v>43168</v>
      </c>
      <c r="AF1955" s="167" t="s">
        <v>3470</v>
      </c>
    </row>
    <row r="1956" spans="28:32" x14ac:dyDescent="0.25">
      <c r="AB1956" s="167" t="s">
        <v>2126</v>
      </c>
      <c r="AC1956" s="167">
        <v>353</v>
      </c>
      <c r="AD1956" s="203">
        <v>43180</v>
      </c>
      <c r="AE1956" s="203">
        <v>0</v>
      </c>
      <c r="AF1956" s="167" t="s">
        <v>3469</v>
      </c>
    </row>
    <row r="1957" spans="28:32" x14ac:dyDescent="0.25">
      <c r="AB1957" s="167" t="s">
        <v>2127</v>
      </c>
      <c r="AC1957" s="167">
        <v>327</v>
      </c>
      <c r="AD1957" s="203">
        <v>43074</v>
      </c>
      <c r="AE1957" s="203">
        <v>43131</v>
      </c>
      <c r="AF1957" s="167" t="s">
        <v>3470</v>
      </c>
    </row>
    <row r="1958" spans="28:32" x14ac:dyDescent="0.25">
      <c r="AB1958" s="167" t="s">
        <v>2127</v>
      </c>
      <c r="AC1958" s="167">
        <v>347</v>
      </c>
      <c r="AD1958" s="203">
        <v>43118</v>
      </c>
      <c r="AE1958" s="203">
        <v>43133</v>
      </c>
      <c r="AF1958" s="167" t="s">
        <v>3470</v>
      </c>
    </row>
    <row r="1959" spans="28:32" x14ac:dyDescent="0.25">
      <c r="AB1959" s="167" t="s">
        <v>2127</v>
      </c>
      <c r="AC1959" s="167">
        <v>340</v>
      </c>
      <c r="AD1959" s="203">
        <v>43133</v>
      </c>
      <c r="AE1959" s="203">
        <v>43168</v>
      </c>
      <c r="AF1959" s="167" t="s">
        <v>3470</v>
      </c>
    </row>
    <row r="1960" spans="28:32" x14ac:dyDescent="0.25">
      <c r="AB1960" s="167" t="s">
        <v>2128</v>
      </c>
      <c r="AC1960" s="167">
        <v>323</v>
      </c>
      <c r="AD1960" s="203">
        <v>43074</v>
      </c>
      <c r="AE1960" s="203">
        <v>43111</v>
      </c>
      <c r="AF1960" s="167" t="s">
        <v>3470</v>
      </c>
    </row>
    <row r="1961" spans="28:32" x14ac:dyDescent="0.25">
      <c r="AB1961" s="167" t="s">
        <v>2128</v>
      </c>
      <c r="AC1961" s="167">
        <v>347</v>
      </c>
      <c r="AD1961" s="203">
        <v>43118</v>
      </c>
      <c r="AE1961" s="203">
        <v>43133</v>
      </c>
      <c r="AF1961" s="167" t="s">
        <v>3470</v>
      </c>
    </row>
    <row r="1962" spans="28:32" x14ac:dyDescent="0.25">
      <c r="AB1962" s="167" t="s">
        <v>2128</v>
      </c>
      <c r="AC1962" s="167">
        <v>340</v>
      </c>
      <c r="AD1962" s="203">
        <v>43133</v>
      </c>
      <c r="AE1962" s="203">
        <v>43168</v>
      </c>
      <c r="AF1962" s="167" t="s">
        <v>3470</v>
      </c>
    </row>
    <row r="1963" spans="28:32" x14ac:dyDescent="0.25">
      <c r="AB1963" s="167" t="s">
        <v>2128</v>
      </c>
      <c r="AC1963" s="167">
        <v>340</v>
      </c>
      <c r="AD1963" s="203">
        <v>43133</v>
      </c>
      <c r="AE1963" s="203">
        <v>43168</v>
      </c>
      <c r="AF1963" s="167" t="s">
        <v>3470</v>
      </c>
    </row>
    <row r="1964" spans="28:32" x14ac:dyDescent="0.25">
      <c r="AB1964" s="167" t="s">
        <v>2128</v>
      </c>
      <c r="AC1964" s="167">
        <v>357</v>
      </c>
      <c r="AD1964" s="203">
        <v>43139</v>
      </c>
      <c r="AE1964" s="203">
        <v>43164</v>
      </c>
      <c r="AF1964" s="167" t="s">
        <v>3470</v>
      </c>
    </row>
    <row r="1965" spans="28:32" x14ac:dyDescent="0.25">
      <c r="AB1965" s="167" t="s">
        <v>2128</v>
      </c>
      <c r="AC1965" s="167">
        <v>364</v>
      </c>
      <c r="AD1965" s="203">
        <v>43168</v>
      </c>
      <c r="AE1965" s="203">
        <v>43179</v>
      </c>
      <c r="AF1965" s="167" t="s">
        <v>3470</v>
      </c>
    </row>
    <row r="1966" spans="28:32" x14ac:dyDescent="0.25">
      <c r="AB1966" s="167" t="s">
        <v>2128</v>
      </c>
      <c r="AC1966" s="167">
        <v>353</v>
      </c>
      <c r="AD1966" s="203">
        <v>43180</v>
      </c>
      <c r="AE1966" s="203">
        <v>0</v>
      </c>
      <c r="AF1966" s="167" t="s">
        <v>3469</v>
      </c>
    </row>
    <row r="1967" spans="28:32" x14ac:dyDescent="0.25">
      <c r="AB1967" s="167" t="s">
        <v>2128</v>
      </c>
      <c r="AC1967" s="167">
        <v>353</v>
      </c>
      <c r="AD1967" s="203">
        <v>43180</v>
      </c>
      <c r="AE1967" s="203">
        <v>0</v>
      </c>
      <c r="AF1967" s="167" t="s">
        <v>3469</v>
      </c>
    </row>
    <row r="1968" spans="28:32" x14ac:dyDescent="0.25">
      <c r="AB1968" s="167" t="s">
        <v>2129</v>
      </c>
      <c r="AC1968" s="167">
        <v>327</v>
      </c>
      <c r="AD1968" s="203">
        <v>43074</v>
      </c>
      <c r="AE1968" s="203">
        <v>43131</v>
      </c>
      <c r="AF1968" s="167" t="s">
        <v>3470</v>
      </c>
    </row>
    <row r="1969" spans="28:32" x14ac:dyDescent="0.25">
      <c r="AB1969" s="167" t="s">
        <v>2129</v>
      </c>
      <c r="AC1969" s="167">
        <v>327</v>
      </c>
      <c r="AD1969" s="203">
        <v>43074</v>
      </c>
      <c r="AE1969" s="203">
        <v>43131</v>
      </c>
      <c r="AF1969" s="167" t="s">
        <v>3470</v>
      </c>
    </row>
    <row r="1970" spans="28:32" x14ac:dyDescent="0.25">
      <c r="AB1970" s="167" t="s">
        <v>2129</v>
      </c>
      <c r="AC1970" s="167">
        <v>327</v>
      </c>
      <c r="AD1970" s="203">
        <v>43074</v>
      </c>
      <c r="AE1970" s="203">
        <v>43131</v>
      </c>
      <c r="AF1970" s="167" t="s">
        <v>3470</v>
      </c>
    </row>
    <row r="1971" spans="28:32" x14ac:dyDescent="0.25">
      <c r="AB1971" s="167" t="s">
        <v>2129</v>
      </c>
      <c r="AC1971" s="167">
        <v>327</v>
      </c>
      <c r="AD1971" s="203">
        <v>43074</v>
      </c>
      <c r="AE1971" s="203">
        <v>43131</v>
      </c>
      <c r="AF1971" s="167" t="s">
        <v>3470</v>
      </c>
    </row>
    <row r="1972" spans="28:32" x14ac:dyDescent="0.25">
      <c r="AB1972" s="167" t="s">
        <v>2129</v>
      </c>
      <c r="AC1972" s="167">
        <v>335</v>
      </c>
      <c r="AD1972" s="203">
        <v>43133</v>
      </c>
      <c r="AE1972" s="203">
        <v>43147</v>
      </c>
      <c r="AF1972" s="167" t="s">
        <v>3470</v>
      </c>
    </row>
    <row r="1973" spans="28:32" x14ac:dyDescent="0.25">
      <c r="AB1973" s="167" t="s">
        <v>2129</v>
      </c>
      <c r="AC1973" s="167">
        <v>340</v>
      </c>
      <c r="AD1973" s="203">
        <v>43133</v>
      </c>
      <c r="AE1973" s="203">
        <v>43168</v>
      </c>
      <c r="AF1973" s="167" t="s">
        <v>3470</v>
      </c>
    </row>
    <row r="1974" spans="28:32" x14ac:dyDescent="0.25">
      <c r="AB1974" s="167" t="s">
        <v>2129</v>
      </c>
      <c r="AC1974" s="167">
        <v>353</v>
      </c>
      <c r="AD1974" s="203">
        <v>43180</v>
      </c>
      <c r="AE1974" s="203">
        <v>0</v>
      </c>
      <c r="AF1974" s="167" t="s">
        <v>3469</v>
      </c>
    </row>
    <row r="1975" spans="28:32" x14ac:dyDescent="0.25">
      <c r="AB1975" s="167" t="s">
        <v>2129</v>
      </c>
      <c r="AC1975" s="167">
        <v>353</v>
      </c>
      <c r="AD1975" s="203">
        <v>43180</v>
      </c>
      <c r="AE1975" s="203">
        <v>0</v>
      </c>
      <c r="AF1975" s="167" t="s">
        <v>3469</v>
      </c>
    </row>
    <row r="1976" spans="28:32" x14ac:dyDescent="0.25">
      <c r="AB1976" s="167" t="s">
        <v>2129</v>
      </c>
      <c r="AC1976" s="167">
        <v>353</v>
      </c>
      <c r="AD1976" s="203">
        <v>43180</v>
      </c>
      <c r="AE1976" s="203">
        <v>0</v>
      </c>
      <c r="AF1976" s="167" t="s">
        <v>3469</v>
      </c>
    </row>
    <row r="1977" spans="28:32" x14ac:dyDescent="0.25">
      <c r="AB1977" s="167" t="s">
        <v>2129</v>
      </c>
      <c r="AC1977" s="167">
        <v>353</v>
      </c>
      <c r="AD1977" s="203">
        <v>43180</v>
      </c>
      <c r="AE1977" s="203">
        <v>0</v>
      </c>
      <c r="AF1977" s="167" t="s">
        <v>3469</v>
      </c>
    </row>
    <row r="1978" spans="28:32" x14ac:dyDescent="0.25">
      <c r="AB1978" s="167" t="s">
        <v>2130</v>
      </c>
      <c r="AC1978" s="167">
        <v>323</v>
      </c>
      <c r="AD1978" s="203">
        <v>43074</v>
      </c>
      <c r="AE1978" s="203">
        <v>43111</v>
      </c>
      <c r="AF1978" s="167" t="s">
        <v>3470</v>
      </c>
    </row>
    <row r="1979" spans="28:32" x14ac:dyDescent="0.25">
      <c r="AB1979" s="167" t="s">
        <v>2130</v>
      </c>
      <c r="AC1979" s="167">
        <v>347</v>
      </c>
      <c r="AD1979" s="203">
        <v>43118</v>
      </c>
      <c r="AE1979" s="203">
        <v>43133</v>
      </c>
      <c r="AF1979" s="167" t="s">
        <v>3470</v>
      </c>
    </row>
    <row r="1980" spans="28:32" x14ac:dyDescent="0.25">
      <c r="AB1980" s="167" t="s">
        <v>2130</v>
      </c>
      <c r="AC1980" s="167">
        <v>340</v>
      </c>
      <c r="AD1980" s="203">
        <v>43133</v>
      </c>
      <c r="AE1980" s="203">
        <v>43168</v>
      </c>
      <c r="AF1980" s="167" t="s">
        <v>3470</v>
      </c>
    </row>
    <row r="1981" spans="28:32" x14ac:dyDescent="0.25">
      <c r="AB1981" s="167" t="s">
        <v>2130</v>
      </c>
      <c r="AC1981" s="167">
        <v>340</v>
      </c>
      <c r="AD1981" s="203">
        <v>43133</v>
      </c>
      <c r="AE1981" s="203">
        <v>43168</v>
      </c>
      <c r="AF1981" s="167" t="s">
        <v>3470</v>
      </c>
    </row>
    <row r="1982" spans="28:32" x14ac:dyDescent="0.25">
      <c r="AB1982" s="167" t="s">
        <v>2130</v>
      </c>
      <c r="AC1982" s="167">
        <v>357</v>
      </c>
      <c r="AD1982" s="203">
        <v>43139</v>
      </c>
      <c r="AE1982" s="203">
        <v>43164</v>
      </c>
      <c r="AF1982" s="167" t="s">
        <v>3470</v>
      </c>
    </row>
    <row r="1983" spans="28:32" x14ac:dyDescent="0.25">
      <c r="AB1983" s="167" t="s">
        <v>2130</v>
      </c>
      <c r="AC1983" s="167">
        <v>364</v>
      </c>
      <c r="AD1983" s="203">
        <v>43168</v>
      </c>
      <c r="AE1983" s="203">
        <v>43179</v>
      </c>
      <c r="AF1983" s="167" t="s">
        <v>3470</v>
      </c>
    </row>
    <row r="1984" spans="28:32" x14ac:dyDescent="0.25">
      <c r="AB1984" s="167" t="s">
        <v>2130</v>
      </c>
      <c r="AC1984" s="167">
        <v>353</v>
      </c>
      <c r="AD1984" s="203">
        <v>43180</v>
      </c>
      <c r="AE1984" s="203">
        <v>0</v>
      </c>
      <c r="AF1984" s="167" t="s">
        <v>3469</v>
      </c>
    </row>
    <row r="1985" spans="28:32" x14ac:dyDescent="0.25">
      <c r="AB1985" s="167" t="s">
        <v>2130</v>
      </c>
      <c r="AC1985" s="167">
        <v>353</v>
      </c>
      <c r="AD1985" s="203">
        <v>43180</v>
      </c>
      <c r="AE1985" s="203">
        <v>0</v>
      </c>
      <c r="AF1985" s="167" t="s">
        <v>3469</v>
      </c>
    </row>
    <row r="1986" spans="28:32" x14ac:dyDescent="0.25">
      <c r="AB1986" s="167" t="s">
        <v>2130</v>
      </c>
      <c r="AC1986" s="167">
        <v>353</v>
      </c>
      <c r="AD1986" s="203">
        <v>43180</v>
      </c>
      <c r="AE1986" s="203">
        <v>0</v>
      </c>
      <c r="AF1986" s="167" t="s">
        <v>3469</v>
      </c>
    </row>
    <row r="1987" spans="28:32" x14ac:dyDescent="0.25">
      <c r="AB1987" s="167" t="s">
        <v>2131</v>
      </c>
      <c r="AC1987" s="167">
        <v>340</v>
      </c>
      <c r="AD1987" s="203">
        <v>43133</v>
      </c>
      <c r="AE1987" s="203">
        <v>43168</v>
      </c>
      <c r="AF1987" s="167" t="s">
        <v>3470</v>
      </c>
    </row>
    <row r="1988" spans="28:32" x14ac:dyDescent="0.25">
      <c r="AB1988" s="167" t="s">
        <v>2132</v>
      </c>
      <c r="AC1988" s="167">
        <v>323</v>
      </c>
      <c r="AD1988" s="203">
        <v>43074</v>
      </c>
      <c r="AE1988" s="203">
        <v>43111</v>
      </c>
      <c r="AF1988" s="167" t="s">
        <v>3470</v>
      </c>
    </row>
    <row r="1989" spans="28:32" x14ac:dyDescent="0.25">
      <c r="AB1989" s="167" t="s">
        <v>2132</v>
      </c>
      <c r="AC1989" s="167">
        <v>347</v>
      </c>
      <c r="AD1989" s="203">
        <v>43118</v>
      </c>
      <c r="AE1989" s="203">
        <v>43133</v>
      </c>
      <c r="AF1989" s="167" t="s">
        <v>3470</v>
      </c>
    </row>
    <row r="1990" spans="28:32" x14ac:dyDescent="0.25">
      <c r="AB1990" s="167" t="s">
        <v>2132</v>
      </c>
      <c r="AC1990" s="167">
        <v>340</v>
      </c>
      <c r="AD1990" s="203">
        <v>43133</v>
      </c>
      <c r="AE1990" s="203">
        <v>43168</v>
      </c>
      <c r="AF1990" s="167" t="s">
        <v>3470</v>
      </c>
    </row>
    <row r="1991" spans="28:32" x14ac:dyDescent="0.25">
      <c r="AB1991" s="167" t="s">
        <v>2133</v>
      </c>
      <c r="AC1991" s="167">
        <v>323</v>
      </c>
      <c r="AD1991" s="203">
        <v>43074</v>
      </c>
      <c r="AE1991" s="203">
        <v>43111</v>
      </c>
      <c r="AF1991" s="167" t="s">
        <v>3470</v>
      </c>
    </row>
    <row r="1992" spans="28:32" x14ac:dyDescent="0.25">
      <c r="AB1992" s="167" t="s">
        <v>2133</v>
      </c>
      <c r="AC1992" s="167">
        <v>347</v>
      </c>
      <c r="AD1992" s="203">
        <v>43118</v>
      </c>
      <c r="AE1992" s="203">
        <v>43133</v>
      </c>
      <c r="AF1992" s="167" t="s">
        <v>3470</v>
      </c>
    </row>
    <row r="1993" spans="28:32" x14ac:dyDescent="0.25">
      <c r="AB1993" s="167" t="s">
        <v>2133</v>
      </c>
      <c r="AC1993" s="167">
        <v>340</v>
      </c>
      <c r="AD1993" s="203">
        <v>43133</v>
      </c>
      <c r="AE1993" s="203">
        <v>43168</v>
      </c>
      <c r="AF1993" s="167" t="s">
        <v>3470</v>
      </c>
    </row>
    <row r="1994" spans="28:32" x14ac:dyDescent="0.25">
      <c r="AB1994" s="167" t="s">
        <v>2133</v>
      </c>
      <c r="AC1994" s="167">
        <v>357</v>
      </c>
      <c r="AD1994" s="203">
        <v>43139</v>
      </c>
      <c r="AE1994" s="203">
        <v>43164</v>
      </c>
      <c r="AF1994" s="167" t="s">
        <v>3470</v>
      </c>
    </row>
    <row r="1995" spans="28:32" x14ac:dyDescent="0.25">
      <c r="AB1995" s="167" t="s">
        <v>2133</v>
      </c>
      <c r="AC1995" s="167">
        <v>364</v>
      </c>
      <c r="AD1995" s="203">
        <v>43168</v>
      </c>
      <c r="AE1995" s="203">
        <v>43179</v>
      </c>
      <c r="AF1995" s="167" t="s">
        <v>3470</v>
      </c>
    </row>
    <row r="1996" spans="28:32" x14ac:dyDescent="0.25">
      <c r="AB1996" s="167" t="s">
        <v>2133</v>
      </c>
      <c r="AC1996" s="167">
        <v>353</v>
      </c>
      <c r="AD1996" s="203">
        <v>43180</v>
      </c>
      <c r="AE1996" s="203">
        <v>0</v>
      </c>
      <c r="AF1996" s="167" t="s">
        <v>3469</v>
      </c>
    </row>
    <row r="1997" spans="28:32" x14ac:dyDescent="0.25">
      <c r="AB1997" s="167" t="s">
        <v>2133</v>
      </c>
      <c r="AC1997" s="167">
        <v>353</v>
      </c>
      <c r="AD1997" s="203">
        <v>43180</v>
      </c>
      <c r="AE1997" s="203">
        <v>0</v>
      </c>
      <c r="AF1997" s="167" t="s">
        <v>3469</v>
      </c>
    </row>
    <row r="1998" spans="28:32" x14ac:dyDescent="0.25">
      <c r="AB1998" s="167" t="s">
        <v>2133</v>
      </c>
      <c r="AC1998" s="167">
        <v>353</v>
      </c>
      <c r="AD1998" s="203">
        <v>43180</v>
      </c>
      <c r="AE1998" s="203">
        <v>0</v>
      </c>
      <c r="AF1998" s="167" t="s">
        <v>3469</v>
      </c>
    </row>
    <row r="1999" spans="28:32" x14ac:dyDescent="0.25">
      <c r="AB1999" s="167" t="s">
        <v>2133</v>
      </c>
      <c r="AC1999" s="167">
        <v>353</v>
      </c>
      <c r="AD1999" s="203">
        <v>43180</v>
      </c>
      <c r="AE1999" s="203">
        <v>0</v>
      </c>
      <c r="AF1999" s="167" t="s">
        <v>3469</v>
      </c>
    </row>
    <row r="2000" spans="28:32" x14ac:dyDescent="0.25">
      <c r="AB2000" s="167" t="s">
        <v>2133</v>
      </c>
      <c r="AC2000" s="167">
        <v>353</v>
      </c>
      <c r="AD2000" s="203">
        <v>43180</v>
      </c>
      <c r="AE2000" s="203">
        <v>0</v>
      </c>
      <c r="AF2000" s="167" t="s">
        <v>3469</v>
      </c>
    </row>
    <row r="2001" spans="28:32" x14ac:dyDescent="0.25">
      <c r="AB2001" s="167" t="s">
        <v>2133</v>
      </c>
      <c r="AC2001" s="167">
        <v>353</v>
      </c>
      <c r="AD2001" s="203">
        <v>43180</v>
      </c>
      <c r="AE2001" s="203">
        <v>0</v>
      </c>
      <c r="AF2001" s="167" t="s">
        <v>3469</v>
      </c>
    </row>
    <row r="2002" spans="28:32" x14ac:dyDescent="0.25">
      <c r="AB2002" s="167" t="s">
        <v>2133</v>
      </c>
      <c r="AC2002" s="167">
        <v>353</v>
      </c>
      <c r="AD2002" s="203">
        <v>43180</v>
      </c>
      <c r="AE2002" s="203">
        <v>0</v>
      </c>
      <c r="AF2002" s="167" t="s">
        <v>3469</v>
      </c>
    </row>
    <row r="2003" spans="28:32" x14ac:dyDescent="0.25">
      <c r="AB2003" s="167" t="s">
        <v>2135</v>
      </c>
      <c r="AC2003" s="167">
        <v>323</v>
      </c>
      <c r="AD2003" s="203">
        <v>43074</v>
      </c>
      <c r="AE2003" s="203">
        <v>43111</v>
      </c>
      <c r="AF2003" s="167" t="s">
        <v>3470</v>
      </c>
    </row>
    <row r="2004" spans="28:32" x14ac:dyDescent="0.25">
      <c r="AB2004" s="167" t="s">
        <v>2135</v>
      </c>
      <c r="AC2004" s="167">
        <v>357</v>
      </c>
      <c r="AD2004" s="203">
        <v>43139</v>
      </c>
      <c r="AE2004" s="203">
        <v>43164</v>
      </c>
      <c r="AF2004" s="167" t="s">
        <v>3470</v>
      </c>
    </row>
    <row r="2005" spans="28:32" x14ac:dyDescent="0.25">
      <c r="AB2005" s="167" t="s">
        <v>2135</v>
      </c>
      <c r="AC2005" s="167">
        <v>353</v>
      </c>
      <c r="AD2005" s="203">
        <v>43180</v>
      </c>
      <c r="AE2005" s="203">
        <v>0</v>
      </c>
      <c r="AF2005" s="167" t="s">
        <v>3469</v>
      </c>
    </row>
    <row r="2006" spans="28:32" x14ac:dyDescent="0.25">
      <c r="AB2006" s="167" t="s">
        <v>2135</v>
      </c>
      <c r="AC2006" s="167">
        <v>353</v>
      </c>
      <c r="AD2006" s="203">
        <v>43180</v>
      </c>
      <c r="AE2006" s="203">
        <v>0</v>
      </c>
      <c r="AF2006" s="167" t="s">
        <v>3469</v>
      </c>
    </row>
    <row r="2007" spans="28:32" x14ac:dyDescent="0.25">
      <c r="AB2007" s="167" t="s">
        <v>2135</v>
      </c>
      <c r="AC2007" s="167">
        <v>353</v>
      </c>
      <c r="AD2007" s="203">
        <v>43180</v>
      </c>
      <c r="AE2007" s="203">
        <v>0</v>
      </c>
      <c r="AF2007" s="167" t="s">
        <v>3469</v>
      </c>
    </row>
    <row r="2008" spans="28:32" x14ac:dyDescent="0.25">
      <c r="AB2008" s="167" t="s">
        <v>2137</v>
      </c>
      <c r="AC2008" s="167">
        <v>347</v>
      </c>
      <c r="AD2008" s="203">
        <v>43118</v>
      </c>
      <c r="AE2008" s="203">
        <v>43133</v>
      </c>
      <c r="AF2008" s="167" t="s">
        <v>3470</v>
      </c>
    </row>
    <row r="2009" spans="28:32" x14ac:dyDescent="0.25">
      <c r="AB2009" s="167" t="s">
        <v>2137</v>
      </c>
      <c r="AC2009" s="167">
        <v>340</v>
      </c>
      <c r="AD2009" s="203">
        <v>43133</v>
      </c>
      <c r="AE2009" s="203">
        <v>43168</v>
      </c>
      <c r="AF2009" s="167" t="s">
        <v>3470</v>
      </c>
    </row>
    <row r="2010" spans="28:32" x14ac:dyDescent="0.25">
      <c r="AB2010" s="167" t="s">
        <v>2137</v>
      </c>
      <c r="AC2010" s="167">
        <v>357</v>
      </c>
      <c r="AD2010" s="203">
        <v>43139</v>
      </c>
      <c r="AE2010" s="203">
        <v>43164</v>
      </c>
      <c r="AF2010" s="167" t="s">
        <v>3470</v>
      </c>
    </row>
    <row r="2011" spans="28:32" x14ac:dyDescent="0.25">
      <c r="AB2011" s="167" t="s">
        <v>2137</v>
      </c>
      <c r="AC2011" s="167">
        <v>364</v>
      </c>
      <c r="AD2011" s="203">
        <v>43168</v>
      </c>
      <c r="AE2011" s="203">
        <v>43179</v>
      </c>
      <c r="AF2011" s="167" t="s">
        <v>3470</v>
      </c>
    </row>
    <row r="2012" spans="28:32" x14ac:dyDescent="0.25">
      <c r="AB2012" s="167" t="s">
        <v>2137</v>
      </c>
      <c r="AC2012" s="167">
        <v>353</v>
      </c>
      <c r="AD2012" s="203">
        <v>43180</v>
      </c>
      <c r="AE2012" s="203">
        <v>0</v>
      </c>
      <c r="AF2012" s="167" t="s">
        <v>3469</v>
      </c>
    </row>
    <row r="2013" spans="28:32" x14ac:dyDescent="0.25">
      <c r="AB2013" s="167" t="s">
        <v>2137</v>
      </c>
      <c r="AC2013" s="167">
        <v>353</v>
      </c>
      <c r="AD2013" s="203">
        <v>43180</v>
      </c>
      <c r="AE2013" s="203">
        <v>0</v>
      </c>
      <c r="AF2013" s="167" t="s">
        <v>3469</v>
      </c>
    </row>
    <row r="2014" spans="28:32" x14ac:dyDescent="0.25">
      <c r="AB2014" s="167" t="s">
        <v>2137</v>
      </c>
      <c r="AC2014" s="167">
        <v>353</v>
      </c>
      <c r="AD2014" s="203">
        <v>43180</v>
      </c>
      <c r="AE2014" s="203">
        <v>0</v>
      </c>
      <c r="AF2014" s="167" t="s">
        <v>3469</v>
      </c>
    </row>
    <row r="2015" spans="28:32" x14ac:dyDescent="0.25">
      <c r="AB2015" s="167" t="s">
        <v>2137</v>
      </c>
      <c r="AC2015" s="167">
        <v>353</v>
      </c>
      <c r="AD2015" s="203">
        <v>43180</v>
      </c>
      <c r="AE2015" s="203">
        <v>0</v>
      </c>
      <c r="AF2015" s="167" t="s">
        <v>3469</v>
      </c>
    </row>
    <row r="2016" spans="28:32" x14ac:dyDescent="0.25">
      <c r="AB2016" s="167" t="s">
        <v>2137</v>
      </c>
      <c r="AC2016" s="167">
        <v>353</v>
      </c>
      <c r="AD2016" s="203">
        <v>43180</v>
      </c>
      <c r="AE2016" s="203">
        <v>0</v>
      </c>
      <c r="AF2016" s="167" t="s">
        <v>3469</v>
      </c>
    </row>
    <row r="2017" spans="28:32" x14ac:dyDescent="0.25">
      <c r="AB2017" s="167" t="s">
        <v>2138</v>
      </c>
      <c r="AC2017" s="167">
        <v>327</v>
      </c>
      <c r="AD2017" s="203">
        <v>43074</v>
      </c>
      <c r="AE2017" s="203">
        <v>43131</v>
      </c>
      <c r="AF2017" s="167" t="s">
        <v>3470</v>
      </c>
    </row>
    <row r="2018" spans="28:32" x14ac:dyDescent="0.25">
      <c r="AB2018" s="167" t="s">
        <v>2138</v>
      </c>
      <c r="AC2018" s="167">
        <v>327</v>
      </c>
      <c r="AD2018" s="203">
        <v>43074</v>
      </c>
      <c r="AE2018" s="203">
        <v>43131</v>
      </c>
      <c r="AF2018" s="167" t="s">
        <v>3470</v>
      </c>
    </row>
    <row r="2019" spans="28:32" x14ac:dyDescent="0.25">
      <c r="AB2019" s="167" t="s">
        <v>2138</v>
      </c>
      <c r="AC2019" s="167">
        <v>327</v>
      </c>
      <c r="AD2019" s="203">
        <v>43074</v>
      </c>
      <c r="AE2019" s="203">
        <v>43131</v>
      </c>
      <c r="AF2019" s="167" t="s">
        <v>3470</v>
      </c>
    </row>
    <row r="2020" spans="28:32" x14ac:dyDescent="0.25">
      <c r="AB2020" s="167" t="s">
        <v>2138</v>
      </c>
      <c r="AC2020" s="167">
        <v>347</v>
      </c>
      <c r="AD2020" s="203">
        <v>43118</v>
      </c>
      <c r="AE2020" s="203">
        <v>43133</v>
      </c>
      <c r="AF2020" s="167" t="s">
        <v>3470</v>
      </c>
    </row>
    <row r="2021" spans="28:32" x14ac:dyDescent="0.25">
      <c r="AB2021" s="167" t="s">
        <v>2138</v>
      </c>
      <c r="AC2021" s="167">
        <v>335</v>
      </c>
      <c r="AD2021" s="203">
        <v>43133</v>
      </c>
      <c r="AE2021" s="203">
        <v>43147</v>
      </c>
      <c r="AF2021" s="167" t="s">
        <v>3470</v>
      </c>
    </row>
    <row r="2022" spans="28:32" x14ac:dyDescent="0.25">
      <c r="AB2022" s="167" t="s">
        <v>2138</v>
      </c>
      <c r="AC2022" s="167">
        <v>340</v>
      </c>
      <c r="AD2022" s="203">
        <v>43133</v>
      </c>
      <c r="AE2022" s="203">
        <v>43168</v>
      </c>
      <c r="AF2022" s="167" t="s">
        <v>3470</v>
      </c>
    </row>
    <row r="2023" spans="28:32" x14ac:dyDescent="0.25">
      <c r="AB2023" s="167" t="s">
        <v>2138</v>
      </c>
      <c r="AC2023" s="167">
        <v>357</v>
      </c>
      <c r="AD2023" s="203">
        <v>43139</v>
      </c>
      <c r="AE2023" s="203">
        <v>43164</v>
      </c>
      <c r="AF2023" s="167" t="s">
        <v>3470</v>
      </c>
    </row>
    <row r="2024" spans="28:32" x14ac:dyDescent="0.25">
      <c r="AB2024" s="167" t="s">
        <v>2138</v>
      </c>
      <c r="AC2024" s="167">
        <v>353</v>
      </c>
      <c r="AD2024" s="203">
        <v>43180</v>
      </c>
      <c r="AE2024" s="203">
        <v>0</v>
      </c>
      <c r="AF2024" s="167" t="s">
        <v>3469</v>
      </c>
    </row>
    <row r="2025" spans="28:32" x14ac:dyDescent="0.25">
      <c r="AB2025" s="167" t="s">
        <v>2138</v>
      </c>
      <c r="AC2025" s="167">
        <v>353</v>
      </c>
      <c r="AD2025" s="203">
        <v>43180</v>
      </c>
      <c r="AE2025" s="203">
        <v>0</v>
      </c>
      <c r="AF2025" s="167" t="s">
        <v>3469</v>
      </c>
    </row>
    <row r="2026" spans="28:32" x14ac:dyDescent="0.25">
      <c r="AB2026" s="167" t="s">
        <v>2138</v>
      </c>
      <c r="AC2026" s="167">
        <v>353</v>
      </c>
      <c r="AD2026" s="203">
        <v>43180</v>
      </c>
      <c r="AE2026" s="203">
        <v>0</v>
      </c>
      <c r="AF2026" s="167" t="s">
        <v>3469</v>
      </c>
    </row>
    <row r="2027" spans="28:32" x14ac:dyDescent="0.25">
      <c r="AB2027" s="167" t="s">
        <v>2138</v>
      </c>
      <c r="AC2027" s="167">
        <v>353</v>
      </c>
      <c r="AD2027" s="203">
        <v>43180</v>
      </c>
      <c r="AE2027" s="203">
        <v>0</v>
      </c>
      <c r="AF2027" s="167" t="s">
        <v>3469</v>
      </c>
    </row>
    <row r="2028" spans="28:32" x14ac:dyDescent="0.25">
      <c r="AB2028" s="167" t="s">
        <v>2138</v>
      </c>
      <c r="AC2028" s="167">
        <v>353</v>
      </c>
      <c r="AD2028" s="203">
        <v>43180</v>
      </c>
      <c r="AE2028" s="203">
        <v>0</v>
      </c>
      <c r="AF2028" s="167" t="s">
        <v>3469</v>
      </c>
    </row>
    <row r="2029" spans="28:32" x14ac:dyDescent="0.25">
      <c r="AB2029" s="167" t="s">
        <v>2140</v>
      </c>
      <c r="AC2029" s="167">
        <v>327</v>
      </c>
      <c r="AD2029" s="203">
        <v>43074</v>
      </c>
      <c r="AE2029" s="203">
        <v>43131</v>
      </c>
      <c r="AF2029" s="167" t="s">
        <v>3470</v>
      </c>
    </row>
    <row r="2030" spans="28:32" x14ac:dyDescent="0.25">
      <c r="AB2030" s="167" t="s">
        <v>2140</v>
      </c>
      <c r="AC2030" s="167">
        <v>327</v>
      </c>
      <c r="AD2030" s="203">
        <v>43074</v>
      </c>
      <c r="AE2030" s="203">
        <v>43131</v>
      </c>
      <c r="AF2030" s="167" t="s">
        <v>3470</v>
      </c>
    </row>
    <row r="2031" spans="28:32" x14ac:dyDescent="0.25">
      <c r="AB2031" s="167" t="s">
        <v>2140</v>
      </c>
      <c r="AC2031" s="167">
        <v>335</v>
      </c>
      <c r="AD2031" s="203">
        <v>43133</v>
      </c>
      <c r="AE2031" s="203">
        <v>43147</v>
      </c>
      <c r="AF2031" s="167" t="s">
        <v>3470</v>
      </c>
    </row>
    <row r="2032" spans="28:32" x14ac:dyDescent="0.25">
      <c r="AB2032" s="167" t="s">
        <v>2140</v>
      </c>
      <c r="AC2032" s="167">
        <v>340</v>
      </c>
      <c r="AD2032" s="203">
        <v>43133</v>
      </c>
      <c r="AE2032" s="203">
        <v>43168</v>
      </c>
      <c r="AF2032" s="167" t="s">
        <v>3470</v>
      </c>
    </row>
    <row r="2033" spans="28:32" x14ac:dyDescent="0.25">
      <c r="AB2033" s="167" t="s">
        <v>2140</v>
      </c>
      <c r="AC2033" s="167">
        <v>353</v>
      </c>
      <c r="AD2033" s="203">
        <v>43180</v>
      </c>
      <c r="AE2033" s="203">
        <v>0</v>
      </c>
      <c r="AF2033" s="167" t="s">
        <v>3469</v>
      </c>
    </row>
    <row r="2034" spans="28:32" x14ac:dyDescent="0.25">
      <c r="AB2034" s="167" t="s">
        <v>2140</v>
      </c>
      <c r="AC2034" s="167">
        <v>353</v>
      </c>
      <c r="AD2034" s="203">
        <v>43180</v>
      </c>
      <c r="AE2034" s="203">
        <v>0</v>
      </c>
      <c r="AF2034" s="167" t="s">
        <v>3469</v>
      </c>
    </row>
    <row r="2035" spans="28:32" x14ac:dyDescent="0.25">
      <c r="AB2035" s="167" t="s">
        <v>2140</v>
      </c>
      <c r="AC2035" s="167">
        <v>353</v>
      </c>
      <c r="AD2035" s="203">
        <v>43180</v>
      </c>
      <c r="AE2035" s="203">
        <v>0</v>
      </c>
      <c r="AF2035" s="167" t="s">
        <v>3469</v>
      </c>
    </row>
    <row r="2036" spans="28:32" x14ac:dyDescent="0.25">
      <c r="AB2036" s="167" t="s">
        <v>2140</v>
      </c>
      <c r="AC2036" s="167">
        <v>353</v>
      </c>
      <c r="AD2036" s="203">
        <v>43180</v>
      </c>
      <c r="AE2036" s="203">
        <v>0</v>
      </c>
      <c r="AF2036" s="167" t="s">
        <v>3469</v>
      </c>
    </row>
    <row r="2037" spans="28:32" x14ac:dyDescent="0.25">
      <c r="AB2037" s="167" t="s">
        <v>2140</v>
      </c>
      <c r="AC2037" s="167">
        <v>353</v>
      </c>
      <c r="AD2037" s="203">
        <v>43180</v>
      </c>
      <c r="AE2037" s="203">
        <v>0</v>
      </c>
      <c r="AF2037" s="167" t="s">
        <v>3469</v>
      </c>
    </row>
    <row r="2038" spans="28:32" x14ac:dyDescent="0.25">
      <c r="AB2038" s="167" t="s">
        <v>2142</v>
      </c>
      <c r="AC2038" s="167">
        <v>327</v>
      </c>
      <c r="AD2038" s="203">
        <v>43074</v>
      </c>
      <c r="AE2038" s="203">
        <v>43131</v>
      </c>
      <c r="AF2038" s="167" t="s">
        <v>3470</v>
      </c>
    </row>
    <row r="2039" spans="28:32" x14ac:dyDescent="0.25">
      <c r="AB2039" s="167" t="s">
        <v>2142</v>
      </c>
      <c r="AC2039" s="167">
        <v>335</v>
      </c>
      <c r="AD2039" s="203">
        <v>43133</v>
      </c>
      <c r="AE2039" s="203">
        <v>43147</v>
      </c>
      <c r="AF2039" s="167" t="s">
        <v>3470</v>
      </c>
    </row>
    <row r="2040" spans="28:32" x14ac:dyDescent="0.25">
      <c r="AB2040" s="167" t="s">
        <v>2142</v>
      </c>
      <c r="AC2040" s="167">
        <v>340</v>
      </c>
      <c r="AD2040" s="203">
        <v>43133</v>
      </c>
      <c r="AE2040" s="203">
        <v>43168</v>
      </c>
      <c r="AF2040" s="167" t="s">
        <v>3470</v>
      </c>
    </row>
    <row r="2041" spans="28:32" x14ac:dyDescent="0.25">
      <c r="AB2041" s="167" t="s">
        <v>2142</v>
      </c>
      <c r="AC2041" s="167">
        <v>353</v>
      </c>
      <c r="AD2041" s="203">
        <v>43180</v>
      </c>
      <c r="AE2041" s="203">
        <v>0</v>
      </c>
      <c r="AF2041" s="167" t="s">
        <v>3469</v>
      </c>
    </row>
    <row r="2042" spans="28:32" x14ac:dyDescent="0.25">
      <c r="AB2042" s="167" t="s">
        <v>2142</v>
      </c>
      <c r="AC2042" s="167">
        <v>353</v>
      </c>
      <c r="AD2042" s="203">
        <v>43180</v>
      </c>
      <c r="AE2042" s="203">
        <v>0</v>
      </c>
      <c r="AF2042" s="167" t="s">
        <v>3469</v>
      </c>
    </row>
    <row r="2043" spans="28:32" x14ac:dyDescent="0.25">
      <c r="AB2043" s="167" t="s">
        <v>2142</v>
      </c>
      <c r="AC2043" s="167">
        <v>353</v>
      </c>
      <c r="AD2043" s="203">
        <v>43180</v>
      </c>
      <c r="AE2043" s="203">
        <v>0</v>
      </c>
      <c r="AF2043" s="167" t="s">
        <v>3469</v>
      </c>
    </row>
    <row r="2044" spans="28:32" x14ac:dyDescent="0.25">
      <c r="AB2044" s="167" t="s">
        <v>2142</v>
      </c>
      <c r="AC2044" s="167">
        <v>353</v>
      </c>
      <c r="AD2044" s="203">
        <v>43180</v>
      </c>
      <c r="AE2044" s="203">
        <v>0</v>
      </c>
      <c r="AF2044" s="167" t="s">
        <v>3469</v>
      </c>
    </row>
    <row r="2045" spans="28:32" x14ac:dyDescent="0.25">
      <c r="AB2045" s="167" t="s">
        <v>2143</v>
      </c>
      <c r="AC2045" s="167">
        <v>323</v>
      </c>
      <c r="AD2045" s="203">
        <v>43074</v>
      </c>
      <c r="AE2045" s="203">
        <v>43111</v>
      </c>
      <c r="AF2045" s="167" t="s">
        <v>3470</v>
      </c>
    </row>
    <row r="2046" spans="28:32" x14ac:dyDescent="0.25">
      <c r="AB2046" s="167" t="s">
        <v>2143</v>
      </c>
      <c r="AC2046" s="167">
        <v>327</v>
      </c>
      <c r="AD2046" s="203">
        <v>43074</v>
      </c>
      <c r="AE2046" s="203">
        <v>43131</v>
      </c>
      <c r="AF2046" s="167" t="s">
        <v>3470</v>
      </c>
    </row>
    <row r="2047" spans="28:32" x14ac:dyDescent="0.25">
      <c r="AB2047" s="167" t="s">
        <v>2143</v>
      </c>
      <c r="AC2047" s="167">
        <v>347</v>
      </c>
      <c r="AD2047" s="203">
        <v>43118</v>
      </c>
      <c r="AE2047" s="203">
        <v>43133</v>
      </c>
      <c r="AF2047" s="167" t="s">
        <v>3470</v>
      </c>
    </row>
    <row r="2048" spans="28:32" x14ac:dyDescent="0.25">
      <c r="AB2048" s="167" t="s">
        <v>2143</v>
      </c>
      <c r="AC2048" s="167">
        <v>340</v>
      </c>
      <c r="AD2048" s="203">
        <v>43133</v>
      </c>
      <c r="AE2048" s="203">
        <v>43168</v>
      </c>
      <c r="AF2048" s="167" t="s">
        <v>3470</v>
      </c>
    </row>
    <row r="2049" spans="28:32" x14ac:dyDescent="0.25">
      <c r="AB2049" s="167" t="s">
        <v>2143</v>
      </c>
      <c r="AC2049" s="167">
        <v>357</v>
      </c>
      <c r="AD2049" s="203">
        <v>43139</v>
      </c>
      <c r="AE2049" s="203">
        <v>43164</v>
      </c>
      <c r="AF2049" s="167" t="s">
        <v>3470</v>
      </c>
    </row>
    <row r="2050" spans="28:32" x14ac:dyDescent="0.25">
      <c r="AB2050" s="167" t="s">
        <v>2143</v>
      </c>
      <c r="AC2050" s="167">
        <v>364</v>
      </c>
      <c r="AD2050" s="203">
        <v>43168</v>
      </c>
      <c r="AE2050" s="203">
        <v>43179</v>
      </c>
      <c r="AF2050" s="167" t="s">
        <v>3470</v>
      </c>
    </row>
    <row r="2051" spans="28:32" x14ac:dyDescent="0.25">
      <c r="AB2051" s="167" t="s">
        <v>2143</v>
      </c>
      <c r="AC2051" s="167">
        <v>353</v>
      </c>
      <c r="AD2051" s="203">
        <v>43180</v>
      </c>
      <c r="AE2051" s="203">
        <v>0</v>
      </c>
      <c r="AF2051" s="167" t="s">
        <v>3469</v>
      </c>
    </row>
    <row r="2052" spans="28:32" x14ac:dyDescent="0.25">
      <c r="AB2052" s="167" t="s">
        <v>2143</v>
      </c>
      <c r="AC2052" s="167">
        <v>353</v>
      </c>
      <c r="AD2052" s="203">
        <v>43180</v>
      </c>
      <c r="AE2052" s="203">
        <v>0</v>
      </c>
      <c r="AF2052" s="167" t="s">
        <v>3469</v>
      </c>
    </row>
    <row r="2053" spans="28:32" x14ac:dyDescent="0.25">
      <c r="AB2053" s="167" t="s">
        <v>2145</v>
      </c>
      <c r="AC2053" s="167">
        <v>327</v>
      </c>
      <c r="AD2053" s="203">
        <v>43074</v>
      </c>
      <c r="AE2053" s="203">
        <v>43131</v>
      </c>
      <c r="AF2053" s="167" t="s">
        <v>3470</v>
      </c>
    </row>
    <row r="2054" spans="28:32" x14ac:dyDescent="0.25">
      <c r="AB2054" s="167" t="s">
        <v>2145</v>
      </c>
      <c r="AC2054" s="167">
        <v>347</v>
      </c>
      <c r="AD2054" s="203">
        <v>43118</v>
      </c>
      <c r="AE2054" s="203">
        <v>43133</v>
      </c>
      <c r="AF2054" s="167" t="s">
        <v>3470</v>
      </c>
    </row>
    <row r="2055" spans="28:32" x14ac:dyDescent="0.25">
      <c r="AB2055" s="167" t="s">
        <v>2145</v>
      </c>
      <c r="AC2055" s="167">
        <v>340</v>
      </c>
      <c r="AD2055" s="203">
        <v>43133</v>
      </c>
      <c r="AE2055" s="203">
        <v>43168</v>
      </c>
      <c r="AF2055" s="167" t="s">
        <v>3470</v>
      </c>
    </row>
    <row r="2056" spans="28:32" x14ac:dyDescent="0.25">
      <c r="AB2056" s="167" t="s">
        <v>2145</v>
      </c>
      <c r="AC2056" s="167">
        <v>374</v>
      </c>
      <c r="AD2056" s="203">
        <v>43195</v>
      </c>
      <c r="AE2056" s="203">
        <v>0</v>
      </c>
      <c r="AF2056" s="167" t="s">
        <v>3469</v>
      </c>
    </row>
    <row r="2057" spans="28:32" x14ac:dyDescent="0.25">
      <c r="AB2057" s="167" t="s">
        <v>2147</v>
      </c>
      <c r="AC2057" s="167">
        <v>323</v>
      </c>
      <c r="AD2057" s="203">
        <v>43074</v>
      </c>
      <c r="AE2057" s="203">
        <v>43111</v>
      </c>
      <c r="AF2057" s="167" t="s">
        <v>3470</v>
      </c>
    </row>
    <row r="2058" spans="28:32" x14ac:dyDescent="0.25">
      <c r="AB2058" s="167" t="s">
        <v>2147</v>
      </c>
      <c r="AC2058" s="167">
        <v>327</v>
      </c>
      <c r="AD2058" s="203">
        <v>43074</v>
      </c>
      <c r="AE2058" s="203">
        <v>43131</v>
      </c>
      <c r="AF2058" s="167" t="s">
        <v>3470</v>
      </c>
    </row>
    <row r="2059" spans="28:32" x14ac:dyDescent="0.25">
      <c r="AB2059" s="167" t="s">
        <v>2147</v>
      </c>
      <c r="AC2059" s="167">
        <v>347</v>
      </c>
      <c r="AD2059" s="203">
        <v>43118</v>
      </c>
      <c r="AE2059" s="203">
        <v>43133</v>
      </c>
      <c r="AF2059" s="167" t="s">
        <v>3470</v>
      </c>
    </row>
    <row r="2060" spans="28:32" x14ac:dyDescent="0.25">
      <c r="AB2060" s="167" t="s">
        <v>2147</v>
      </c>
      <c r="AC2060" s="167">
        <v>340</v>
      </c>
      <c r="AD2060" s="203">
        <v>43133</v>
      </c>
      <c r="AE2060" s="203">
        <v>43168</v>
      </c>
      <c r="AF2060" s="167" t="s">
        <v>3470</v>
      </c>
    </row>
    <row r="2061" spans="28:32" x14ac:dyDescent="0.25">
      <c r="AB2061" s="167" t="s">
        <v>2147</v>
      </c>
      <c r="AC2061" s="167">
        <v>340</v>
      </c>
      <c r="AD2061" s="203">
        <v>43133</v>
      </c>
      <c r="AE2061" s="203">
        <v>43168</v>
      </c>
      <c r="AF2061" s="167" t="s">
        <v>3470</v>
      </c>
    </row>
    <row r="2062" spans="28:32" x14ac:dyDescent="0.25">
      <c r="AB2062" s="167" t="s">
        <v>2147</v>
      </c>
      <c r="AC2062" s="167">
        <v>357</v>
      </c>
      <c r="AD2062" s="203">
        <v>43139</v>
      </c>
      <c r="AE2062" s="203">
        <v>43164</v>
      </c>
      <c r="AF2062" s="167" t="s">
        <v>3470</v>
      </c>
    </row>
    <row r="2063" spans="28:32" x14ac:dyDescent="0.25">
      <c r="AB2063" s="167" t="s">
        <v>2147</v>
      </c>
      <c r="AC2063" s="167">
        <v>353</v>
      </c>
      <c r="AD2063" s="203">
        <v>43180</v>
      </c>
      <c r="AE2063" s="203">
        <v>0</v>
      </c>
      <c r="AF2063" s="167" t="s">
        <v>3469</v>
      </c>
    </row>
    <row r="2064" spans="28:32" x14ac:dyDescent="0.25">
      <c r="AB2064" s="167" t="s">
        <v>2147</v>
      </c>
      <c r="AC2064" s="167">
        <v>353</v>
      </c>
      <c r="AD2064" s="203">
        <v>43180</v>
      </c>
      <c r="AE2064" s="203">
        <v>0</v>
      </c>
      <c r="AF2064" s="167" t="s">
        <v>3469</v>
      </c>
    </row>
    <row r="2065" spans="28:32" x14ac:dyDescent="0.25">
      <c r="AB2065" s="167" t="s">
        <v>2149</v>
      </c>
      <c r="AC2065" s="167">
        <v>327</v>
      </c>
      <c r="AD2065" s="203">
        <v>43074</v>
      </c>
      <c r="AE2065" s="203">
        <v>43131</v>
      </c>
      <c r="AF2065" s="167" t="s">
        <v>3470</v>
      </c>
    </row>
    <row r="2066" spans="28:32" x14ac:dyDescent="0.25">
      <c r="AB2066" s="167" t="s">
        <v>2149</v>
      </c>
      <c r="AC2066" s="167">
        <v>347</v>
      </c>
      <c r="AD2066" s="203">
        <v>43118</v>
      </c>
      <c r="AE2066" s="203">
        <v>43133</v>
      </c>
      <c r="AF2066" s="167" t="s">
        <v>3470</v>
      </c>
    </row>
    <row r="2067" spans="28:32" x14ac:dyDescent="0.25">
      <c r="AB2067" s="167" t="s">
        <v>2149</v>
      </c>
      <c r="AC2067" s="167">
        <v>340</v>
      </c>
      <c r="AD2067" s="203">
        <v>43133</v>
      </c>
      <c r="AE2067" s="203">
        <v>43168</v>
      </c>
      <c r="AF2067" s="167" t="s">
        <v>3470</v>
      </c>
    </row>
    <row r="2068" spans="28:32" x14ac:dyDescent="0.25">
      <c r="AB2068" s="167" t="s">
        <v>2149</v>
      </c>
      <c r="AC2068" s="167">
        <v>357</v>
      </c>
      <c r="AD2068" s="203">
        <v>43139</v>
      </c>
      <c r="AE2068" s="203">
        <v>43164</v>
      </c>
      <c r="AF2068" s="167" t="s">
        <v>3470</v>
      </c>
    </row>
    <row r="2069" spans="28:32" x14ac:dyDescent="0.25">
      <c r="AB2069" s="167" t="s">
        <v>2149</v>
      </c>
      <c r="AC2069" s="167">
        <v>353</v>
      </c>
      <c r="AD2069" s="203">
        <v>43180</v>
      </c>
      <c r="AE2069" s="203">
        <v>0</v>
      </c>
      <c r="AF2069" s="167" t="s">
        <v>3469</v>
      </c>
    </row>
    <row r="2070" spans="28:32" x14ac:dyDescent="0.25">
      <c r="AB2070" s="167" t="s">
        <v>2149</v>
      </c>
      <c r="AC2070" s="167">
        <v>353</v>
      </c>
      <c r="AD2070" s="203">
        <v>43180</v>
      </c>
      <c r="AE2070" s="203">
        <v>0</v>
      </c>
      <c r="AF2070" s="167" t="s">
        <v>3469</v>
      </c>
    </row>
    <row r="2071" spans="28:32" x14ac:dyDescent="0.25">
      <c r="AB2071" s="167" t="s">
        <v>2151</v>
      </c>
      <c r="AC2071" s="167">
        <v>347</v>
      </c>
      <c r="AD2071" s="203">
        <v>43118</v>
      </c>
      <c r="AE2071" s="203">
        <v>43133</v>
      </c>
      <c r="AF2071" s="167" t="s">
        <v>3470</v>
      </c>
    </row>
    <row r="2072" spans="28:32" x14ac:dyDescent="0.25">
      <c r="AB2072" s="167" t="s">
        <v>2151</v>
      </c>
      <c r="AC2072" s="167">
        <v>340</v>
      </c>
      <c r="AD2072" s="203">
        <v>43133</v>
      </c>
      <c r="AE2072" s="203">
        <v>43168</v>
      </c>
      <c r="AF2072" s="167" t="s">
        <v>3470</v>
      </c>
    </row>
    <row r="2073" spans="28:32" x14ac:dyDescent="0.25">
      <c r="AB2073" s="167" t="s">
        <v>2151</v>
      </c>
      <c r="AC2073" s="167">
        <v>340</v>
      </c>
      <c r="AD2073" s="203">
        <v>43133</v>
      </c>
      <c r="AE2073" s="203">
        <v>43168</v>
      </c>
      <c r="AF2073" s="167" t="s">
        <v>3470</v>
      </c>
    </row>
    <row r="2074" spans="28:32" x14ac:dyDescent="0.25">
      <c r="AB2074" s="167" t="s">
        <v>2151</v>
      </c>
      <c r="AC2074" s="167">
        <v>357</v>
      </c>
      <c r="AD2074" s="203">
        <v>43139</v>
      </c>
      <c r="AE2074" s="203">
        <v>43164</v>
      </c>
      <c r="AF2074" s="167" t="s">
        <v>3470</v>
      </c>
    </row>
    <row r="2075" spans="28:32" x14ac:dyDescent="0.25">
      <c r="AB2075" s="167" t="s">
        <v>2151</v>
      </c>
      <c r="AC2075" s="167">
        <v>353</v>
      </c>
      <c r="AD2075" s="203">
        <v>43180</v>
      </c>
      <c r="AE2075" s="203">
        <v>0</v>
      </c>
      <c r="AF2075" s="167" t="s">
        <v>3469</v>
      </c>
    </row>
    <row r="2076" spans="28:32" x14ac:dyDescent="0.25">
      <c r="AB2076" s="167" t="s">
        <v>2153</v>
      </c>
      <c r="AC2076" s="167">
        <v>364</v>
      </c>
      <c r="AD2076" s="203">
        <v>43168</v>
      </c>
      <c r="AE2076" s="203">
        <v>43179</v>
      </c>
      <c r="AF2076" s="167" t="s">
        <v>3470</v>
      </c>
    </row>
    <row r="2077" spans="28:32" x14ac:dyDescent="0.25">
      <c r="AB2077" s="167" t="s">
        <v>2153</v>
      </c>
      <c r="AC2077" s="167">
        <v>353</v>
      </c>
      <c r="AD2077" s="203">
        <v>43180</v>
      </c>
      <c r="AE2077" s="203">
        <v>0</v>
      </c>
      <c r="AF2077" s="167" t="s">
        <v>3469</v>
      </c>
    </row>
    <row r="2078" spans="28:32" x14ac:dyDescent="0.25">
      <c r="AB2078" s="167" t="s">
        <v>2155</v>
      </c>
      <c r="AC2078" s="167">
        <v>327</v>
      </c>
      <c r="AD2078" s="203">
        <v>43074</v>
      </c>
      <c r="AE2078" s="203">
        <v>43131</v>
      </c>
      <c r="AF2078" s="167" t="s">
        <v>3470</v>
      </c>
    </row>
    <row r="2079" spans="28:32" x14ac:dyDescent="0.25">
      <c r="AB2079" s="167" t="s">
        <v>2155</v>
      </c>
      <c r="AC2079" s="167">
        <v>327</v>
      </c>
      <c r="AD2079" s="203">
        <v>43074</v>
      </c>
      <c r="AE2079" s="203">
        <v>43131</v>
      </c>
      <c r="AF2079" s="167" t="s">
        <v>3470</v>
      </c>
    </row>
    <row r="2080" spans="28:32" x14ac:dyDescent="0.25">
      <c r="AB2080" s="167" t="s">
        <v>2155</v>
      </c>
      <c r="AC2080" s="167">
        <v>335</v>
      </c>
      <c r="AD2080" s="203">
        <v>43133</v>
      </c>
      <c r="AE2080" s="203">
        <v>43147</v>
      </c>
      <c r="AF2080" s="167" t="s">
        <v>3470</v>
      </c>
    </row>
    <row r="2081" spans="28:32" x14ac:dyDescent="0.25">
      <c r="AB2081" s="167" t="s">
        <v>2155</v>
      </c>
      <c r="AC2081" s="167">
        <v>340</v>
      </c>
      <c r="AD2081" s="203">
        <v>43133</v>
      </c>
      <c r="AE2081" s="203">
        <v>43168</v>
      </c>
      <c r="AF2081" s="167" t="s">
        <v>3470</v>
      </c>
    </row>
    <row r="2082" spans="28:32" x14ac:dyDescent="0.25">
      <c r="AB2082" s="167" t="s">
        <v>2155</v>
      </c>
      <c r="AC2082" s="167">
        <v>353</v>
      </c>
      <c r="AD2082" s="203">
        <v>43180</v>
      </c>
      <c r="AE2082" s="203">
        <v>0</v>
      </c>
      <c r="AF2082" s="167" t="s">
        <v>3469</v>
      </c>
    </row>
    <row r="2083" spans="28:32" x14ac:dyDescent="0.25">
      <c r="AB2083" s="167" t="s">
        <v>2155</v>
      </c>
      <c r="AC2083" s="167">
        <v>353</v>
      </c>
      <c r="AD2083" s="203">
        <v>43180</v>
      </c>
      <c r="AE2083" s="203">
        <v>0</v>
      </c>
      <c r="AF2083" s="167" t="s">
        <v>3469</v>
      </c>
    </row>
    <row r="2084" spans="28:32" x14ac:dyDescent="0.25">
      <c r="AB2084" s="167" t="s">
        <v>2155</v>
      </c>
      <c r="AC2084" s="167">
        <v>353</v>
      </c>
      <c r="AD2084" s="203">
        <v>43180</v>
      </c>
      <c r="AE2084" s="203">
        <v>0</v>
      </c>
      <c r="AF2084" s="167" t="s">
        <v>3469</v>
      </c>
    </row>
    <row r="2085" spans="28:32" x14ac:dyDescent="0.25">
      <c r="AB2085" s="167" t="s">
        <v>2155</v>
      </c>
      <c r="AC2085" s="167">
        <v>353</v>
      </c>
      <c r="AD2085" s="203">
        <v>43180</v>
      </c>
      <c r="AE2085" s="203">
        <v>0</v>
      </c>
      <c r="AF2085" s="167" t="s">
        <v>3469</v>
      </c>
    </row>
    <row r="2086" spans="28:32" x14ac:dyDescent="0.25">
      <c r="AB2086" s="167" t="s">
        <v>2155</v>
      </c>
      <c r="AC2086" s="167">
        <v>353</v>
      </c>
      <c r="AD2086" s="203">
        <v>43180</v>
      </c>
      <c r="AE2086" s="203">
        <v>0</v>
      </c>
      <c r="AF2086" s="167" t="s">
        <v>3469</v>
      </c>
    </row>
    <row r="2087" spans="28:32" x14ac:dyDescent="0.25">
      <c r="AB2087" s="167" t="s">
        <v>2155</v>
      </c>
      <c r="AC2087" s="167">
        <v>353</v>
      </c>
      <c r="AD2087" s="203">
        <v>43180</v>
      </c>
      <c r="AE2087" s="203">
        <v>0</v>
      </c>
      <c r="AF2087" s="167" t="s">
        <v>3469</v>
      </c>
    </row>
    <row r="2088" spans="28:32" x14ac:dyDescent="0.25">
      <c r="AB2088" s="167" t="s">
        <v>2155</v>
      </c>
      <c r="AC2088" s="167">
        <v>353</v>
      </c>
      <c r="AD2088" s="203">
        <v>43180</v>
      </c>
      <c r="AE2088" s="203">
        <v>0</v>
      </c>
      <c r="AF2088" s="167" t="s">
        <v>3469</v>
      </c>
    </row>
    <row r="2089" spans="28:32" x14ac:dyDescent="0.25">
      <c r="AB2089" s="167" t="s">
        <v>2155</v>
      </c>
      <c r="AC2089" s="167">
        <v>353</v>
      </c>
      <c r="AD2089" s="203">
        <v>43180</v>
      </c>
      <c r="AE2089" s="203">
        <v>0</v>
      </c>
      <c r="AF2089" s="167" t="s">
        <v>3469</v>
      </c>
    </row>
    <row r="2090" spans="28:32" x14ac:dyDescent="0.25">
      <c r="AB2090" s="167" t="s">
        <v>2155</v>
      </c>
      <c r="AC2090" s="167">
        <v>353</v>
      </c>
      <c r="AD2090" s="203">
        <v>43180</v>
      </c>
      <c r="AE2090" s="203">
        <v>0</v>
      </c>
      <c r="AF2090" s="167" t="s">
        <v>3469</v>
      </c>
    </row>
    <row r="2091" spans="28:32" x14ac:dyDescent="0.25">
      <c r="AB2091" s="167" t="s">
        <v>2155</v>
      </c>
      <c r="AC2091" s="167">
        <v>353</v>
      </c>
      <c r="AD2091" s="203">
        <v>43180</v>
      </c>
      <c r="AE2091" s="203">
        <v>0</v>
      </c>
      <c r="AF2091" s="167" t="s">
        <v>3469</v>
      </c>
    </row>
    <row r="2092" spans="28:32" x14ac:dyDescent="0.25">
      <c r="AB2092" s="167" t="s">
        <v>2155</v>
      </c>
      <c r="AC2092" s="167">
        <v>353</v>
      </c>
      <c r="AD2092" s="203">
        <v>43180</v>
      </c>
      <c r="AE2092" s="203">
        <v>0</v>
      </c>
      <c r="AF2092" s="167" t="s">
        <v>3469</v>
      </c>
    </row>
    <row r="2093" spans="28:32" x14ac:dyDescent="0.25">
      <c r="AB2093" s="167" t="s">
        <v>2155</v>
      </c>
      <c r="AC2093" s="167">
        <v>353</v>
      </c>
      <c r="AD2093" s="203">
        <v>43180</v>
      </c>
      <c r="AE2093" s="203">
        <v>0</v>
      </c>
      <c r="AF2093" s="167" t="s">
        <v>3469</v>
      </c>
    </row>
    <row r="2094" spans="28:32" x14ac:dyDescent="0.25">
      <c r="AB2094" s="167" t="s">
        <v>2157</v>
      </c>
      <c r="AC2094" s="167">
        <v>357</v>
      </c>
      <c r="AD2094" s="203">
        <v>43139</v>
      </c>
      <c r="AE2094" s="203">
        <v>43164</v>
      </c>
      <c r="AF2094" s="167" t="s">
        <v>3470</v>
      </c>
    </row>
    <row r="2095" spans="28:32" x14ac:dyDescent="0.25">
      <c r="AB2095" s="167" t="s">
        <v>2157</v>
      </c>
      <c r="AC2095" s="167">
        <v>353</v>
      </c>
      <c r="AD2095" s="203">
        <v>43180</v>
      </c>
      <c r="AE2095" s="203">
        <v>0</v>
      </c>
      <c r="AF2095" s="167" t="s">
        <v>3469</v>
      </c>
    </row>
    <row r="2096" spans="28:32" x14ac:dyDescent="0.25">
      <c r="AB2096" s="167" t="s">
        <v>2159</v>
      </c>
      <c r="AC2096" s="167">
        <v>357</v>
      </c>
      <c r="AD2096" s="203">
        <v>43139</v>
      </c>
      <c r="AE2096" s="203">
        <v>43164</v>
      </c>
      <c r="AF2096" s="167" t="s">
        <v>3470</v>
      </c>
    </row>
    <row r="2097" spans="28:32" x14ac:dyDescent="0.25">
      <c r="AB2097" s="167" t="s">
        <v>2159</v>
      </c>
      <c r="AC2097" s="167">
        <v>364</v>
      </c>
      <c r="AD2097" s="203">
        <v>43168</v>
      </c>
      <c r="AE2097" s="203">
        <v>43179</v>
      </c>
      <c r="AF2097" s="167" t="s">
        <v>3470</v>
      </c>
    </row>
    <row r="2098" spans="28:32" x14ac:dyDescent="0.25">
      <c r="AB2098" s="167" t="s">
        <v>2159</v>
      </c>
      <c r="AC2098" s="167">
        <v>353</v>
      </c>
      <c r="AD2098" s="203">
        <v>43180</v>
      </c>
      <c r="AE2098" s="203">
        <v>0</v>
      </c>
      <c r="AF2098" s="167" t="s">
        <v>3469</v>
      </c>
    </row>
    <row r="2099" spans="28:32" x14ac:dyDescent="0.25">
      <c r="AB2099" s="167" t="s">
        <v>2159</v>
      </c>
      <c r="AC2099" s="167">
        <v>353</v>
      </c>
      <c r="AD2099" s="203">
        <v>43180</v>
      </c>
      <c r="AE2099" s="203">
        <v>0</v>
      </c>
      <c r="AF2099" s="167" t="s">
        <v>3469</v>
      </c>
    </row>
    <row r="2100" spans="28:32" x14ac:dyDescent="0.25">
      <c r="AB2100" s="167" t="s">
        <v>2159</v>
      </c>
      <c r="AC2100" s="167">
        <v>353</v>
      </c>
      <c r="AD2100" s="203">
        <v>43180</v>
      </c>
      <c r="AE2100" s="203">
        <v>0</v>
      </c>
      <c r="AF2100" s="167" t="s">
        <v>3469</v>
      </c>
    </row>
    <row r="2101" spans="28:32" x14ac:dyDescent="0.25">
      <c r="AB2101" s="167" t="s">
        <v>2160</v>
      </c>
      <c r="AC2101" s="167">
        <v>347</v>
      </c>
      <c r="AD2101" s="203">
        <v>43118</v>
      </c>
      <c r="AE2101" s="203">
        <v>43133</v>
      </c>
      <c r="AF2101" s="167" t="s">
        <v>3470</v>
      </c>
    </row>
    <row r="2102" spans="28:32" x14ac:dyDescent="0.25">
      <c r="AB2102" s="167" t="s">
        <v>2160</v>
      </c>
      <c r="AC2102" s="167">
        <v>340</v>
      </c>
      <c r="AD2102" s="203">
        <v>43133</v>
      </c>
      <c r="AE2102" s="203">
        <v>43168</v>
      </c>
      <c r="AF2102" s="167" t="s">
        <v>3470</v>
      </c>
    </row>
    <row r="2103" spans="28:32" x14ac:dyDescent="0.25">
      <c r="AB2103" s="167" t="s">
        <v>3458</v>
      </c>
      <c r="AC2103" s="167">
        <v>347</v>
      </c>
      <c r="AD2103" s="203">
        <v>43118</v>
      </c>
      <c r="AE2103" s="203">
        <v>43133</v>
      </c>
      <c r="AF2103" s="167" t="s">
        <v>3470</v>
      </c>
    </row>
    <row r="2104" spans="28:32" x14ac:dyDescent="0.25">
      <c r="AB2104" s="167" t="s">
        <v>3458</v>
      </c>
      <c r="AC2104" s="167">
        <v>364</v>
      </c>
      <c r="AD2104" s="203">
        <v>43168</v>
      </c>
      <c r="AE2104" s="203">
        <v>43179</v>
      </c>
      <c r="AF2104" s="167" t="s">
        <v>3470</v>
      </c>
    </row>
    <row r="2105" spans="28:32" x14ac:dyDescent="0.25">
      <c r="AB2105" s="167" t="s">
        <v>3458</v>
      </c>
      <c r="AC2105" s="167">
        <v>374</v>
      </c>
      <c r="AD2105" s="203">
        <v>43195</v>
      </c>
      <c r="AE2105" s="203">
        <v>0</v>
      </c>
      <c r="AF2105" s="167" t="s">
        <v>3469</v>
      </c>
    </row>
    <row r="2106" spans="28:32" x14ac:dyDescent="0.25">
      <c r="AB2106" s="167" t="s">
        <v>2162</v>
      </c>
      <c r="AC2106" s="167">
        <v>323</v>
      </c>
      <c r="AD2106" s="203">
        <v>43074</v>
      </c>
      <c r="AE2106" s="203">
        <v>43111</v>
      </c>
      <c r="AF2106" s="167" t="s">
        <v>3470</v>
      </c>
    </row>
    <row r="2107" spans="28:32" x14ac:dyDescent="0.25">
      <c r="AB2107" s="167" t="s">
        <v>2162</v>
      </c>
      <c r="AC2107" s="167">
        <v>327</v>
      </c>
      <c r="AD2107" s="203">
        <v>43074</v>
      </c>
      <c r="AE2107" s="203">
        <v>43131</v>
      </c>
      <c r="AF2107" s="167" t="s">
        <v>3470</v>
      </c>
    </row>
    <row r="2108" spans="28:32" x14ac:dyDescent="0.25">
      <c r="AB2108" s="167" t="s">
        <v>2162</v>
      </c>
      <c r="AC2108" s="167">
        <v>347</v>
      </c>
      <c r="AD2108" s="203">
        <v>43118</v>
      </c>
      <c r="AE2108" s="203">
        <v>43133</v>
      </c>
      <c r="AF2108" s="167" t="s">
        <v>3470</v>
      </c>
    </row>
    <row r="2109" spans="28:32" x14ac:dyDescent="0.25">
      <c r="AB2109" s="167" t="s">
        <v>2162</v>
      </c>
      <c r="AC2109" s="167">
        <v>340</v>
      </c>
      <c r="AD2109" s="203">
        <v>43133</v>
      </c>
      <c r="AE2109" s="203">
        <v>43168</v>
      </c>
      <c r="AF2109" s="167" t="s">
        <v>3470</v>
      </c>
    </row>
    <row r="2110" spans="28:32" x14ac:dyDescent="0.25">
      <c r="AB2110" s="167" t="s">
        <v>2162</v>
      </c>
      <c r="AC2110" s="167">
        <v>374</v>
      </c>
      <c r="AD2110" s="203">
        <v>43195</v>
      </c>
      <c r="AE2110" s="203">
        <v>0</v>
      </c>
      <c r="AF2110" s="167" t="s">
        <v>3469</v>
      </c>
    </row>
    <row r="2111" spans="28:32" x14ac:dyDescent="0.25">
      <c r="AB2111" s="167" t="s">
        <v>2164</v>
      </c>
      <c r="AC2111" s="167">
        <v>335</v>
      </c>
      <c r="AD2111" s="203">
        <v>43133</v>
      </c>
      <c r="AE2111" s="203">
        <v>43147</v>
      </c>
      <c r="AF2111" s="167" t="s">
        <v>3470</v>
      </c>
    </row>
    <row r="2112" spans="28:32" x14ac:dyDescent="0.25">
      <c r="AB2112" s="167" t="s">
        <v>2164</v>
      </c>
      <c r="AC2112" s="167">
        <v>340</v>
      </c>
      <c r="AD2112" s="203">
        <v>43133</v>
      </c>
      <c r="AE2112" s="203">
        <v>43168</v>
      </c>
      <c r="AF2112" s="167" t="s">
        <v>3470</v>
      </c>
    </row>
    <row r="2113" spans="28:32" x14ac:dyDescent="0.25">
      <c r="AB2113" s="167" t="s">
        <v>2164</v>
      </c>
      <c r="AC2113" s="167">
        <v>353</v>
      </c>
      <c r="AD2113" s="203">
        <v>43180</v>
      </c>
      <c r="AE2113" s="203">
        <v>0</v>
      </c>
      <c r="AF2113" s="167" t="s">
        <v>3469</v>
      </c>
    </row>
    <row r="2114" spans="28:32" x14ac:dyDescent="0.25">
      <c r="AB2114" s="167" t="s">
        <v>2164</v>
      </c>
      <c r="AC2114" s="167">
        <v>353</v>
      </c>
      <c r="AD2114" s="203">
        <v>43180</v>
      </c>
      <c r="AE2114" s="203">
        <v>0</v>
      </c>
      <c r="AF2114" s="167" t="s">
        <v>3469</v>
      </c>
    </row>
    <row r="2115" spans="28:32" x14ac:dyDescent="0.25">
      <c r="AB2115" s="167" t="s">
        <v>2164</v>
      </c>
      <c r="AC2115" s="167">
        <v>353</v>
      </c>
      <c r="AD2115" s="203">
        <v>43180</v>
      </c>
      <c r="AE2115" s="203">
        <v>0</v>
      </c>
      <c r="AF2115" s="167" t="s">
        <v>3469</v>
      </c>
    </row>
    <row r="2116" spans="28:32" x14ac:dyDescent="0.25">
      <c r="AB2116" s="167" t="s">
        <v>2164</v>
      </c>
      <c r="AC2116" s="167">
        <v>353</v>
      </c>
      <c r="AD2116" s="203">
        <v>43180</v>
      </c>
      <c r="AE2116" s="203">
        <v>0</v>
      </c>
      <c r="AF2116" s="167" t="s">
        <v>3469</v>
      </c>
    </row>
    <row r="2117" spans="28:32" x14ac:dyDescent="0.25">
      <c r="AB2117" s="167" t="s">
        <v>2164</v>
      </c>
      <c r="AC2117" s="167">
        <v>353</v>
      </c>
      <c r="AD2117" s="203">
        <v>43180</v>
      </c>
      <c r="AE2117" s="203">
        <v>0</v>
      </c>
      <c r="AF2117" s="167" t="s">
        <v>3469</v>
      </c>
    </row>
    <row r="2118" spans="28:32" x14ac:dyDescent="0.25">
      <c r="AB2118" s="167" t="s">
        <v>2164</v>
      </c>
      <c r="AC2118" s="167">
        <v>353</v>
      </c>
      <c r="AD2118" s="203">
        <v>43180</v>
      </c>
      <c r="AE2118" s="203">
        <v>0</v>
      </c>
      <c r="AF2118" s="167" t="s">
        <v>3469</v>
      </c>
    </row>
    <row r="2119" spans="28:32" x14ac:dyDescent="0.25">
      <c r="AB2119" s="167" t="s">
        <v>2164</v>
      </c>
      <c r="AC2119" s="167">
        <v>353</v>
      </c>
      <c r="AD2119" s="203">
        <v>43180</v>
      </c>
      <c r="AE2119" s="203">
        <v>0</v>
      </c>
      <c r="AF2119" s="167" t="s">
        <v>3469</v>
      </c>
    </row>
    <row r="2120" spans="28:32" x14ac:dyDescent="0.25">
      <c r="AB2120" s="167" t="s">
        <v>2164</v>
      </c>
      <c r="AC2120" s="167">
        <v>353</v>
      </c>
      <c r="AD2120" s="203">
        <v>43180</v>
      </c>
      <c r="AE2120" s="203">
        <v>0</v>
      </c>
      <c r="AF2120" s="167" t="s">
        <v>3469</v>
      </c>
    </row>
    <row r="2121" spans="28:32" x14ac:dyDescent="0.25">
      <c r="AB2121" s="167" t="s">
        <v>2164</v>
      </c>
      <c r="AC2121" s="167">
        <v>353</v>
      </c>
      <c r="AD2121" s="203">
        <v>43180</v>
      </c>
      <c r="AE2121" s="203">
        <v>0</v>
      </c>
      <c r="AF2121" s="167" t="s">
        <v>3469</v>
      </c>
    </row>
    <row r="2122" spans="28:32" x14ac:dyDescent="0.25">
      <c r="AB2122" s="167" t="s">
        <v>2164</v>
      </c>
      <c r="AC2122" s="167">
        <v>353</v>
      </c>
      <c r="AD2122" s="203">
        <v>43180</v>
      </c>
      <c r="AE2122" s="203">
        <v>0</v>
      </c>
      <c r="AF2122" s="167" t="s">
        <v>3469</v>
      </c>
    </row>
    <row r="2123" spans="28:32" x14ac:dyDescent="0.25">
      <c r="AB2123" s="167" t="s">
        <v>2166</v>
      </c>
      <c r="AC2123" s="167">
        <v>323</v>
      </c>
      <c r="AD2123" s="203">
        <v>43074</v>
      </c>
      <c r="AE2123" s="203">
        <v>43111</v>
      </c>
      <c r="AF2123" s="167" t="s">
        <v>3470</v>
      </c>
    </row>
    <row r="2124" spans="28:32" x14ac:dyDescent="0.25">
      <c r="AB2124" s="167" t="s">
        <v>2166</v>
      </c>
      <c r="AC2124" s="167">
        <v>347</v>
      </c>
      <c r="AD2124" s="203">
        <v>43118</v>
      </c>
      <c r="AE2124" s="203">
        <v>43133</v>
      </c>
      <c r="AF2124" s="167" t="s">
        <v>3470</v>
      </c>
    </row>
    <row r="2125" spans="28:32" x14ac:dyDescent="0.25">
      <c r="AB2125" s="167" t="s">
        <v>2166</v>
      </c>
      <c r="AC2125" s="167">
        <v>340</v>
      </c>
      <c r="AD2125" s="203">
        <v>43133</v>
      </c>
      <c r="AE2125" s="203">
        <v>43168</v>
      </c>
      <c r="AF2125" s="167" t="s">
        <v>3470</v>
      </c>
    </row>
    <row r="2126" spans="28:32" x14ac:dyDescent="0.25">
      <c r="AB2126" s="167" t="s">
        <v>2166</v>
      </c>
      <c r="AC2126" s="167">
        <v>340</v>
      </c>
      <c r="AD2126" s="203">
        <v>43133</v>
      </c>
      <c r="AE2126" s="203">
        <v>43168</v>
      </c>
      <c r="AF2126" s="167" t="s">
        <v>3470</v>
      </c>
    </row>
    <row r="2127" spans="28:32" x14ac:dyDescent="0.25">
      <c r="AB2127" s="167" t="s">
        <v>2166</v>
      </c>
      <c r="AC2127" s="167">
        <v>353</v>
      </c>
      <c r="AD2127" s="203">
        <v>43180</v>
      </c>
      <c r="AE2127" s="203">
        <v>0</v>
      </c>
      <c r="AF2127" s="167" t="s">
        <v>3469</v>
      </c>
    </row>
    <row r="2128" spans="28:32" x14ac:dyDescent="0.25">
      <c r="AB2128" s="167" t="s">
        <v>2166</v>
      </c>
      <c r="AC2128" s="167">
        <v>353</v>
      </c>
      <c r="AD2128" s="203">
        <v>43180</v>
      </c>
      <c r="AE2128" s="203">
        <v>0</v>
      </c>
      <c r="AF2128" s="167" t="s">
        <v>3469</v>
      </c>
    </row>
    <row r="2129" spans="28:32" x14ac:dyDescent="0.25">
      <c r="AB2129" s="167" t="s">
        <v>2166</v>
      </c>
      <c r="AC2129" s="167">
        <v>353</v>
      </c>
      <c r="AD2129" s="203">
        <v>43180</v>
      </c>
      <c r="AE2129" s="203">
        <v>0</v>
      </c>
      <c r="AF2129" s="167" t="s">
        <v>3469</v>
      </c>
    </row>
    <row r="2130" spans="28:32" x14ac:dyDescent="0.25">
      <c r="AB2130" s="167" t="s">
        <v>3482</v>
      </c>
      <c r="AC2130" s="167">
        <v>347</v>
      </c>
      <c r="AD2130" s="203">
        <v>43118</v>
      </c>
      <c r="AE2130" s="203">
        <v>43133</v>
      </c>
      <c r="AF2130" s="167" t="s">
        <v>3470</v>
      </c>
    </row>
    <row r="2131" spans="28:32" x14ac:dyDescent="0.25">
      <c r="AB2131" s="167" t="s">
        <v>3482</v>
      </c>
      <c r="AC2131" s="167">
        <v>340</v>
      </c>
      <c r="AD2131" s="203">
        <v>43133</v>
      </c>
      <c r="AE2131" s="203">
        <v>43168</v>
      </c>
      <c r="AF2131" s="167" t="s">
        <v>3470</v>
      </c>
    </row>
    <row r="2132" spans="28:32" x14ac:dyDescent="0.25">
      <c r="AB2132" s="167" t="s">
        <v>2168</v>
      </c>
      <c r="AC2132" s="167">
        <v>323</v>
      </c>
      <c r="AD2132" s="203">
        <v>43074</v>
      </c>
      <c r="AE2132" s="203">
        <v>43111</v>
      </c>
      <c r="AF2132" s="167" t="s">
        <v>3470</v>
      </c>
    </row>
    <row r="2133" spans="28:32" x14ac:dyDescent="0.25">
      <c r="AB2133" s="167" t="s">
        <v>2168</v>
      </c>
      <c r="AC2133" s="167">
        <v>347</v>
      </c>
      <c r="AD2133" s="203">
        <v>43118</v>
      </c>
      <c r="AE2133" s="203">
        <v>43133</v>
      </c>
      <c r="AF2133" s="167" t="s">
        <v>3470</v>
      </c>
    </row>
    <row r="2134" spans="28:32" x14ac:dyDescent="0.25">
      <c r="AB2134" s="167" t="s">
        <v>2168</v>
      </c>
      <c r="AC2134" s="167">
        <v>340</v>
      </c>
      <c r="AD2134" s="203">
        <v>43133</v>
      </c>
      <c r="AE2134" s="203">
        <v>43168</v>
      </c>
      <c r="AF2134" s="167" t="s">
        <v>3470</v>
      </c>
    </row>
    <row r="2135" spans="28:32" x14ac:dyDescent="0.25">
      <c r="AB2135" s="167" t="s">
        <v>2168</v>
      </c>
      <c r="AC2135" s="167">
        <v>340</v>
      </c>
      <c r="AD2135" s="203">
        <v>43133</v>
      </c>
      <c r="AE2135" s="203">
        <v>43168</v>
      </c>
      <c r="AF2135" s="167" t="s">
        <v>3470</v>
      </c>
    </row>
    <row r="2136" spans="28:32" x14ac:dyDescent="0.25">
      <c r="AB2136" s="167" t="s">
        <v>2168</v>
      </c>
      <c r="AC2136" s="167">
        <v>357</v>
      </c>
      <c r="AD2136" s="203">
        <v>43139</v>
      </c>
      <c r="AE2136" s="203">
        <v>43164</v>
      </c>
      <c r="AF2136" s="167" t="s">
        <v>3470</v>
      </c>
    </row>
    <row r="2137" spans="28:32" x14ac:dyDescent="0.25">
      <c r="AB2137" s="167" t="s">
        <v>2168</v>
      </c>
      <c r="AC2137" s="167">
        <v>353</v>
      </c>
      <c r="AD2137" s="203">
        <v>43180</v>
      </c>
      <c r="AE2137" s="203">
        <v>0</v>
      </c>
      <c r="AF2137" s="167" t="s">
        <v>3469</v>
      </c>
    </row>
    <row r="2138" spans="28:32" x14ac:dyDescent="0.25">
      <c r="AB2138" s="167" t="s">
        <v>2169</v>
      </c>
      <c r="AC2138" s="167">
        <v>327</v>
      </c>
      <c r="AD2138" s="203">
        <v>43074</v>
      </c>
      <c r="AE2138" s="203">
        <v>43131</v>
      </c>
      <c r="AF2138" s="167" t="s">
        <v>3470</v>
      </c>
    </row>
    <row r="2139" spans="28:32" x14ac:dyDescent="0.25">
      <c r="AB2139" s="167" t="s">
        <v>2169</v>
      </c>
      <c r="AC2139" s="167">
        <v>347</v>
      </c>
      <c r="AD2139" s="203">
        <v>43118</v>
      </c>
      <c r="AE2139" s="203">
        <v>43133</v>
      </c>
      <c r="AF2139" s="167" t="s">
        <v>3470</v>
      </c>
    </row>
    <row r="2140" spans="28:32" x14ac:dyDescent="0.25">
      <c r="AB2140" s="167" t="s">
        <v>2169</v>
      </c>
      <c r="AC2140" s="167">
        <v>364</v>
      </c>
      <c r="AD2140" s="203">
        <v>43168</v>
      </c>
      <c r="AE2140" s="203">
        <v>43179</v>
      </c>
      <c r="AF2140" s="167" t="s">
        <v>3470</v>
      </c>
    </row>
    <row r="2141" spans="28:32" x14ac:dyDescent="0.25">
      <c r="AB2141" s="167" t="s">
        <v>2169</v>
      </c>
      <c r="AC2141" s="167">
        <v>353</v>
      </c>
      <c r="AD2141" s="203">
        <v>43180</v>
      </c>
      <c r="AE2141" s="203">
        <v>0</v>
      </c>
      <c r="AF2141" s="167" t="s">
        <v>3469</v>
      </c>
    </row>
    <row r="2142" spans="28:32" x14ac:dyDescent="0.25">
      <c r="AB2142" s="167" t="s">
        <v>2171</v>
      </c>
      <c r="AC2142" s="167">
        <v>364</v>
      </c>
      <c r="AD2142" s="203">
        <v>43168</v>
      </c>
      <c r="AE2142" s="203">
        <v>43179</v>
      </c>
      <c r="AF2142" s="167" t="s">
        <v>3470</v>
      </c>
    </row>
    <row r="2143" spans="28:32" x14ac:dyDescent="0.25">
      <c r="AB2143" s="167" t="s">
        <v>2171</v>
      </c>
      <c r="AC2143" s="167">
        <v>353</v>
      </c>
      <c r="AD2143" s="203">
        <v>43180</v>
      </c>
      <c r="AE2143" s="203">
        <v>0</v>
      </c>
      <c r="AF2143" s="167" t="s">
        <v>3469</v>
      </c>
    </row>
    <row r="2144" spans="28:32" x14ac:dyDescent="0.25">
      <c r="AB2144" s="167" t="s">
        <v>2172</v>
      </c>
      <c r="AC2144" s="167">
        <v>323</v>
      </c>
      <c r="AD2144" s="203">
        <v>43074</v>
      </c>
      <c r="AE2144" s="203">
        <v>43111</v>
      </c>
      <c r="AF2144" s="167" t="s">
        <v>3470</v>
      </c>
    </row>
    <row r="2145" spans="28:32" x14ac:dyDescent="0.25">
      <c r="AB2145" s="167" t="s">
        <v>2172</v>
      </c>
      <c r="AC2145" s="167">
        <v>347</v>
      </c>
      <c r="AD2145" s="203">
        <v>43118</v>
      </c>
      <c r="AE2145" s="203">
        <v>43133</v>
      </c>
      <c r="AF2145" s="167" t="s">
        <v>3470</v>
      </c>
    </row>
    <row r="2146" spans="28:32" x14ac:dyDescent="0.25">
      <c r="AB2146" s="167" t="s">
        <v>2172</v>
      </c>
      <c r="AC2146" s="167">
        <v>353</v>
      </c>
      <c r="AD2146" s="203">
        <v>43180</v>
      </c>
      <c r="AE2146" s="203">
        <v>0</v>
      </c>
      <c r="AF2146" s="167" t="s">
        <v>3469</v>
      </c>
    </row>
    <row r="2147" spans="28:32" x14ac:dyDescent="0.25">
      <c r="AB2147" s="167" t="s">
        <v>2172</v>
      </c>
      <c r="AC2147" s="167">
        <v>353</v>
      </c>
      <c r="AD2147" s="203">
        <v>43180</v>
      </c>
      <c r="AE2147" s="203">
        <v>0</v>
      </c>
      <c r="AF2147" s="167" t="s">
        <v>3469</v>
      </c>
    </row>
    <row r="2148" spans="28:32" x14ac:dyDescent="0.25">
      <c r="AB2148" s="167" t="s">
        <v>2172</v>
      </c>
      <c r="AC2148" s="167">
        <v>353</v>
      </c>
      <c r="AD2148" s="203">
        <v>43180</v>
      </c>
      <c r="AE2148" s="203">
        <v>0</v>
      </c>
      <c r="AF2148" s="167" t="s">
        <v>3469</v>
      </c>
    </row>
    <row r="2149" spans="28:32" x14ac:dyDescent="0.25">
      <c r="AB2149" s="167" t="s">
        <v>2174</v>
      </c>
      <c r="AC2149" s="167">
        <v>323</v>
      </c>
      <c r="AD2149" s="203">
        <v>43074</v>
      </c>
      <c r="AE2149" s="203">
        <v>43111</v>
      </c>
      <c r="AF2149" s="167" t="s">
        <v>3470</v>
      </c>
    </row>
    <row r="2150" spans="28:32" x14ac:dyDescent="0.25">
      <c r="AB2150" s="167" t="s">
        <v>2174</v>
      </c>
      <c r="AC2150" s="167">
        <v>353</v>
      </c>
      <c r="AD2150" s="203">
        <v>43180</v>
      </c>
      <c r="AE2150" s="203">
        <v>0</v>
      </c>
      <c r="AF2150" s="167" t="s">
        <v>3469</v>
      </c>
    </row>
    <row r="2151" spans="28:32" x14ac:dyDescent="0.25">
      <c r="AB2151" s="167" t="s">
        <v>2176</v>
      </c>
      <c r="AC2151" s="167">
        <v>327</v>
      </c>
      <c r="AD2151" s="203">
        <v>43074</v>
      </c>
      <c r="AE2151" s="203">
        <v>43131</v>
      </c>
      <c r="AF2151" s="167" t="s">
        <v>3470</v>
      </c>
    </row>
    <row r="2152" spans="28:32" x14ac:dyDescent="0.25">
      <c r="AB2152" s="167" t="s">
        <v>2176</v>
      </c>
      <c r="AC2152" s="167">
        <v>347</v>
      </c>
      <c r="AD2152" s="203">
        <v>43118</v>
      </c>
      <c r="AE2152" s="203">
        <v>43133</v>
      </c>
      <c r="AF2152" s="167" t="s">
        <v>3470</v>
      </c>
    </row>
    <row r="2153" spans="28:32" x14ac:dyDescent="0.25">
      <c r="AB2153" s="167" t="s">
        <v>2176</v>
      </c>
      <c r="AC2153" s="167">
        <v>340</v>
      </c>
      <c r="AD2153" s="203">
        <v>43133</v>
      </c>
      <c r="AE2153" s="203">
        <v>43168</v>
      </c>
      <c r="AF2153" s="167" t="s">
        <v>3470</v>
      </c>
    </row>
    <row r="2154" spans="28:32" x14ac:dyDescent="0.25">
      <c r="AB2154" s="167" t="s">
        <v>2176</v>
      </c>
      <c r="AC2154" s="167">
        <v>340</v>
      </c>
      <c r="AD2154" s="203">
        <v>43133</v>
      </c>
      <c r="AE2154" s="203">
        <v>43168</v>
      </c>
      <c r="AF2154" s="167" t="s">
        <v>3470</v>
      </c>
    </row>
    <row r="2155" spans="28:32" x14ac:dyDescent="0.25">
      <c r="AB2155" s="167" t="s">
        <v>2176</v>
      </c>
      <c r="AC2155" s="167">
        <v>357</v>
      </c>
      <c r="AD2155" s="203">
        <v>43139</v>
      </c>
      <c r="AE2155" s="203">
        <v>43164</v>
      </c>
      <c r="AF2155" s="167" t="s">
        <v>3470</v>
      </c>
    </row>
    <row r="2156" spans="28:32" x14ac:dyDescent="0.25">
      <c r="AB2156" s="167" t="s">
        <v>2176</v>
      </c>
      <c r="AC2156" s="167">
        <v>353</v>
      </c>
      <c r="AD2156" s="203">
        <v>43180</v>
      </c>
      <c r="AE2156" s="203">
        <v>0</v>
      </c>
      <c r="AF2156" s="167" t="s">
        <v>3469</v>
      </c>
    </row>
    <row r="2157" spans="28:32" x14ac:dyDescent="0.25">
      <c r="AB2157" s="167" t="s">
        <v>2178</v>
      </c>
      <c r="AC2157" s="167">
        <v>327</v>
      </c>
      <c r="AD2157" s="203">
        <v>43074</v>
      </c>
      <c r="AE2157" s="203">
        <v>43131</v>
      </c>
      <c r="AF2157" s="167" t="s">
        <v>3470</v>
      </c>
    </row>
    <row r="2158" spans="28:32" x14ac:dyDescent="0.25">
      <c r="AB2158" s="167" t="s">
        <v>2178</v>
      </c>
      <c r="AC2158" s="167">
        <v>347</v>
      </c>
      <c r="AD2158" s="203">
        <v>43118</v>
      </c>
      <c r="AE2158" s="203">
        <v>43133</v>
      </c>
      <c r="AF2158" s="167" t="s">
        <v>3470</v>
      </c>
    </row>
    <row r="2159" spans="28:32" x14ac:dyDescent="0.25">
      <c r="AB2159" s="167" t="s">
        <v>2178</v>
      </c>
      <c r="AC2159" s="167">
        <v>357</v>
      </c>
      <c r="AD2159" s="203">
        <v>43139</v>
      </c>
      <c r="AE2159" s="203">
        <v>43164</v>
      </c>
      <c r="AF2159" s="167" t="s">
        <v>3470</v>
      </c>
    </row>
    <row r="2160" spans="28:32" x14ac:dyDescent="0.25">
      <c r="AB2160" s="167" t="s">
        <v>2178</v>
      </c>
      <c r="AC2160" s="167">
        <v>364</v>
      </c>
      <c r="AD2160" s="203">
        <v>43168</v>
      </c>
      <c r="AE2160" s="203">
        <v>43179</v>
      </c>
      <c r="AF2160" s="167" t="s">
        <v>3470</v>
      </c>
    </row>
    <row r="2161" spans="28:32" x14ac:dyDescent="0.25">
      <c r="AB2161" s="167" t="s">
        <v>2178</v>
      </c>
      <c r="AC2161" s="167">
        <v>353</v>
      </c>
      <c r="AD2161" s="203">
        <v>43180</v>
      </c>
      <c r="AE2161" s="203">
        <v>0</v>
      </c>
      <c r="AF2161" s="167" t="s">
        <v>3469</v>
      </c>
    </row>
    <row r="2162" spans="28:32" x14ac:dyDescent="0.25">
      <c r="AB2162" s="167" t="s">
        <v>2178</v>
      </c>
      <c r="AC2162" s="167">
        <v>353</v>
      </c>
      <c r="AD2162" s="203">
        <v>43180</v>
      </c>
      <c r="AE2162" s="203">
        <v>0</v>
      </c>
      <c r="AF2162" s="167" t="s">
        <v>3469</v>
      </c>
    </row>
    <row r="2163" spans="28:32" x14ac:dyDescent="0.25">
      <c r="AB2163" s="167" t="s">
        <v>2178</v>
      </c>
      <c r="AC2163" s="167">
        <v>353</v>
      </c>
      <c r="AD2163" s="203">
        <v>43180</v>
      </c>
      <c r="AE2163" s="203">
        <v>0</v>
      </c>
      <c r="AF2163" s="167" t="s">
        <v>3469</v>
      </c>
    </row>
    <row r="2164" spans="28:32" x14ac:dyDescent="0.25">
      <c r="AB2164" s="167" t="s">
        <v>2178</v>
      </c>
      <c r="AC2164" s="167">
        <v>353</v>
      </c>
      <c r="AD2164" s="203">
        <v>43180</v>
      </c>
      <c r="AE2164" s="203">
        <v>0</v>
      </c>
      <c r="AF2164" s="167" t="s">
        <v>3469</v>
      </c>
    </row>
    <row r="2165" spans="28:32" x14ac:dyDescent="0.25">
      <c r="AB2165" s="167" t="s">
        <v>2178</v>
      </c>
      <c r="AC2165" s="167">
        <v>353</v>
      </c>
      <c r="AD2165" s="203">
        <v>43180</v>
      </c>
      <c r="AE2165" s="203">
        <v>0</v>
      </c>
      <c r="AF2165" s="167" t="s">
        <v>3469</v>
      </c>
    </row>
    <row r="2166" spans="28:32" x14ac:dyDescent="0.25">
      <c r="AB2166" s="167" t="s">
        <v>2178</v>
      </c>
      <c r="AC2166" s="167">
        <v>353</v>
      </c>
      <c r="AD2166" s="203">
        <v>43180</v>
      </c>
      <c r="AE2166" s="203">
        <v>0</v>
      </c>
      <c r="AF2166" s="167" t="s">
        <v>3469</v>
      </c>
    </row>
    <row r="2167" spans="28:32" x14ac:dyDescent="0.25">
      <c r="AB2167" s="167" t="s">
        <v>2178</v>
      </c>
      <c r="AC2167" s="167">
        <v>353</v>
      </c>
      <c r="AD2167" s="203">
        <v>43180</v>
      </c>
      <c r="AE2167" s="203">
        <v>0</v>
      </c>
      <c r="AF2167" s="167" t="s">
        <v>3469</v>
      </c>
    </row>
    <row r="2168" spans="28:32" x14ac:dyDescent="0.25">
      <c r="AB2168" s="167" t="s">
        <v>2178</v>
      </c>
      <c r="AC2168" s="167">
        <v>353</v>
      </c>
      <c r="AD2168" s="203">
        <v>43180</v>
      </c>
      <c r="AE2168" s="203">
        <v>0</v>
      </c>
      <c r="AF2168" s="167" t="s">
        <v>3469</v>
      </c>
    </row>
    <row r="2169" spans="28:32" x14ac:dyDescent="0.25">
      <c r="AB2169" s="167" t="s">
        <v>2178</v>
      </c>
      <c r="AC2169" s="167">
        <v>353</v>
      </c>
      <c r="AD2169" s="203">
        <v>43180</v>
      </c>
      <c r="AE2169" s="203">
        <v>0</v>
      </c>
      <c r="AF2169" s="167" t="s">
        <v>3469</v>
      </c>
    </row>
    <row r="2170" spans="28:32" x14ac:dyDescent="0.25">
      <c r="AB2170" s="167" t="s">
        <v>2178</v>
      </c>
      <c r="AC2170" s="167">
        <v>353</v>
      </c>
      <c r="AD2170" s="203">
        <v>43180</v>
      </c>
      <c r="AE2170" s="203">
        <v>0</v>
      </c>
      <c r="AF2170" s="167" t="s">
        <v>3469</v>
      </c>
    </row>
    <row r="2171" spans="28:32" x14ac:dyDescent="0.25">
      <c r="AB2171" s="167" t="s">
        <v>2178</v>
      </c>
      <c r="AC2171" s="167">
        <v>353</v>
      </c>
      <c r="AD2171" s="203">
        <v>43180</v>
      </c>
      <c r="AE2171" s="203">
        <v>0</v>
      </c>
      <c r="AF2171" s="167" t="s">
        <v>3469</v>
      </c>
    </row>
    <row r="2172" spans="28:32" x14ac:dyDescent="0.25">
      <c r="AB2172" s="167" t="s">
        <v>2179</v>
      </c>
      <c r="AC2172" s="167">
        <v>327</v>
      </c>
      <c r="AD2172" s="203">
        <v>43074</v>
      </c>
      <c r="AE2172" s="203">
        <v>43131</v>
      </c>
      <c r="AF2172" s="167" t="s">
        <v>3470</v>
      </c>
    </row>
    <row r="2173" spans="28:32" x14ac:dyDescent="0.25">
      <c r="AB2173" s="167" t="s">
        <v>2179</v>
      </c>
      <c r="AC2173" s="167">
        <v>327</v>
      </c>
      <c r="AD2173" s="203">
        <v>43074</v>
      </c>
      <c r="AE2173" s="203">
        <v>43131</v>
      </c>
      <c r="AF2173" s="167" t="s">
        <v>3470</v>
      </c>
    </row>
    <row r="2174" spans="28:32" x14ac:dyDescent="0.25">
      <c r="AB2174" s="167" t="s">
        <v>2179</v>
      </c>
      <c r="AC2174" s="167">
        <v>347</v>
      </c>
      <c r="AD2174" s="203">
        <v>43118</v>
      </c>
      <c r="AE2174" s="203">
        <v>43133</v>
      </c>
      <c r="AF2174" s="167" t="s">
        <v>3470</v>
      </c>
    </row>
    <row r="2175" spans="28:32" x14ac:dyDescent="0.25">
      <c r="AB2175" s="167" t="s">
        <v>2179</v>
      </c>
      <c r="AC2175" s="167">
        <v>340</v>
      </c>
      <c r="AD2175" s="203">
        <v>43133</v>
      </c>
      <c r="AE2175" s="203">
        <v>43168</v>
      </c>
      <c r="AF2175" s="167" t="s">
        <v>3470</v>
      </c>
    </row>
    <row r="2176" spans="28:32" x14ac:dyDescent="0.25">
      <c r="AB2176" s="167" t="s">
        <v>2179</v>
      </c>
      <c r="AC2176" s="167">
        <v>340</v>
      </c>
      <c r="AD2176" s="203">
        <v>43133</v>
      </c>
      <c r="AE2176" s="203">
        <v>43168</v>
      </c>
      <c r="AF2176" s="167" t="s">
        <v>3470</v>
      </c>
    </row>
    <row r="2177" spans="28:32" x14ac:dyDescent="0.25">
      <c r="AB2177" s="167" t="s">
        <v>2180</v>
      </c>
      <c r="AC2177" s="167">
        <v>327</v>
      </c>
      <c r="AD2177" s="203">
        <v>43074</v>
      </c>
      <c r="AE2177" s="203">
        <v>43131</v>
      </c>
      <c r="AF2177" s="167" t="s">
        <v>3470</v>
      </c>
    </row>
    <row r="2178" spans="28:32" x14ac:dyDescent="0.25">
      <c r="AB2178" s="167" t="s">
        <v>2180</v>
      </c>
      <c r="AC2178" s="167">
        <v>347</v>
      </c>
      <c r="AD2178" s="203">
        <v>43118</v>
      </c>
      <c r="AE2178" s="203">
        <v>43133</v>
      </c>
      <c r="AF2178" s="167" t="s">
        <v>3470</v>
      </c>
    </row>
    <row r="2179" spans="28:32" x14ac:dyDescent="0.25">
      <c r="AB2179" s="167" t="s">
        <v>2180</v>
      </c>
      <c r="AC2179" s="167">
        <v>340</v>
      </c>
      <c r="AD2179" s="203">
        <v>43133</v>
      </c>
      <c r="AE2179" s="203">
        <v>43168</v>
      </c>
      <c r="AF2179" s="167" t="s">
        <v>3470</v>
      </c>
    </row>
    <row r="2180" spans="28:32" x14ac:dyDescent="0.25">
      <c r="AB2180" s="167" t="s">
        <v>2180</v>
      </c>
      <c r="AC2180" s="167">
        <v>340</v>
      </c>
      <c r="AD2180" s="203">
        <v>43133</v>
      </c>
      <c r="AE2180" s="203">
        <v>43168</v>
      </c>
      <c r="AF2180" s="167" t="s">
        <v>3470</v>
      </c>
    </row>
    <row r="2181" spans="28:32" x14ac:dyDescent="0.25">
      <c r="AB2181" s="167" t="s">
        <v>2180</v>
      </c>
      <c r="AC2181" s="167">
        <v>357</v>
      </c>
      <c r="AD2181" s="203">
        <v>43139</v>
      </c>
      <c r="AE2181" s="203">
        <v>43164</v>
      </c>
      <c r="AF2181" s="167" t="s">
        <v>3470</v>
      </c>
    </row>
    <row r="2182" spans="28:32" x14ac:dyDescent="0.25">
      <c r="AB2182" s="167" t="s">
        <v>2180</v>
      </c>
      <c r="AC2182" s="167">
        <v>364</v>
      </c>
      <c r="AD2182" s="203">
        <v>43168</v>
      </c>
      <c r="AE2182" s="203">
        <v>43179</v>
      </c>
      <c r="AF2182" s="167" t="s">
        <v>3470</v>
      </c>
    </row>
    <row r="2183" spans="28:32" x14ac:dyDescent="0.25">
      <c r="AB2183" s="167" t="s">
        <v>2180</v>
      </c>
      <c r="AC2183" s="167">
        <v>353</v>
      </c>
      <c r="AD2183" s="203">
        <v>43180</v>
      </c>
      <c r="AE2183" s="203">
        <v>0</v>
      </c>
      <c r="AF2183" s="167" t="s">
        <v>3469</v>
      </c>
    </row>
    <row r="2184" spans="28:32" x14ac:dyDescent="0.25">
      <c r="AB2184" s="167" t="s">
        <v>2180</v>
      </c>
      <c r="AC2184" s="167">
        <v>353</v>
      </c>
      <c r="AD2184" s="203">
        <v>43180</v>
      </c>
      <c r="AE2184" s="203">
        <v>0</v>
      </c>
      <c r="AF2184" s="167" t="s">
        <v>3469</v>
      </c>
    </row>
    <row r="2185" spans="28:32" x14ac:dyDescent="0.25">
      <c r="AB2185" s="167" t="s">
        <v>2180</v>
      </c>
      <c r="AC2185" s="167">
        <v>353</v>
      </c>
      <c r="AD2185" s="203">
        <v>43180</v>
      </c>
      <c r="AE2185" s="203">
        <v>0</v>
      </c>
      <c r="AF2185" s="167" t="s">
        <v>3469</v>
      </c>
    </row>
    <row r="2186" spans="28:32" x14ac:dyDescent="0.25">
      <c r="AB2186" s="167" t="s">
        <v>2182</v>
      </c>
      <c r="AC2186" s="167">
        <v>340</v>
      </c>
      <c r="AD2186" s="203">
        <v>43133</v>
      </c>
      <c r="AE2186" s="203">
        <v>43168</v>
      </c>
      <c r="AF2186" s="167" t="s">
        <v>3470</v>
      </c>
    </row>
    <row r="2187" spans="28:32" x14ac:dyDescent="0.25">
      <c r="AB2187" s="167" t="s">
        <v>2182</v>
      </c>
      <c r="AC2187" s="167">
        <v>357</v>
      </c>
      <c r="AD2187" s="203">
        <v>43139</v>
      </c>
      <c r="AE2187" s="203">
        <v>43164</v>
      </c>
      <c r="AF2187" s="167" t="s">
        <v>3470</v>
      </c>
    </row>
    <row r="2188" spans="28:32" x14ac:dyDescent="0.25">
      <c r="AB2188" s="167" t="s">
        <v>2182</v>
      </c>
      <c r="AC2188" s="167">
        <v>353</v>
      </c>
      <c r="AD2188" s="203">
        <v>43180</v>
      </c>
      <c r="AE2188" s="203">
        <v>0</v>
      </c>
      <c r="AF2188" s="167" t="s">
        <v>3469</v>
      </c>
    </row>
    <row r="2189" spans="28:32" x14ac:dyDescent="0.25">
      <c r="AB2189" s="167" t="s">
        <v>2182</v>
      </c>
      <c r="AC2189" s="167">
        <v>353</v>
      </c>
      <c r="AD2189" s="203">
        <v>43180</v>
      </c>
      <c r="AE2189" s="203">
        <v>0</v>
      </c>
      <c r="AF2189" s="167" t="s">
        <v>3469</v>
      </c>
    </row>
    <row r="2190" spans="28:32" x14ac:dyDescent="0.25">
      <c r="AB2190" s="167" t="s">
        <v>3423</v>
      </c>
      <c r="AC2190" s="167">
        <v>323</v>
      </c>
      <c r="AD2190" s="203">
        <v>43074</v>
      </c>
      <c r="AE2190" s="203">
        <v>43111</v>
      </c>
      <c r="AF2190" s="167" t="s">
        <v>3470</v>
      </c>
    </row>
    <row r="2191" spans="28:32" x14ac:dyDescent="0.25">
      <c r="AB2191" s="167" t="s">
        <v>3423</v>
      </c>
      <c r="AC2191" s="167">
        <v>347</v>
      </c>
      <c r="AD2191" s="203">
        <v>43118</v>
      </c>
      <c r="AE2191" s="203">
        <v>43133</v>
      </c>
      <c r="AF2191" s="167" t="s">
        <v>3470</v>
      </c>
    </row>
    <row r="2192" spans="28:32" x14ac:dyDescent="0.25">
      <c r="AB2192" s="167" t="s">
        <v>3423</v>
      </c>
      <c r="AC2192" s="167">
        <v>340</v>
      </c>
      <c r="AD2192" s="203">
        <v>43133</v>
      </c>
      <c r="AE2192" s="203">
        <v>43168</v>
      </c>
      <c r="AF2192" s="167" t="s">
        <v>3470</v>
      </c>
    </row>
    <row r="2193" spans="28:32" x14ac:dyDescent="0.25">
      <c r="AB2193" s="167" t="s">
        <v>3423</v>
      </c>
      <c r="AC2193" s="167">
        <v>357</v>
      </c>
      <c r="AD2193" s="203">
        <v>43139</v>
      </c>
      <c r="AE2193" s="203">
        <v>43164</v>
      </c>
      <c r="AF2193" s="167" t="s">
        <v>3470</v>
      </c>
    </row>
    <row r="2194" spans="28:32" x14ac:dyDescent="0.25">
      <c r="AB2194" s="167" t="s">
        <v>3423</v>
      </c>
      <c r="AC2194" s="167">
        <v>364</v>
      </c>
      <c r="AD2194" s="203">
        <v>43168</v>
      </c>
      <c r="AE2194" s="203">
        <v>43179</v>
      </c>
      <c r="AF2194" s="167" t="s">
        <v>3470</v>
      </c>
    </row>
    <row r="2195" spans="28:32" x14ac:dyDescent="0.25">
      <c r="AB2195" s="167" t="s">
        <v>3423</v>
      </c>
      <c r="AC2195" s="167">
        <v>353</v>
      </c>
      <c r="AD2195" s="203">
        <v>43180</v>
      </c>
      <c r="AE2195" s="203">
        <v>0</v>
      </c>
      <c r="AF2195" s="167" t="s">
        <v>3469</v>
      </c>
    </row>
    <row r="2196" spans="28:32" x14ac:dyDescent="0.25">
      <c r="AB2196" s="167" t="s">
        <v>3423</v>
      </c>
      <c r="AC2196" s="167">
        <v>353</v>
      </c>
      <c r="AD2196" s="203">
        <v>43180</v>
      </c>
      <c r="AE2196" s="203">
        <v>0</v>
      </c>
      <c r="AF2196" s="167" t="s">
        <v>3469</v>
      </c>
    </row>
    <row r="2197" spans="28:32" x14ac:dyDescent="0.25">
      <c r="AB2197" s="167" t="s">
        <v>3423</v>
      </c>
      <c r="AC2197" s="167">
        <v>353</v>
      </c>
      <c r="AD2197" s="203">
        <v>43180</v>
      </c>
      <c r="AE2197" s="203">
        <v>0</v>
      </c>
      <c r="AF2197" s="167" t="s">
        <v>3469</v>
      </c>
    </row>
    <row r="2198" spans="28:32" x14ac:dyDescent="0.25">
      <c r="AB2198" s="167" t="s">
        <v>2183</v>
      </c>
      <c r="AC2198" s="167">
        <v>357</v>
      </c>
      <c r="AD2198" s="203">
        <v>43139</v>
      </c>
      <c r="AE2198" s="203">
        <v>43164</v>
      </c>
      <c r="AF2198" s="167" t="s">
        <v>3470</v>
      </c>
    </row>
    <row r="2199" spans="28:32" x14ac:dyDescent="0.25">
      <c r="AB2199" s="167" t="s">
        <v>2183</v>
      </c>
      <c r="AC2199" s="167">
        <v>364</v>
      </c>
      <c r="AD2199" s="203">
        <v>43168</v>
      </c>
      <c r="AE2199" s="203">
        <v>43179</v>
      </c>
      <c r="AF2199" s="167" t="s">
        <v>3470</v>
      </c>
    </row>
    <row r="2200" spans="28:32" x14ac:dyDescent="0.25">
      <c r="AB2200" s="167" t="s">
        <v>2183</v>
      </c>
      <c r="AC2200" s="167">
        <v>353</v>
      </c>
      <c r="AD2200" s="203">
        <v>43180</v>
      </c>
      <c r="AE2200" s="203">
        <v>0</v>
      </c>
      <c r="AF2200" s="167" t="s">
        <v>3469</v>
      </c>
    </row>
    <row r="2201" spans="28:32" x14ac:dyDescent="0.25">
      <c r="AB2201" s="167" t="s">
        <v>2183</v>
      </c>
      <c r="AC2201" s="167">
        <v>353</v>
      </c>
      <c r="AD2201" s="203">
        <v>43180</v>
      </c>
      <c r="AE2201" s="203">
        <v>0</v>
      </c>
      <c r="AF2201" s="167" t="s">
        <v>3469</v>
      </c>
    </row>
    <row r="2202" spans="28:32" x14ac:dyDescent="0.25">
      <c r="AB2202" s="167" t="s">
        <v>2183</v>
      </c>
      <c r="AC2202" s="167">
        <v>353</v>
      </c>
      <c r="AD2202" s="203">
        <v>43180</v>
      </c>
      <c r="AE2202" s="203">
        <v>0</v>
      </c>
      <c r="AF2202" s="167" t="s">
        <v>3469</v>
      </c>
    </row>
    <row r="2203" spans="28:32" x14ac:dyDescent="0.25">
      <c r="AB2203" s="167" t="s">
        <v>2185</v>
      </c>
      <c r="AC2203" s="167">
        <v>327</v>
      </c>
      <c r="AD2203" s="203">
        <v>43074</v>
      </c>
      <c r="AE2203" s="203">
        <v>43131</v>
      </c>
      <c r="AF2203" s="167" t="s">
        <v>3470</v>
      </c>
    </row>
    <row r="2204" spans="28:32" x14ac:dyDescent="0.25">
      <c r="AB2204" s="167" t="s">
        <v>2185</v>
      </c>
      <c r="AC2204" s="167">
        <v>327</v>
      </c>
      <c r="AD2204" s="203">
        <v>43074</v>
      </c>
      <c r="AE2204" s="203">
        <v>43131</v>
      </c>
      <c r="AF2204" s="167" t="s">
        <v>3470</v>
      </c>
    </row>
    <row r="2205" spans="28:32" x14ac:dyDescent="0.25">
      <c r="AB2205" s="167" t="s">
        <v>2185</v>
      </c>
      <c r="AC2205" s="167">
        <v>347</v>
      </c>
      <c r="AD2205" s="203">
        <v>43118</v>
      </c>
      <c r="AE2205" s="203">
        <v>43133</v>
      </c>
      <c r="AF2205" s="167" t="s">
        <v>3470</v>
      </c>
    </row>
    <row r="2206" spans="28:32" x14ac:dyDescent="0.25">
      <c r="AB2206" s="167" t="s">
        <v>2185</v>
      </c>
      <c r="AC2206" s="167">
        <v>340</v>
      </c>
      <c r="AD2206" s="203">
        <v>43133</v>
      </c>
      <c r="AE2206" s="203">
        <v>43168</v>
      </c>
      <c r="AF2206" s="167" t="s">
        <v>3470</v>
      </c>
    </row>
    <row r="2207" spans="28:32" x14ac:dyDescent="0.25">
      <c r="AB2207" s="167" t="s">
        <v>2185</v>
      </c>
      <c r="AC2207" s="167">
        <v>340</v>
      </c>
      <c r="AD2207" s="203">
        <v>43133</v>
      </c>
      <c r="AE2207" s="203">
        <v>43168</v>
      </c>
      <c r="AF2207" s="167" t="s">
        <v>3470</v>
      </c>
    </row>
    <row r="2208" spans="28:32" x14ac:dyDescent="0.25">
      <c r="AB2208" s="167" t="s">
        <v>2185</v>
      </c>
      <c r="AC2208" s="167">
        <v>357</v>
      </c>
      <c r="AD2208" s="203">
        <v>43139</v>
      </c>
      <c r="AE2208" s="203">
        <v>43164</v>
      </c>
      <c r="AF2208" s="167" t="s">
        <v>3470</v>
      </c>
    </row>
    <row r="2209" spans="28:32" x14ac:dyDescent="0.25">
      <c r="AB2209" s="167" t="s">
        <v>2185</v>
      </c>
      <c r="AC2209" s="167">
        <v>353</v>
      </c>
      <c r="AD2209" s="203">
        <v>43180</v>
      </c>
      <c r="AE2209" s="203">
        <v>0</v>
      </c>
      <c r="AF2209" s="167" t="s">
        <v>3469</v>
      </c>
    </row>
    <row r="2210" spans="28:32" x14ac:dyDescent="0.25">
      <c r="AB2210" s="167" t="s">
        <v>2185</v>
      </c>
      <c r="AC2210" s="167">
        <v>353</v>
      </c>
      <c r="AD2210" s="203">
        <v>43180</v>
      </c>
      <c r="AE2210" s="203">
        <v>0</v>
      </c>
      <c r="AF2210" s="167" t="s">
        <v>3469</v>
      </c>
    </row>
    <row r="2211" spans="28:32" x14ac:dyDescent="0.25">
      <c r="AB2211" s="167" t="s">
        <v>2187</v>
      </c>
      <c r="AC2211" s="167">
        <v>340</v>
      </c>
      <c r="AD2211" s="203">
        <v>43133</v>
      </c>
      <c r="AE2211" s="203">
        <v>43168</v>
      </c>
      <c r="AF2211" s="167" t="s">
        <v>3470</v>
      </c>
    </row>
    <row r="2212" spans="28:32" x14ac:dyDescent="0.25">
      <c r="AB2212" s="167" t="s">
        <v>2187</v>
      </c>
      <c r="AC2212" s="167">
        <v>364</v>
      </c>
      <c r="AD2212" s="203">
        <v>43168</v>
      </c>
      <c r="AE2212" s="203">
        <v>43179</v>
      </c>
      <c r="AF2212" s="167" t="s">
        <v>3470</v>
      </c>
    </row>
    <row r="2213" spans="28:32" x14ac:dyDescent="0.25">
      <c r="AB2213" s="167" t="s">
        <v>2187</v>
      </c>
      <c r="AC2213" s="167">
        <v>353</v>
      </c>
      <c r="AD2213" s="203">
        <v>43180</v>
      </c>
      <c r="AE2213" s="203">
        <v>0</v>
      </c>
      <c r="AF2213" s="167" t="s">
        <v>3469</v>
      </c>
    </row>
    <row r="2214" spans="28:32" x14ac:dyDescent="0.25">
      <c r="AB2214" s="167" t="s">
        <v>2188</v>
      </c>
      <c r="AC2214" s="167">
        <v>327</v>
      </c>
      <c r="AD2214" s="203">
        <v>43074</v>
      </c>
      <c r="AE2214" s="203">
        <v>43131</v>
      </c>
      <c r="AF2214" s="167" t="s">
        <v>3470</v>
      </c>
    </row>
    <row r="2215" spans="28:32" x14ac:dyDescent="0.25">
      <c r="AB2215" s="167" t="s">
        <v>2188</v>
      </c>
      <c r="AC2215" s="167">
        <v>327</v>
      </c>
      <c r="AD2215" s="203">
        <v>43074</v>
      </c>
      <c r="AE2215" s="203">
        <v>43131</v>
      </c>
      <c r="AF2215" s="167" t="s">
        <v>3470</v>
      </c>
    </row>
    <row r="2216" spans="28:32" x14ac:dyDescent="0.25">
      <c r="AB2216" s="167" t="s">
        <v>2188</v>
      </c>
      <c r="AC2216" s="167">
        <v>353</v>
      </c>
      <c r="AD2216" s="203">
        <v>43180</v>
      </c>
      <c r="AE2216" s="203">
        <v>0</v>
      </c>
      <c r="AF2216" s="167" t="s">
        <v>3469</v>
      </c>
    </row>
    <row r="2217" spans="28:32" x14ac:dyDescent="0.25">
      <c r="AB2217" s="167" t="s">
        <v>2189</v>
      </c>
      <c r="AC2217" s="167">
        <v>347</v>
      </c>
      <c r="AD2217" s="203">
        <v>43118</v>
      </c>
      <c r="AE2217" s="203">
        <v>43133</v>
      </c>
      <c r="AF2217" s="167" t="s">
        <v>3470</v>
      </c>
    </row>
    <row r="2218" spans="28:32" x14ac:dyDescent="0.25">
      <c r="AB2218" s="167" t="s">
        <v>2189</v>
      </c>
      <c r="AC2218" s="167">
        <v>340</v>
      </c>
      <c r="AD2218" s="203">
        <v>43133</v>
      </c>
      <c r="AE2218" s="203">
        <v>43168</v>
      </c>
      <c r="AF2218" s="167" t="s">
        <v>3470</v>
      </c>
    </row>
    <row r="2219" spans="28:32" x14ac:dyDescent="0.25">
      <c r="AB2219" s="167" t="s">
        <v>2189</v>
      </c>
      <c r="AC2219" s="167">
        <v>340</v>
      </c>
      <c r="AD2219" s="203">
        <v>43133</v>
      </c>
      <c r="AE2219" s="203">
        <v>43168</v>
      </c>
      <c r="AF2219" s="167" t="s">
        <v>3470</v>
      </c>
    </row>
    <row r="2220" spans="28:32" x14ac:dyDescent="0.25">
      <c r="AB2220" s="167" t="s">
        <v>2191</v>
      </c>
      <c r="AC2220" s="167">
        <v>323</v>
      </c>
      <c r="AD2220" s="203">
        <v>43074</v>
      </c>
      <c r="AE2220" s="203">
        <v>43111</v>
      </c>
      <c r="AF2220" s="167" t="s">
        <v>3470</v>
      </c>
    </row>
    <row r="2221" spans="28:32" x14ac:dyDescent="0.25">
      <c r="AB2221" s="167" t="s">
        <v>2191</v>
      </c>
      <c r="AC2221" s="167">
        <v>327</v>
      </c>
      <c r="AD2221" s="203">
        <v>43074</v>
      </c>
      <c r="AE2221" s="203">
        <v>43131</v>
      </c>
      <c r="AF2221" s="167" t="s">
        <v>3470</v>
      </c>
    </row>
    <row r="2222" spans="28:32" x14ac:dyDescent="0.25">
      <c r="AB2222" s="167" t="s">
        <v>2191</v>
      </c>
      <c r="AC2222" s="167">
        <v>347</v>
      </c>
      <c r="AD2222" s="203">
        <v>43118</v>
      </c>
      <c r="AE2222" s="203">
        <v>43133</v>
      </c>
      <c r="AF2222" s="167" t="s">
        <v>3470</v>
      </c>
    </row>
    <row r="2223" spans="28:32" x14ac:dyDescent="0.25">
      <c r="AB2223" s="167" t="s">
        <v>2191</v>
      </c>
      <c r="AC2223" s="167">
        <v>340</v>
      </c>
      <c r="AD2223" s="203">
        <v>43133</v>
      </c>
      <c r="AE2223" s="203">
        <v>43168</v>
      </c>
      <c r="AF2223" s="167" t="s">
        <v>3470</v>
      </c>
    </row>
    <row r="2224" spans="28:32" x14ac:dyDescent="0.25">
      <c r="AB2224" s="167" t="s">
        <v>2191</v>
      </c>
      <c r="AC2224" s="167">
        <v>340</v>
      </c>
      <c r="AD2224" s="203">
        <v>43133</v>
      </c>
      <c r="AE2224" s="203">
        <v>43168</v>
      </c>
      <c r="AF2224" s="167" t="s">
        <v>3470</v>
      </c>
    </row>
    <row r="2225" spans="28:32" x14ac:dyDescent="0.25">
      <c r="AB2225" s="167" t="s">
        <v>2191</v>
      </c>
      <c r="AC2225" s="167">
        <v>374</v>
      </c>
      <c r="AD2225" s="203">
        <v>43195</v>
      </c>
      <c r="AE2225" s="203">
        <v>0</v>
      </c>
      <c r="AF2225" s="167" t="s">
        <v>3469</v>
      </c>
    </row>
    <row r="2226" spans="28:32" x14ac:dyDescent="0.25">
      <c r="AB2226" s="167" t="s">
        <v>2193</v>
      </c>
      <c r="AC2226" s="167">
        <v>323</v>
      </c>
      <c r="AD2226" s="203">
        <v>43074</v>
      </c>
      <c r="AE2226" s="203">
        <v>43111</v>
      </c>
      <c r="AF2226" s="167" t="s">
        <v>3470</v>
      </c>
    </row>
    <row r="2227" spans="28:32" x14ac:dyDescent="0.25">
      <c r="AB2227" s="167" t="s">
        <v>2193</v>
      </c>
      <c r="AC2227" s="167">
        <v>327</v>
      </c>
      <c r="AD2227" s="203">
        <v>43074</v>
      </c>
      <c r="AE2227" s="203">
        <v>43131</v>
      </c>
      <c r="AF2227" s="167" t="s">
        <v>3470</v>
      </c>
    </row>
    <row r="2228" spans="28:32" x14ac:dyDescent="0.25">
      <c r="AB2228" s="167" t="s">
        <v>2193</v>
      </c>
      <c r="AC2228" s="167">
        <v>340</v>
      </c>
      <c r="AD2228" s="203">
        <v>43133</v>
      </c>
      <c r="AE2228" s="203">
        <v>43168</v>
      </c>
      <c r="AF2228" s="167" t="s">
        <v>3470</v>
      </c>
    </row>
    <row r="2229" spans="28:32" x14ac:dyDescent="0.25">
      <c r="AB2229" s="167" t="s">
        <v>2193</v>
      </c>
      <c r="AC2229" s="167">
        <v>357</v>
      </c>
      <c r="AD2229" s="203">
        <v>43139</v>
      </c>
      <c r="AE2229" s="203">
        <v>43164</v>
      </c>
      <c r="AF2229" s="167" t="s">
        <v>3470</v>
      </c>
    </row>
    <row r="2230" spans="28:32" x14ac:dyDescent="0.25">
      <c r="AB2230" s="167" t="s">
        <v>2193</v>
      </c>
      <c r="AC2230" s="167">
        <v>364</v>
      </c>
      <c r="AD2230" s="203">
        <v>43168</v>
      </c>
      <c r="AE2230" s="203">
        <v>43179</v>
      </c>
      <c r="AF2230" s="167" t="s">
        <v>3470</v>
      </c>
    </row>
    <row r="2231" spans="28:32" x14ac:dyDescent="0.25">
      <c r="AB2231" s="167" t="s">
        <v>2193</v>
      </c>
      <c r="AC2231" s="167">
        <v>374</v>
      </c>
      <c r="AD2231" s="203">
        <v>43195</v>
      </c>
      <c r="AE2231" s="203">
        <v>0</v>
      </c>
      <c r="AF2231" s="167" t="s">
        <v>3469</v>
      </c>
    </row>
    <row r="2232" spans="28:32" x14ac:dyDescent="0.25">
      <c r="AB2232" s="167" t="s">
        <v>2195</v>
      </c>
      <c r="AC2232" s="167">
        <v>323</v>
      </c>
      <c r="AD2232" s="203">
        <v>43074</v>
      </c>
      <c r="AE2232" s="203">
        <v>43111</v>
      </c>
      <c r="AF2232" s="167" t="s">
        <v>3470</v>
      </c>
    </row>
    <row r="2233" spans="28:32" x14ac:dyDescent="0.25">
      <c r="AB2233" s="167" t="s">
        <v>2195</v>
      </c>
      <c r="AC2233" s="167">
        <v>347</v>
      </c>
      <c r="AD2233" s="203">
        <v>43118</v>
      </c>
      <c r="AE2233" s="203">
        <v>43133</v>
      </c>
      <c r="AF2233" s="167" t="s">
        <v>3470</v>
      </c>
    </row>
    <row r="2234" spans="28:32" x14ac:dyDescent="0.25">
      <c r="AB2234" s="167" t="s">
        <v>2195</v>
      </c>
      <c r="AC2234" s="167">
        <v>340</v>
      </c>
      <c r="AD2234" s="203">
        <v>43133</v>
      </c>
      <c r="AE2234" s="203">
        <v>43168</v>
      </c>
      <c r="AF2234" s="167" t="s">
        <v>3470</v>
      </c>
    </row>
    <row r="2235" spans="28:32" x14ac:dyDescent="0.25">
      <c r="AB2235" s="167" t="s">
        <v>2195</v>
      </c>
      <c r="AC2235" s="167">
        <v>374</v>
      </c>
      <c r="AD2235" s="203">
        <v>43195</v>
      </c>
      <c r="AE2235" s="203">
        <v>0</v>
      </c>
      <c r="AF2235" s="167" t="s">
        <v>3469</v>
      </c>
    </row>
    <row r="2236" spans="28:32" x14ac:dyDescent="0.25">
      <c r="AB2236" s="167" t="s">
        <v>2197</v>
      </c>
      <c r="AC2236" s="167">
        <v>327</v>
      </c>
      <c r="AD2236" s="203">
        <v>43074</v>
      </c>
      <c r="AE2236" s="203">
        <v>43131</v>
      </c>
      <c r="AF2236" s="167" t="s">
        <v>3470</v>
      </c>
    </row>
    <row r="2237" spans="28:32" x14ac:dyDescent="0.25">
      <c r="AB2237" s="167" t="s">
        <v>2197</v>
      </c>
      <c r="AC2237" s="167">
        <v>327</v>
      </c>
      <c r="AD2237" s="203">
        <v>43074</v>
      </c>
      <c r="AE2237" s="203">
        <v>43131</v>
      </c>
      <c r="AF2237" s="167" t="s">
        <v>3470</v>
      </c>
    </row>
    <row r="2238" spans="28:32" x14ac:dyDescent="0.25">
      <c r="AB2238" s="167" t="s">
        <v>2197</v>
      </c>
      <c r="AC2238" s="167">
        <v>327</v>
      </c>
      <c r="AD2238" s="203">
        <v>43074</v>
      </c>
      <c r="AE2238" s="203">
        <v>43131</v>
      </c>
      <c r="AF2238" s="167" t="s">
        <v>3470</v>
      </c>
    </row>
    <row r="2239" spans="28:32" x14ac:dyDescent="0.25">
      <c r="AB2239" s="167" t="s">
        <v>2197</v>
      </c>
      <c r="AC2239" s="167">
        <v>347</v>
      </c>
      <c r="AD2239" s="203">
        <v>43118</v>
      </c>
      <c r="AE2239" s="203">
        <v>43133</v>
      </c>
      <c r="AF2239" s="167" t="s">
        <v>3470</v>
      </c>
    </row>
    <row r="2240" spans="28:32" x14ac:dyDescent="0.25">
      <c r="AB2240" s="167" t="s">
        <v>2197</v>
      </c>
      <c r="AC2240" s="167">
        <v>340</v>
      </c>
      <c r="AD2240" s="203">
        <v>43133</v>
      </c>
      <c r="AE2240" s="203">
        <v>43168</v>
      </c>
      <c r="AF2240" s="167" t="s">
        <v>3470</v>
      </c>
    </row>
    <row r="2241" spans="28:32" x14ac:dyDescent="0.25">
      <c r="AB2241" s="167" t="s">
        <v>2197</v>
      </c>
      <c r="AC2241" s="167">
        <v>353</v>
      </c>
      <c r="AD2241" s="203">
        <v>43180</v>
      </c>
      <c r="AE2241" s="203">
        <v>0</v>
      </c>
      <c r="AF2241" s="167" t="s">
        <v>3469</v>
      </c>
    </row>
    <row r="2242" spans="28:32" x14ac:dyDescent="0.25">
      <c r="AB2242" s="167" t="s">
        <v>2197</v>
      </c>
      <c r="AC2242" s="167">
        <v>353</v>
      </c>
      <c r="AD2242" s="203">
        <v>43180</v>
      </c>
      <c r="AE2242" s="203">
        <v>0</v>
      </c>
      <c r="AF2242" s="167" t="s">
        <v>3469</v>
      </c>
    </row>
    <row r="2243" spans="28:32" x14ac:dyDescent="0.25">
      <c r="AB2243" s="167" t="s">
        <v>2198</v>
      </c>
      <c r="AC2243" s="167">
        <v>347</v>
      </c>
      <c r="AD2243" s="203">
        <v>43118</v>
      </c>
      <c r="AE2243" s="203">
        <v>43133</v>
      </c>
      <c r="AF2243" s="167" t="s">
        <v>3470</v>
      </c>
    </row>
    <row r="2244" spans="28:32" x14ac:dyDescent="0.25">
      <c r="AB2244" s="167" t="s">
        <v>2198</v>
      </c>
      <c r="AC2244" s="167">
        <v>340</v>
      </c>
      <c r="AD2244" s="203">
        <v>43133</v>
      </c>
      <c r="AE2244" s="203">
        <v>43168</v>
      </c>
      <c r="AF2244" s="167" t="s">
        <v>3470</v>
      </c>
    </row>
    <row r="2245" spans="28:32" x14ac:dyDescent="0.25">
      <c r="AB2245" s="167" t="s">
        <v>2200</v>
      </c>
      <c r="AC2245" s="167">
        <v>323</v>
      </c>
      <c r="AD2245" s="203">
        <v>43074</v>
      </c>
      <c r="AE2245" s="203">
        <v>43111</v>
      </c>
      <c r="AF2245" s="167" t="s">
        <v>3470</v>
      </c>
    </row>
    <row r="2246" spans="28:32" x14ac:dyDescent="0.25">
      <c r="AB2246" s="167" t="s">
        <v>2200</v>
      </c>
      <c r="AC2246" s="167">
        <v>347</v>
      </c>
      <c r="AD2246" s="203">
        <v>43118</v>
      </c>
      <c r="AE2246" s="203">
        <v>43133</v>
      </c>
      <c r="AF2246" s="167" t="s">
        <v>3470</v>
      </c>
    </row>
    <row r="2247" spans="28:32" x14ac:dyDescent="0.25">
      <c r="AB2247" s="167" t="s">
        <v>2200</v>
      </c>
      <c r="AC2247" s="167">
        <v>340</v>
      </c>
      <c r="AD2247" s="203">
        <v>43133</v>
      </c>
      <c r="AE2247" s="203">
        <v>43168</v>
      </c>
      <c r="AF2247" s="167" t="s">
        <v>3470</v>
      </c>
    </row>
    <row r="2248" spans="28:32" x14ac:dyDescent="0.25">
      <c r="AB2248" s="167" t="s">
        <v>2200</v>
      </c>
      <c r="AC2248" s="167">
        <v>340</v>
      </c>
      <c r="AD2248" s="203">
        <v>43133</v>
      </c>
      <c r="AE2248" s="203">
        <v>43168</v>
      </c>
      <c r="AF2248" s="167" t="s">
        <v>3470</v>
      </c>
    </row>
    <row r="2249" spans="28:32" x14ac:dyDescent="0.25">
      <c r="AB2249" s="167" t="s">
        <v>2200</v>
      </c>
      <c r="AC2249" s="167">
        <v>357</v>
      </c>
      <c r="AD2249" s="203">
        <v>43139</v>
      </c>
      <c r="AE2249" s="203">
        <v>43164</v>
      </c>
      <c r="AF2249" s="167" t="s">
        <v>3470</v>
      </c>
    </row>
    <row r="2250" spans="28:32" x14ac:dyDescent="0.25">
      <c r="AB2250" s="167" t="s">
        <v>2200</v>
      </c>
      <c r="AC2250" s="167">
        <v>364</v>
      </c>
      <c r="AD2250" s="203">
        <v>43168</v>
      </c>
      <c r="AE2250" s="203">
        <v>43179</v>
      </c>
      <c r="AF2250" s="167" t="s">
        <v>3470</v>
      </c>
    </row>
    <row r="2251" spans="28:32" x14ac:dyDescent="0.25">
      <c r="AB2251" s="167" t="s">
        <v>2200</v>
      </c>
      <c r="AC2251" s="167">
        <v>353</v>
      </c>
      <c r="AD2251" s="203">
        <v>43180</v>
      </c>
      <c r="AE2251" s="203">
        <v>0</v>
      </c>
      <c r="AF2251" s="167" t="s">
        <v>3469</v>
      </c>
    </row>
    <row r="2252" spans="28:32" x14ac:dyDescent="0.25">
      <c r="AB2252" s="167" t="s">
        <v>2200</v>
      </c>
      <c r="AC2252" s="167">
        <v>353</v>
      </c>
      <c r="AD2252" s="203">
        <v>43180</v>
      </c>
      <c r="AE2252" s="203">
        <v>0</v>
      </c>
      <c r="AF2252" s="167" t="s">
        <v>3469</v>
      </c>
    </row>
    <row r="2253" spans="28:32" x14ac:dyDescent="0.25">
      <c r="AB2253" s="167" t="s">
        <v>2200</v>
      </c>
      <c r="AC2253" s="167">
        <v>353</v>
      </c>
      <c r="AD2253" s="203">
        <v>43180</v>
      </c>
      <c r="AE2253" s="203">
        <v>0</v>
      </c>
      <c r="AF2253" s="167" t="s">
        <v>3469</v>
      </c>
    </row>
    <row r="2254" spans="28:32" x14ac:dyDescent="0.25">
      <c r="AB2254" s="167" t="s">
        <v>2200</v>
      </c>
      <c r="AC2254" s="167">
        <v>353</v>
      </c>
      <c r="AD2254" s="203">
        <v>43180</v>
      </c>
      <c r="AE2254" s="203">
        <v>0</v>
      </c>
      <c r="AF2254" s="167" t="s">
        <v>3469</v>
      </c>
    </row>
    <row r="2255" spans="28:32" x14ac:dyDescent="0.25">
      <c r="AB2255" s="167" t="s">
        <v>2200</v>
      </c>
      <c r="AC2255" s="167">
        <v>353</v>
      </c>
      <c r="AD2255" s="203">
        <v>43180</v>
      </c>
      <c r="AE2255" s="203">
        <v>0</v>
      </c>
      <c r="AF2255" s="167" t="s">
        <v>3469</v>
      </c>
    </row>
    <row r="2256" spans="28:32" x14ac:dyDescent="0.25">
      <c r="AB2256" s="167" t="s">
        <v>2201</v>
      </c>
      <c r="AC2256" s="167">
        <v>347</v>
      </c>
      <c r="AD2256" s="203">
        <v>43118</v>
      </c>
      <c r="AE2256" s="203">
        <v>43133</v>
      </c>
      <c r="AF2256" s="167" t="s">
        <v>3470</v>
      </c>
    </row>
    <row r="2257" spans="28:32" x14ac:dyDescent="0.25">
      <c r="AB2257" s="167" t="s">
        <v>2201</v>
      </c>
      <c r="AC2257" s="167">
        <v>340</v>
      </c>
      <c r="AD2257" s="203">
        <v>43133</v>
      </c>
      <c r="AE2257" s="203">
        <v>43168</v>
      </c>
      <c r="AF2257" s="167" t="s">
        <v>3470</v>
      </c>
    </row>
    <row r="2258" spans="28:32" x14ac:dyDescent="0.25">
      <c r="AB2258" s="167" t="s">
        <v>2203</v>
      </c>
      <c r="AC2258" s="167">
        <v>347</v>
      </c>
      <c r="AD2258" s="203">
        <v>43118</v>
      </c>
      <c r="AE2258" s="203">
        <v>43133</v>
      </c>
      <c r="AF2258" s="167" t="s">
        <v>3470</v>
      </c>
    </row>
    <row r="2259" spans="28:32" x14ac:dyDescent="0.25">
      <c r="AB2259" s="167" t="s">
        <v>2203</v>
      </c>
      <c r="AC2259" s="167">
        <v>340</v>
      </c>
      <c r="AD2259" s="203">
        <v>43133</v>
      </c>
      <c r="AE2259" s="203">
        <v>43168</v>
      </c>
      <c r="AF2259" s="167" t="s">
        <v>3470</v>
      </c>
    </row>
    <row r="2260" spans="28:32" x14ac:dyDescent="0.25">
      <c r="AB2260" s="167" t="s">
        <v>2203</v>
      </c>
      <c r="AC2260" s="167">
        <v>353</v>
      </c>
      <c r="AD2260" s="203">
        <v>43180</v>
      </c>
      <c r="AE2260" s="203">
        <v>0</v>
      </c>
      <c r="AF2260" s="167" t="s">
        <v>3469</v>
      </c>
    </row>
    <row r="2261" spans="28:32" x14ac:dyDescent="0.25">
      <c r="AB2261" s="167" t="s">
        <v>2204</v>
      </c>
      <c r="AC2261" s="167">
        <v>347</v>
      </c>
      <c r="AD2261" s="203">
        <v>43118</v>
      </c>
      <c r="AE2261" s="203">
        <v>43133</v>
      </c>
      <c r="AF2261" s="167" t="s">
        <v>3470</v>
      </c>
    </row>
    <row r="2262" spans="28:32" x14ac:dyDescent="0.25">
      <c r="AB2262" s="167" t="s">
        <v>2204</v>
      </c>
      <c r="AC2262" s="167">
        <v>340</v>
      </c>
      <c r="AD2262" s="203">
        <v>43133</v>
      </c>
      <c r="AE2262" s="203">
        <v>43168</v>
      </c>
      <c r="AF2262" s="167" t="s">
        <v>3470</v>
      </c>
    </row>
    <row r="2263" spans="28:32" x14ac:dyDescent="0.25">
      <c r="AB2263" s="167" t="s">
        <v>2206</v>
      </c>
      <c r="AC2263" s="167">
        <v>327</v>
      </c>
      <c r="AD2263" s="203">
        <v>43074</v>
      </c>
      <c r="AE2263" s="203">
        <v>43131</v>
      </c>
      <c r="AF2263" s="167" t="s">
        <v>3470</v>
      </c>
    </row>
    <row r="2264" spans="28:32" x14ac:dyDescent="0.25">
      <c r="AB2264" s="167" t="s">
        <v>2206</v>
      </c>
      <c r="AC2264" s="167">
        <v>357</v>
      </c>
      <c r="AD2264" s="203">
        <v>43139</v>
      </c>
      <c r="AE2264" s="203">
        <v>43164</v>
      </c>
      <c r="AF2264" s="167" t="s">
        <v>3470</v>
      </c>
    </row>
    <row r="2265" spans="28:32" x14ac:dyDescent="0.25">
      <c r="AB2265" s="167" t="s">
        <v>2206</v>
      </c>
      <c r="AC2265" s="167">
        <v>364</v>
      </c>
      <c r="AD2265" s="203">
        <v>43168</v>
      </c>
      <c r="AE2265" s="203">
        <v>43179</v>
      </c>
      <c r="AF2265" s="167" t="s">
        <v>3470</v>
      </c>
    </row>
    <row r="2266" spans="28:32" x14ac:dyDescent="0.25">
      <c r="AB2266" s="167" t="s">
        <v>2206</v>
      </c>
      <c r="AC2266" s="167">
        <v>353</v>
      </c>
      <c r="AD2266" s="203">
        <v>43180</v>
      </c>
      <c r="AE2266" s="203">
        <v>0</v>
      </c>
      <c r="AF2266" s="167" t="s">
        <v>3469</v>
      </c>
    </row>
    <row r="2267" spans="28:32" x14ac:dyDescent="0.25">
      <c r="AB2267" s="167" t="s">
        <v>2206</v>
      </c>
      <c r="AC2267" s="167">
        <v>353</v>
      </c>
      <c r="AD2267" s="203">
        <v>43180</v>
      </c>
      <c r="AE2267" s="203">
        <v>0</v>
      </c>
      <c r="AF2267" s="167" t="s">
        <v>3469</v>
      </c>
    </row>
    <row r="2268" spans="28:32" x14ac:dyDescent="0.25">
      <c r="AB2268" s="167" t="s">
        <v>2208</v>
      </c>
      <c r="AC2268" s="167">
        <v>327</v>
      </c>
      <c r="AD2268" s="203">
        <v>43074</v>
      </c>
      <c r="AE2268" s="203">
        <v>43131</v>
      </c>
      <c r="AF2268" s="167" t="s">
        <v>3470</v>
      </c>
    </row>
    <row r="2269" spans="28:32" x14ac:dyDescent="0.25">
      <c r="AB2269" s="167" t="s">
        <v>2208</v>
      </c>
      <c r="AC2269" s="167">
        <v>347</v>
      </c>
      <c r="AD2269" s="203">
        <v>43118</v>
      </c>
      <c r="AE2269" s="203">
        <v>43133</v>
      </c>
      <c r="AF2269" s="167" t="s">
        <v>3470</v>
      </c>
    </row>
    <row r="2270" spans="28:32" x14ac:dyDescent="0.25">
      <c r="AB2270" s="167" t="s">
        <v>2208</v>
      </c>
      <c r="AC2270" s="167">
        <v>340</v>
      </c>
      <c r="AD2270" s="203">
        <v>43133</v>
      </c>
      <c r="AE2270" s="203">
        <v>43168</v>
      </c>
      <c r="AF2270" s="167" t="s">
        <v>3470</v>
      </c>
    </row>
    <row r="2271" spans="28:32" x14ac:dyDescent="0.25">
      <c r="AB2271" s="167" t="s">
        <v>2208</v>
      </c>
      <c r="AC2271" s="167">
        <v>374</v>
      </c>
      <c r="AD2271" s="203">
        <v>43195</v>
      </c>
      <c r="AE2271" s="203">
        <v>0</v>
      </c>
      <c r="AF2271" s="167" t="s">
        <v>3469</v>
      </c>
    </row>
    <row r="2272" spans="28:32" x14ac:dyDescent="0.25">
      <c r="AB2272" s="167" t="s">
        <v>2210</v>
      </c>
      <c r="AC2272" s="167">
        <v>353</v>
      </c>
      <c r="AD2272" s="203">
        <v>43180</v>
      </c>
      <c r="AE2272" s="203">
        <v>0</v>
      </c>
      <c r="AF2272" s="167" t="s">
        <v>3469</v>
      </c>
    </row>
    <row r="2273" spans="28:32" x14ac:dyDescent="0.25">
      <c r="AB2273" s="167" t="s">
        <v>2210</v>
      </c>
      <c r="AC2273" s="167">
        <v>374</v>
      </c>
      <c r="AD2273" s="203">
        <v>43195</v>
      </c>
      <c r="AE2273" s="203">
        <v>0</v>
      </c>
      <c r="AF2273" s="167" t="s">
        <v>3469</v>
      </c>
    </row>
    <row r="2274" spans="28:32" x14ac:dyDescent="0.25">
      <c r="AB2274" s="167" t="s">
        <v>2211</v>
      </c>
      <c r="AC2274" s="167">
        <v>347</v>
      </c>
      <c r="AD2274" s="203">
        <v>43118</v>
      </c>
      <c r="AE2274" s="203">
        <v>43133</v>
      </c>
      <c r="AF2274" s="167" t="s">
        <v>3470</v>
      </c>
    </row>
    <row r="2275" spans="28:32" x14ac:dyDescent="0.25">
      <c r="AB2275" s="167" t="s">
        <v>2211</v>
      </c>
      <c r="AC2275" s="167">
        <v>340</v>
      </c>
      <c r="AD2275" s="203">
        <v>43133</v>
      </c>
      <c r="AE2275" s="203">
        <v>43168</v>
      </c>
      <c r="AF2275" s="167" t="s">
        <v>3470</v>
      </c>
    </row>
    <row r="2276" spans="28:32" x14ac:dyDescent="0.25">
      <c r="AB2276" s="167" t="s">
        <v>2211</v>
      </c>
      <c r="AC2276" s="167">
        <v>340</v>
      </c>
      <c r="AD2276" s="203">
        <v>43133</v>
      </c>
      <c r="AE2276" s="203">
        <v>43168</v>
      </c>
      <c r="AF2276" s="167" t="s">
        <v>3470</v>
      </c>
    </row>
    <row r="2277" spans="28:32" x14ac:dyDescent="0.25">
      <c r="AB2277" s="167" t="s">
        <v>3424</v>
      </c>
      <c r="AC2277" s="167">
        <v>340</v>
      </c>
      <c r="AD2277" s="203">
        <v>43133</v>
      </c>
      <c r="AE2277" s="203">
        <v>43168</v>
      </c>
      <c r="AF2277" s="167" t="s">
        <v>3470</v>
      </c>
    </row>
    <row r="2278" spans="28:32" x14ac:dyDescent="0.25">
      <c r="AB2278" s="167" t="s">
        <v>3424</v>
      </c>
      <c r="AC2278" s="167">
        <v>357</v>
      </c>
      <c r="AD2278" s="203">
        <v>43139</v>
      </c>
      <c r="AE2278" s="203">
        <v>43164</v>
      </c>
      <c r="AF2278" s="167" t="s">
        <v>3470</v>
      </c>
    </row>
    <row r="2279" spans="28:32" x14ac:dyDescent="0.25">
      <c r="AB2279" s="167" t="s">
        <v>3424</v>
      </c>
      <c r="AC2279" s="167">
        <v>364</v>
      </c>
      <c r="AD2279" s="203">
        <v>43168</v>
      </c>
      <c r="AE2279" s="203">
        <v>43179</v>
      </c>
      <c r="AF2279" s="167" t="s">
        <v>3470</v>
      </c>
    </row>
    <row r="2280" spans="28:32" x14ac:dyDescent="0.25">
      <c r="AB2280" s="167" t="s">
        <v>3424</v>
      </c>
      <c r="AC2280" s="167">
        <v>353</v>
      </c>
      <c r="AD2280" s="203">
        <v>43180</v>
      </c>
      <c r="AE2280" s="203">
        <v>0</v>
      </c>
      <c r="AF2280" s="167" t="s">
        <v>3469</v>
      </c>
    </row>
    <row r="2281" spans="28:32" x14ac:dyDescent="0.25">
      <c r="AB2281" s="167" t="s">
        <v>3424</v>
      </c>
      <c r="AC2281" s="167">
        <v>353</v>
      </c>
      <c r="AD2281" s="203">
        <v>43180</v>
      </c>
      <c r="AE2281" s="203">
        <v>0</v>
      </c>
      <c r="AF2281" s="167" t="s">
        <v>3469</v>
      </c>
    </row>
    <row r="2282" spans="28:32" x14ac:dyDescent="0.25">
      <c r="AB2282" s="167" t="s">
        <v>2213</v>
      </c>
      <c r="AC2282" s="167">
        <v>364</v>
      </c>
      <c r="AD2282" s="203">
        <v>43168</v>
      </c>
      <c r="AE2282" s="203">
        <v>43179</v>
      </c>
      <c r="AF2282" s="167" t="s">
        <v>3470</v>
      </c>
    </row>
    <row r="2283" spans="28:32" x14ac:dyDescent="0.25">
      <c r="AB2283" s="167" t="s">
        <v>2213</v>
      </c>
      <c r="AC2283" s="167">
        <v>353</v>
      </c>
      <c r="AD2283" s="203">
        <v>43180</v>
      </c>
      <c r="AE2283" s="203">
        <v>0</v>
      </c>
      <c r="AF2283" s="167" t="s">
        <v>3469</v>
      </c>
    </row>
    <row r="2284" spans="28:32" x14ac:dyDescent="0.25">
      <c r="AB2284" s="167" t="s">
        <v>2214</v>
      </c>
      <c r="AC2284" s="167">
        <v>323</v>
      </c>
      <c r="AD2284" s="203">
        <v>43074</v>
      </c>
      <c r="AE2284" s="203">
        <v>43111</v>
      </c>
      <c r="AF2284" s="167" t="s">
        <v>3470</v>
      </c>
    </row>
    <row r="2285" spans="28:32" x14ac:dyDescent="0.25">
      <c r="AB2285" s="167" t="s">
        <v>2214</v>
      </c>
      <c r="AC2285" s="167">
        <v>327</v>
      </c>
      <c r="AD2285" s="203">
        <v>43074</v>
      </c>
      <c r="AE2285" s="203">
        <v>43131</v>
      </c>
      <c r="AF2285" s="167" t="s">
        <v>3470</v>
      </c>
    </row>
    <row r="2286" spans="28:32" x14ac:dyDescent="0.25">
      <c r="AB2286" s="167" t="s">
        <v>2214</v>
      </c>
      <c r="AC2286" s="167">
        <v>347</v>
      </c>
      <c r="AD2286" s="203">
        <v>43118</v>
      </c>
      <c r="AE2286" s="203">
        <v>43133</v>
      </c>
      <c r="AF2286" s="167" t="s">
        <v>3470</v>
      </c>
    </row>
    <row r="2287" spans="28:32" x14ac:dyDescent="0.25">
      <c r="AB2287" s="167" t="s">
        <v>2214</v>
      </c>
      <c r="AC2287" s="167">
        <v>340</v>
      </c>
      <c r="AD2287" s="203">
        <v>43133</v>
      </c>
      <c r="AE2287" s="203">
        <v>43168</v>
      </c>
      <c r="AF2287" s="167" t="s">
        <v>3470</v>
      </c>
    </row>
    <row r="2288" spans="28:32" x14ac:dyDescent="0.25">
      <c r="AB2288" s="167" t="s">
        <v>2214</v>
      </c>
      <c r="AC2288" s="167">
        <v>340</v>
      </c>
      <c r="AD2288" s="203">
        <v>43133</v>
      </c>
      <c r="AE2288" s="203">
        <v>43168</v>
      </c>
      <c r="AF2288" s="167" t="s">
        <v>3470</v>
      </c>
    </row>
    <row r="2289" spans="28:32" x14ac:dyDescent="0.25">
      <c r="AB2289" s="167" t="s">
        <v>2214</v>
      </c>
      <c r="AC2289" s="167">
        <v>364</v>
      </c>
      <c r="AD2289" s="203">
        <v>43168</v>
      </c>
      <c r="AE2289" s="203">
        <v>43179</v>
      </c>
      <c r="AF2289" s="167" t="s">
        <v>3470</v>
      </c>
    </row>
    <row r="2290" spans="28:32" x14ac:dyDescent="0.25">
      <c r="AB2290" s="167" t="s">
        <v>2214</v>
      </c>
      <c r="AC2290" s="167">
        <v>353</v>
      </c>
      <c r="AD2290" s="203">
        <v>43180</v>
      </c>
      <c r="AE2290" s="203">
        <v>0</v>
      </c>
      <c r="AF2290" s="167" t="s">
        <v>3469</v>
      </c>
    </row>
    <row r="2291" spans="28:32" x14ac:dyDescent="0.25">
      <c r="AB2291" s="167" t="s">
        <v>2215</v>
      </c>
      <c r="AC2291" s="167">
        <v>323</v>
      </c>
      <c r="AD2291" s="203">
        <v>43074</v>
      </c>
      <c r="AE2291" s="203">
        <v>43111</v>
      </c>
      <c r="AF2291" s="167" t="s">
        <v>3470</v>
      </c>
    </row>
    <row r="2292" spans="28:32" x14ac:dyDescent="0.25">
      <c r="AB2292" s="167" t="s">
        <v>2215</v>
      </c>
      <c r="AC2292" s="167">
        <v>327</v>
      </c>
      <c r="AD2292" s="203">
        <v>43074</v>
      </c>
      <c r="AE2292" s="203">
        <v>43131</v>
      </c>
      <c r="AF2292" s="167" t="s">
        <v>3470</v>
      </c>
    </row>
    <row r="2293" spans="28:32" x14ac:dyDescent="0.25">
      <c r="AB2293" s="167" t="s">
        <v>2215</v>
      </c>
      <c r="AC2293" s="167">
        <v>347</v>
      </c>
      <c r="AD2293" s="203">
        <v>43118</v>
      </c>
      <c r="AE2293" s="203">
        <v>43133</v>
      </c>
      <c r="AF2293" s="167" t="s">
        <v>3470</v>
      </c>
    </row>
    <row r="2294" spans="28:32" x14ac:dyDescent="0.25">
      <c r="AB2294" s="167" t="s">
        <v>2215</v>
      </c>
      <c r="AC2294" s="167">
        <v>340</v>
      </c>
      <c r="AD2294" s="203">
        <v>43133</v>
      </c>
      <c r="AE2294" s="203">
        <v>43168</v>
      </c>
      <c r="AF2294" s="167" t="s">
        <v>3470</v>
      </c>
    </row>
    <row r="2295" spans="28:32" x14ac:dyDescent="0.25">
      <c r="AB2295" s="167" t="s">
        <v>2215</v>
      </c>
      <c r="AC2295" s="167">
        <v>340</v>
      </c>
      <c r="AD2295" s="203">
        <v>43133</v>
      </c>
      <c r="AE2295" s="203">
        <v>43168</v>
      </c>
      <c r="AF2295" s="167" t="s">
        <v>3470</v>
      </c>
    </row>
    <row r="2296" spans="28:32" x14ac:dyDescent="0.25">
      <c r="AB2296" s="167" t="s">
        <v>2217</v>
      </c>
      <c r="AC2296" s="167">
        <v>357</v>
      </c>
      <c r="AD2296" s="203">
        <v>43139</v>
      </c>
      <c r="AE2296" s="203">
        <v>43164</v>
      </c>
      <c r="AF2296" s="167" t="s">
        <v>3470</v>
      </c>
    </row>
    <row r="2297" spans="28:32" x14ac:dyDescent="0.25">
      <c r="AB2297" s="167" t="s">
        <v>2217</v>
      </c>
      <c r="AC2297" s="167">
        <v>353</v>
      </c>
      <c r="AD2297" s="203">
        <v>43180</v>
      </c>
      <c r="AE2297" s="203">
        <v>0</v>
      </c>
      <c r="AF2297" s="167" t="s">
        <v>3469</v>
      </c>
    </row>
    <row r="2298" spans="28:32" x14ac:dyDescent="0.25">
      <c r="AB2298" s="167" t="s">
        <v>2217</v>
      </c>
      <c r="AC2298" s="167">
        <v>353</v>
      </c>
      <c r="AD2298" s="203">
        <v>43180</v>
      </c>
      <c r="AE2298" s="203">
        <v>0</v>
      </c>
      <c r="AF2298" s="167" t="s">
        <v>3469</v>
      </c>
    </row>
    <row r="2299" spans="28:32" x14ac:dyDescent="0.25">
      <c r="AB2299" s="167" t="s">
        <v>2219</v>
      </c>
      <c r="AC2299" s="167">
        <v>347</v>
      </c>
      <c r="AD2299" s="203">
        <v>43118</v>
      </c>
      <c r="AE2299" s="203">
        <v>43133</v>
      </c>
      <c r="AF2299" s="167" t="s">
        <v>3470</v>
      </c>
    </row>
    <row r="2300" spans="28:32" x14ac:dyDescent="0.25">
      <c r="AB2300" s="167" t="s">
        <v>2219</v>
      </c>
      <c r="AC2300" s="167">
        <v>340</v>
      </c>
      <c r="AD2300" s="203">
        <v>43133</v>
      </c>
      <c r="AE2300" s="203">
        <v>43168</v>
      </c>
      <c r="AF2300" s="167" t="s">
        <v>3470</v>
      </c>
    </row>
    <row r="2301" spans="28:32" x14ac:dyDescent="0.25">
      <c r="AB2301" s="167" t="s">
        <v>2219</v>
      </c>
      <c r="AC2301" s="167">
        <v>357</v>
      </c>
      <c r="AD2301" s="203">
        <v>43139</v>
      </c>
      <c r="AE2301" s="203">
        <v>43164</v>
      </c>
      <c r="AF2301" s="167" t="s">
        <v>3470</v>
      </c>
    </row>
    <row r="2302" spans="28:32" x14ac:dyDescent="0.25">
      <c r="AB2302" s="167" t="s">
        <v>2219</v>
      </c>
      <c r="AC2302" s="167">
        <v>364</v>
      </c>
      <c r="AD2302" s="203">
        <v>43168</v>
      </c>
      <c r="AE2302" s="203">
        <v>43179</v>
      </c>
      <c r="AF2302" s="167" t="s">
        <v>3470</v>
      </c>
    </row>
    <row r="2303" spans="28:32" x14ac:dyDescent="0.25">
      <c r="AB2303" s="167" t="s">
        <v>2219</v>
      </c>
      <c r="AC2303" s="167">
        <v>353</v>
      </c>
      <c r="AD2303" s="203">
        <v>43180</v>
      </c>
      <c r="AE2303" s="203">
        <v>0</v>
      </c>
      <c r="AF2303" s="167" t="s">
        <v>3469</v>
      </c>
    </row>
    <row r="2304" spans="28:32" x14ac:dyDescent="0.25">
      <c r="AB2304" s="167" t="s">
        <v>2219</v>
      </c>
      <c r="AC2304" s="167">
        <v>353</v>
      </c>
      <c r="AD2304" s="203">
        <v>43180</v>
      </c>
      <c r="AE2304" s="203">
        <v>0</v>
      </c>
      <c r="AF2304" s="167" t="s">
        <v>3469</v>
      </c>
    </row>
    <row r="2305" spans="28:32" x14ac:dyDescent="0.25">
      <c r="AB2305" s="167" t="s">
        <v>2219</v>
      </c>
      <c r="AC2305" s="167">
        <v>353</v>
      </c>
      <c r="AD2305" s="203">
        <v>43180</v>
      </c>
      <c r="AE2305" s="203">
        <v>0</v>
      </c>
      <c r="AF2305" s="167" t="s">
        <v>3469</v>
      </c>
    </row>
    <row r="2306" spans="28:32" x14ac:dyDescent="0.25">
      <c r="AB2306" s="167" t="s">
        <v>2219</v>
      </c>
      <c r="AC2306" s="167">
        <v>353</v>
      </c>
      <c r="AD2306" s="203">
        <v>43180</v>
      </c>
      <c r="AE2306" s="203">
        <v>0</v>
      </c>
      <c r="AF2306" s="167" t="s">
        <v>3469</v>
      </c>
    </row>
    <row r="2307" spans="28:32" x14ac:dyDescent="0.25">
      <c r="AB2307" s="167" t="s">
        <v>2219</v>
      </c>
      <c r="AC2307" s="167">
        <v>353</v>
      </c>
      <c r="AD2307" s="203">
        <v>43180</v>
      </c>
      <c r="AE2307" s="203">
        <v>0</v>
      </c>
      <c r="AF2307" s="167" t="s">
        <v>3469</v>
      </c>
    </row>
    <row r="2308" spans="28:32" x14ac:dyDescent="0.25">
      <c r="AB2308" s="167" t="s">
        <v>2221</v>
      </c>
      <c r="AC2308" s="167">
        <v>327</v>
      </c>
      <c r="AD2308" s="203">
        <v>43074</v>
      </c>
      <c r="AE2308" s="203">
        <v>43131</v>
      </c>
      <c r="AF2308" s="167" t="s">
        <v>3470</v>
      </c>
    </row>
    <row r="2309" spans="28:32" x14ac:dyDescent="0.25">
      <c r="AB2309" s="167" t="s">
        <v>2221</v>
      </c>
      <c r="AC2309" s="167">
        <v>347</v>
      </c>
      <c r="AD2309" s="203">
        <v>43118</v>
      </c>
      <c r="AE2309" s="203">
        <v>43133</v>
      </c>
      <c r="AF2309" s="167" t="s">
        <v>3470</v>
      </c>
    </row>
    <row r="2310" spans="28:32" x14ac:dyDescent="0.25">
      <c r="AB2310" s="167" t="s">
        <v>2221</v>
      </c>
      <c r="AC2310" s="167">
        <v>340</v>
      </c>
      <c r="AD2310" s="203">
        <v>43133</v>
      </c>
      <c r="AE2310" s="203">
        <v>43168</v>
      </c>
      <c r="AF2310" s="167" t="s">
        <v>3470</v>
      </c>
    </row>
    <row r="2311" spans="28:32" x14ac:dyDescent="0.25">
      <c r="AB2311" s="167" t="s">
        <v>2221</v>
      </c>
      <c r="AC2311" s="167">
        <v>340</v>
      </c>
      <c r="AD2311" s="203">
        <v>43133</v>
      </c>
      <c r="AE2311" s="203">
        <v>43168</v>
      </c>
      <c r="AF2311" s="167" t="s">
        <v>3470</v>
      </c>
    </row>
    <row r="2312" spans="28:32" x14ac:dyDescent="0.25">
      <c r="AB2312" s="167" t="s">
        <v>2221</v>
      </c>
      <c r="AC2312" s="167">
        <v>364</v>
      </c>
      <c r="AD2312" s="203">
        <v>43168</v>
      </c>
      <c r="AE2312" s="203">
        <v>43179</v>
      </c>
      <c r="AF2312" s="167" t="s">
        <v>3470</v>
      </c>
    </row>
    <row r="2313" spans="28:32" x14ac:dyDescent="0.25">
      <c r="AB2313" s="167" t="s">
        <v>2221</v>
      </c>
      <c r="AC2313" s="167">
        <v>374</v>
      </c>
      <c r="AD2313" s="203">
        <v>43195</v>
      </c>
      <c r="AE2313" s="203">
        <v>0</v>
      </c>
      <c r="AF2313" s="167" t="s">
        <v>3469</v>
      </c>
    </row>
    <row r="2314" spans="28:32" x14ac:dyDescent="0.25">
      <c r="AB2314" s="167" t="s">
        <v>2223</v>
      </c>
      <c r="AC2314" s="167">
        <v>347</v>
      </c>
      <c r="AD2314" s="203">
        <v>43118</v>
      </c>
      <c r="AE2314" s="203">
        <v>43133</v>
      </c>
      <c r="AF2314" s="167" t="s">
        <v>3470</v>
      </c>
    </row>
    <row r="2315" spans="28:32" x14ac:dyDescent="0.25">
      <c r="AB2315" s="167" t="s">
        <v>2223</v>
      </c>
      <c r="AC2315" s="167">
        <v>340</v>
      </c>
      <c r="AD2315" s="203">
        <v>43133</v>
      </c>
      <c r="AE2315" s="203">
        <v>43168</v>
      </c>
      <c r="AF2315" s="167" t="s">
        <v>3470</v>
      </c>
    </row>
    <row r="2316" spans="28:32" x14ac:dyDescent="0.25">
      <c r="AB2316" s="167" t="s">
        <v>2223</v>
      </c>
      <c r="AC2316" s="167">
        <v>364</v>
      </c>
      <c r="AD2316" s="203">
        <v>43168</v>
      </c>
      <c r="AE2316" s="203">
        <v>43179</v>
      </c>
      <c r="AF2316" s="167" t="s">
        <v>3470</v>
      </c>
    </row>
    <row r="2317" spans="28:32" x14ac:dyDescent="0.25">
      <c r="AB2317" s="167" t="s">
        <v>2223</v>
      </c>
      <c r="AC2317" s="167">
        <v>353</v>
      </c>
      <c r="AD2317" s="203">
        <v>43180</v>
      </c>
      <c r="AE2317" s="203">
        <v>0</v>
      </c>
      <c r="AF2317" s="167" t="s">
        <v>3469</v>
      </c>
    </row>
    <row r="2318" spans="28:32" x14ac:dyDescent="0.25">
      <c r="AB2318" s="167" t="s">
        <v>2224</v>
      </c>
      <c r="AC2318" s="167">
        <v>374</v>
      </c>
      <c r="AD2318" s="203">
        <v>43195</v>
      </c>
      <c r="AE2318" s="203">
        <v>0</v>
      </c>
      <c r="AF2318" s="167" t="s">
        <v>3469</v>
      </c>
    </row>
    <row r="2319" spans="28:32" x14ac:dyDescent="0.25">
      <c r="AB2319" s="167" t="s">
        <v>2226</v>
      </c>
      <c r="AC2319" s="167">
        <v>327</v>
      </c>
      <c r="AD2319" s="203">
        <v>43074</v>
      </c>
      <c r="AE2319" s="203">
        <v>43131</v>
      </c>
      <c r="AF2319" s="167" t="s">
        <v>3470</v>
      </c>
    </row>
    <row r="2320" spans="28:32" x14ac:dyDescent="0.25">
      <c r="AB2320" s="167" t="s">
        <v>2226</v>
      </c>
      <c r="AC2320" s="167">
        <v>347</v>
      </c>
      <c r="AD2320" s="203">
        <v>43118</v>
      </c>
      <c r="AE2320" s="203">
        <v>43133</v>
      </c>
      <c r="AF2320" s="167" t="s">
        <v>3470</v>
      </c>
    </row>
    <row r="2321" spans="28:32" x14ac:dyDescent="0.25">
      <c r="AB2321" s="167" t="s">
        <v>2226</v>
      </c>
      <c r="AC2321" s="167">
        <v>340</v>
      </c>
      <c r="AD2321" s="203">
        <v>43133</v>
      </c>
      <c r="AE2321" s="203">
        <v>43168</v>
      </c>
      <c r="AF2321" s="167" t="s">
        <v>3470</v>
      </c>
    </row>
    <row r="2322" spans="28:32" x14ac:dyDescent="0.25">
      <c r="AB2322" s="167" t="s">
        <v>2226</v>
      </c>
      <c r="AC2322" s="167">
        <v>340</v>
      </c>
      <c r="AD2322" s="203">
        <v>43133</v>
      </c>
      <c r="AE2322" s="203">
        <v>43168</v>
      </c>
      <c r="AF2322" s="167" t="s">
        <v>3470</v>
      </c>
    </row>
    <row r="2323" spans="28:32" x14ac:dyDescent="0.25">
      <c r="AB2323" s="167" t="s">
        <v>2226</v>
      </c>
      <c r="AC2323" s="167">
        <v>357</v>
      </c>
      <c r="AD2323" s="203">
        <v>43139</v>
      </c>
      <c r="AE2323" s="203">
        <v>43164</v>
      </c>
      <c r="AF2323" s="167" t="s">
        <v>3470</v>
      </c>
    </row>
    <row r="2324" spans="28:32" x14ac:dyDescent="0.25">
      <c r="AB2324" s="167" t="s">
        <v>2226</v>
      </c>
      <c r="AC2324" s="167">
        <v>364</v>
      </c>
      <c r="AD2324" s="203">
        <v>43168</v>
      </c>
      <c r="AE2324" s="203">
        <v>43179</v>
      </c>
      <c r="AF2324" s="167" t="s">
        <v>3470</v>
      </c>
    </row>
    <row r="2325" spans="28:32" x14ac:dyDescent="0.25">
      <c r="AB2325" s="167" t="s">
        <v>2226</v>
      </c>
      <c r="AC2325" s="167">
        <v>353</v>
      </c>
      <c r="AD2325" s="203">
        <v>43180</v>
      </c>
      <c r="AE2325" s="203">
        <v>0</v>
      </c>
      <c r="AF2325" s="167" t="s">
        <v>3469</v>
      </c>
    </row>
    <row r="2326" spans="28:32" x14ac:dyDescent="0.25">
      <c r="AB2326" s="167" t="s">
        <v>2226</v>
      </c>
      <c r="AC2326" s="167">
        <v>353</v>
      </c>
      <c r="AD2326" s="203">
        <v>43180</v>
      </c>
      <c r="AE2326" s="203">
        <v>0</v>
      </c>
      <c r="AF2326" s="167" t="s">
        <v>3469</v>
      </c>
    </row>
    <row r="2327" spans="28:32" x14ac:dyDescent="0.25">
      <c r="AB2327" s="167" t="s">
        <v>2226</v>
      </c>
      <c r="AC2327" s="167">
        <v>353</v>
      </c>
      <c r="AD2327" s="203">
        <v>43180</v>
      </c>
      <c r="AE2327" s="203">
        <v>0</v>
      </c>
      <c r="AF2327" s="167" t="s">
        <v>3469</v>
      </c>
    </row>
    <row r="2328" spans="28:32" x14ac:dyDescent="0.25">
      <c r="AB2328" s="167" t="s">
        <v>2228</v>
      </c>
      <c r="AC2328" s="167">
        <v>327</v>
      </c>
      <c r="AD2328" s="203">
        <v>43074</v>
      </c>
      <c r="AE2328" s="203">
        <v>43131</v>
      </c>
      <c r="AF2328" s="167" t="s">
        <v>3470</v>
      </c>
    </row>
    <row r="2329" spans="28:32" x14ac:dyDescent="0.25">
      <c r="AB2329" s="167" t="s">
        <v>2228</v>
      </c>
      <c r="AC2329" s="167">
        <v>327</v>
      </c>
      <c r="AD2329" s="203">
        <v>43074</v>
      </c>
      <c r="AE2329" s="203">
        <v>43131</v>
      </c>
      <c r="AF2329" s="167" t="s">
        <v>3470</v>
      </c>
    </row>
    <row r="2330" spans="28:32" x14ac:dyDescent="0.25">
      <c r="AB2330" s="167" t="s">
        <v>2228</v>
      </c>
      <c r="AC2330" s="167">
        <v>327</v>
      </c>
      <c r="AD2330" s="203">
        <v>43074</v>
      </c>
      <c r="AE2330" s="203">
        <v>43131</v>
      </c>
      <c r="AF2330" s="167" t="s">
        <v>3470</v>
      </c>
    </row>
    <row r="2331" spans="28:32" x14ac:dyDescent="0.25">
      <c r="AB2331" s="167" t="s">
        <v>2228</v>
      </c>
      <c r="AC2331" s="167">
        <v>347</v>
      </c>
      <c r="AD2331" s="203">
        <v>43118</v>
      </c>
      <c r="AE2331" s="203">
        <v>43133</v>
      </c>
      <c r="AF2331" s="167" t="s">
        <v>3470</v>
      </c>
    </row>
    <row r="2332" spans="28:32" x14ac:dyDescent="0.25">
      <c r="AB2332" s="167" t="s">
        <v>2228</v>
      </c>
      <c r="AC2332" s="167">
        <v>340</v>
      </c>
      <c r="AD2332" s="203">
        <v>43133</v>
      </c>
      <c r="AE2332" s="203">
        <v>43168</v>
      </c>
      <c r="AF2332" s="167" t="s">
        <v>3470</v>
      </c>
    </row>
    <row r="2333" spans="28:32" x14ac:dyDescent="0.25">
      <c r="AB2333" s="167" t="s">
        <v>2228</v>
      </c>
      <c r="AC2333" s="167">
        <v>340</v>
      </c>
      <c r="AD2333" s="203">
        <v>43133</v>
      </c>
      <c r="AE2333" s="203">
        <v>43168</v>
      </c>
      <c r="AF2333" s="167" t="s">
        <v>3470</v>
      </c>
    </row>
    <row r="2334" spans="28:32" x14ac:dyDescent="0.25">
      <c r="AB2334" s="167" t="s">
        <v>2228</v>
      </c>
      <c r="AC2334" s="167">
        <v>357</v>
      </c>
      <c r="AD2334" s="203">
        <v>43139</v>
      </c>
      <c r="AE2334" s="203">
        <v>43164</v>
      </c>
      <c r="AF2334" s="167" t="s">
        <v>3470</v>
      </c>
    </row>
    <row r="2335" spans="28:32" x14ac:dyDescent="0.25">
      <c r="AB2335" s="167" t="s">
        <v>2228</v>
      </c>
      <c r="AC2335" s="167">
        <v>364</v>
      </c>
      <c r="AD2335" s="203">
        <v>43168</v>
      </c>
      <c r="AE2335" s="203">
        <v>43179</v>
      </c>
      <c r="AF2335" s="167" t="s">
        <v>3470</v>
      </c>
    </row>
    <row r="2336" spans="28:32" x14ac:dyDescent="0.25">
      <c r="AB2336" s="167" t="s">
        <v>2228</v>
      </c>
      <c r="AC2336" s="167">
        <v>353</v>
      </c>
      <c r="AD2336" s="203">
        <v>43180</v>
      </c>
      <c r="AE2336" s="203">
        <v>0</v>
      </c>
      <c r="AF2336" s="167" t="s">
        <v>3469</v>
      </c>
    </row>
    <row r="2337" spans="28:32" x14ac:dyDescent="0.25">
      <c r="AB2337" s="167" t="s">
        <v>2228</v>
      </c>
      <c r="AC2337" s="167">
        <v>353</v>
      </c>
      <c r="AD2337" s="203">
        <v>43180</v>
      </c>
      <c r="AE2337" s="203">
        <v>0</v>
      </c>
      <c r="AF2337" s="167" t="s">
        <v>3469</v>
      </c>
    </row>
    <row r="2338" spans="28:32" x14ac:dyDescent="0.25">
      <c r="AB2338" s="167" t="s">
        <v>2228</v>
      </c>
      <c r="AC2338" s="167">
        <v>353</v>
      </c>
      <c r="AD2338" s="203">
        <v>43180</v>
      </c>
      <c r="AE2338" s="203">
        <v>0</v>
      </c>
      <c r="AF2338" s="167" t="s">
        <v>3469</v>
      </c>
    </row>
    <row r="2339" spans="28:32" x14ac:dyDescent="0.25">
      <c r="AB2339" s="167" t="s">
        <v>2228</v>
      </c>
      <c r="AC2339" s="167">
        <v>353</v>
      </c>
      <c r="AD2339" s="203">
        <v>43180</v>
      </c>
      <c r="AE2339" s="203">
        <v>0</v>
      </c>
      <c r="AF2339" s="167" t="s">
        <v>3469</v>
      </c>
    </row>
    <row r="2340" spans="28:32" x14ac:dyDescent="0.25">
      <c r="AB2340" s="167" t="s">
        <v>2230</v>
      </c>
      <c r="AC2340" s="167">
        <v>347</v>
      </c>
      <c r="AD2340" s="203">
        <v>43118</v>
      </c>
      <c r="AE2340" s="203">
        <v>43133</v>
      </c>
      <c r="AF2340" s="167" t="s">
        <v>3470</v>
      </c>
    </row>
    <row r="2341" spans="28:32" x14ac:dyDescent="0.25">
      <c r="AB2341" s="167" t="s">
        <v>2230</v>
      </c>
      <c r="AC2341" s="167">
        <v>340</v>
      </c>
      <c r="AD2341" s="203">
        <v>43133</v>
      </c>
      <c r="AE2341" s="203">
        <v>43168</v>
      </c>
      <c r="AF2341" s="167" t="s">
        <v>3470</v>
      </c>
    </row>
    <row r="2342" spans="28:32" x14ac:dyDescent="0.25">
      <c r="AB2342" s="167" t="s">
        <v>2230</v>
      </c>
      <c r="AC2342" s="167">
        <v>374</v>
      </c>
      <c r="AD2342" s="203">
        <v>43195</v>
      </c>
      <c r="AE2342" s="203">
        <v>0</v>
      </c>
      <c r="AF2342" s="167" t="s">
        <v>3469</v>
      </c>
    </row>
    <row r="2343" spans="28:32" x14ac:dyDescent="0.25">
      <c r="AB2343" s="167" t="s">
        <v>2232</v>
      </c>
      <c r="AC2343" s="167">
        <v>347</v>
      </c>
      <c r="AD2343" s="203">
        <v>43118</v>
      </c>
      <c r="AE2343" s="203">
        <v>43133</v>
      </c>
      <c r="AF2343" s="167" t="s">
        <v>3470</v>
      </c>
    </row>
    <row r="2344" spans="28:32" x14ac:dyDescent="0.25">
      <c r="AB2344" s="167" t="s">
        <v>2232</v>
      </c>
      <c r="AC2344" s="167">
        <v>340</v>
      </c>
      <c r="AD2344" s="203">
        <v>43133</v>
      </c>
      <c r="AE2344" s="203">
        <v>43168</v>
      </c>
      <c r="AF2344" s="167" t="s">
        <v>3470</v>
      </c>
    </row>
    <row r="2345" spans="28:32" x14ac:dyDescent="0.25">
      <c r="AB2345" s="167" t="s">
        <v>2232</v>
      </c>
      <c r="AC2345" s="167">
        <v>364</v>
      </c>
      <c r="AD2345" s="203">
        <v>43168</v>
      </c>
      <c r="AE2345" s="203">
        <v>43179</v>
      </c>
      <c r="AF2345" s="167" t="s">
        <v>3470</v>
      </c>
    </row>
    <row r="2346" spans="28:32" x14ac:dyDescent="0.25">
      <c r="AB2346" s="167" t="s">
        <v>2232</v>
      </c>
      <c r="AC2346" s="167">
        <v>353</v>
      </c>
      <c r="AD2346" s="203">
        <v>43180</v>
      </c>
      <c r="AE2346" s="203">
        <v>0</v>
      </c>
      <c r="AF2346" s="167" t="s">
        <v>3469</v>
      </c>
    </row>
    <row r="2347" spans="28:32" x14ac:dyDescent="0.25">
      <c r="AB2347" s="167" t="s">
        <v>2232</v>
      </c>
      <c r="AC2347" s="167">
        <v>353</v>
      </c>
      <c r="AD2347" s="203">
        <v>43180</v>
      </c>
      <c r="AE2347" s="203">
        <v>0</v>
      </c>
      <c r="AF2347" s="167" t="s">
        <v>3469</v>
      </c>
    </row>
    <row r="2348" spans="28:32" x14ac:dyDescent="0.25">
      <c r="AB2348" s="167" t="s">
        <v>2234</v>
      </c>
      <c r="AC2348" s="167">
        <v>347</v>
      </c>
      <c r="AD2348" s="203">
        <v>43118</v>
      </c>
      <c r="AE2348" s="203">
        <v>43133</v>
      </c>
      <c r="AF2348" s="167" t="s">
        <v>3470</v>
      </c>
    </row>
    <row r="2349" spans="28:32" x14ac:dyDescent="0.25">
      <c r="AB2349" s="167" t="s">
        <v>2234</v>
      </c>
      <c r="AC2349" s="167">
        <v>335</v>
      </c>
      <c r="AD2349" s="203">
        <v>43133</v>
      </c>
      <c r="AE2349" s="203">
        <v>43147</v>
      </c>
      <c r="AF2349" s="167" t="s">
        <v>3470</v>
      </c>
    </row>
    <row r="2350" spans="28:32" x14ac:dyDescent="0.25">
      <c r="AB2350" s="167" t="s">
        <v>2234</v>
      </c>
      <c r="AC2350" s="167">
        <v>340</v>
      </c>
      <c r="AD2350" s="203">
        <v>43133</v>
      </c>
      <c r="AE2350" s="203">
        <v>43168</v>
      </c>
      <c r="AF2350" s="167" t="s">
        <v>3470</v>
      </c>
    </row>
    <row r="2351" spans="28:32" x14ac:dyDescent="0.25">
      <c r="AB2351" s="167" t="s">
        <v>2234</v>
      </c>
      <c r="AC2351" s="167">
        <v>374</v>
      </c>
      <c r="AD2351" s="203">
        <v>43195</v>
      </c>
      <c r="AE2351" s="203">
        <v>0</v>
      </c>
      <c r="AF2351" s="167" t="s">
        <v>3469</v>
      </c>
    </row>
    <row r="2352" spans="28:32" x14ac:dyDescent="0.25">
      <c r="AB2352" s="167" t="s">
        <v>2235</v>
      </c>
      <c r="AC2352" s="167">
        <v>327</v>
      </c>
      <c r="AD2352" s="203">
        <v>43074</v>
      </c>
      <c r="AE2352" s="203">
        <v>43131</v>
      </c>
      <c r="AF2352" s="167" t="s">
        <v>3470</v>
      </c>
    </row>
    <row r="2353" spans="28:32" x14ac:dyDescent="0.25">
      <c r="AB2353" s="167" t="s">
        <v>2235</v>
      </c>
      <c r="AC2353" s="167">
        <v>327</v>
      </c>
      <c r="AD2353" s="203">
        <v>43074</v>
      </c>
      <c r="AE2353" s="203">
        <v>43131</v>
      </c>
      <c r="AF2353" s="167" t="s">
        <v>3470</v>
      </c>
    </row>
    <row r="2354" spans="28:32" x14ac:dyDescent="0.25">
      <c r="AB2354" s="167" t="s">
        <v>2235</v>
      </c>
      <c r="AC2354" s="167">
        <v>327</v>
      </c>
      <c r="AD2354" s="203">
        <v>43074</v>
      </c>
      <c r="AE2354" s="203">
        <v>43131</v>
      </c>
      <c r="AF2354" s="167" t="s">
        <v>3470</v>
      </c>
    </row>
    <row r="2355" spans="28:32" x14ac:dyDescent="0.25">
      <c r="AB2355" s="167" t="s">
        <v>2235</v>
      </c>
      <c r="AC2355" s="167">
        <v>327</v>
      </c>
      <c r="AD2355" s="203">
        <v>43074</v>
      </c>
      <c r="AE2355" s="203">
        <v>43131</v>
      </c>
      <c r="AF2355" s="167" t="s">
        <v>3470</v>
      </c>
    </row>
    <row r="2356" spans="28:32" x14ac:dyDescent="0.25">
      <c r="AB2356" s="167" t="s">
        <v>2235</v>
      </c>
      <c r="AC2356" s="167">
        <v>347</v>
      </c>
      <c r="AD2356" s="203">
        <v>43118</v>
      </c>
      <c r="AE2356" s="203">
        <v>43133</v>
      </c>
      <c r="AF2356" s="167" t="s">
        <v>3470</v>
      </c>
    </row>
    <row r="2357" spans="28:32" x14ac:dyDescent="0.25">
      <c r="AB2357" s="167" t="s">
        <v>2235</v>
      </c>
      <c r="AC2357" s="167">
        <v>340</v>
      </c>
      <c r="AD2357" s="203">
        <v>43133</v>
      </c>
      <c r="AE2357" s="203">
        <v>43168</v>
      </c>
      <c r="AF2357" s="167" t="s">
        <v>3470</v>
      </c>
    </row>
    <row r="2358" spans="28:32" x14ac:dyDescent="0.25">
      <c r="AB2358" s="167" t="s">
        <v>2235</v>
      </c>
      <c r="AC2358" s="167">
        <v>340</v>
      </c>
      <c r="AD2358" s="203">
        <v>43133</v>
      </c>
      <c r="AE2358" s="203">
        <v>43168</v>
      </c>
      <c r="AF2358" s="167" t="s">
        <v>3470</v>
      </c>
    </row>
    <row r="2359" spans="28:32" x14ac:dyDescent="0.25">
      <c r="AB2359" s="167" t="s">
        <v>2235</v>
      </c>
      <c r="AC2359" s="167">
        <v>357</v>
      </c>
      <c r="AD2359" s="203">
        <v>43139</v>
      </c>
      <c r="AE2359" s="203">
        <v>43164</v>
      </c>
      <c r="AF2359" s="167" t="s">
        <v>3470</v>
      </c>
    </row>
    <row r="2360" spans="28:32" x14ac:dyDescent="0.25">
      <c r="AB2360" s="167" t="s">
        <v>2235</v>
      </c>
      <c r="AC2360" s="167">
        <v>353</v>
      </c>
      <c r="AD2360" s="203">
        <v>43180</v>
      </c>
      <c r="AE2360" s="203">
        <v>0</v>
      </c>
      <c r="AF2360" s="167" t="s">
        <v>3469</v>
      </c>
    </row>
    <row r="2361" spans="28:32" x14ac:dyDescent="0.25">
      <c r="AB2361" s="167" t="s">
        <v>2235</v>
      </c>
      <c r="AC2361" s="167">
        <v>353</v>
      </c>
      <c r="AD2361" s="203">
        <v>43180</v>
      </c>
      <c r="AE2361" s="203">
        <v>0</v>
      </c>
      <c r="AF2361" s="167" t="s">
        <v>3469</v>
      </c>
    </row>
    <row r="2362" spans="28:32" x14ac:dyDescent="0.25">
      <c r="AB2362" s="167" t="s">
        <v>2237</v>
      </c>
      <c r="AC2362" s="167">
        <v>323</v>
      </c>
      <c r="AD2362" s="203">
        <v>43074</v>
      </c>
      <c r="AE2362" s="203">
        <v>43111</v>
      </c>
      <c r="AF2362" s="167" t="s">
        <v>3470</v>
      </c>
    </row>
    <row r="2363" spans="28:32" x14ac:dyDescent="0.25">
      <c r="AB2363" s="167" t="s">
        <v>2237</v>
      </c>
      <c r="AC2363" s="167">
        <v>327</v>
      </c>
      <c r="AD2363" s="203">
        <v>43074</v>
      </c>
      <c r="AE2363" s="203">
        <v>43131</v>
      </c>
      <c r="AF2363" s="167" t="s">
        <v>3470</v>
      </c>
    </row>
    <row r="2364" spans="28:32" x14ac:dyDescent="0.25">
      <c r="AB2364" s="167" t="s">
        <v>2237</v>
      </c>
      <c r="AC2364" s="167">
        <v>347</v>
      </c>
      <c r="AD2364" s="203">
        <v>43118</v>
      </c>
      <c r="AE2364" s="203">
        <v>43133</v>
      </c>
      <c r="AF2364" s="167" t="s">
        <v>3470</v>
      </c>
    </row>
    <row r="2365" spans="28:32" x14ac:dyDescent="0.25">
      <c r="AB2365" s="167" t="s">
        <v>2237</v>
      </c>
      <c r="AC2365" s="167">
        <v>340</v>
      </c>
      <c r="AD2365" s="203">
        <v>43133</v>
      </c>
      <c r="AE2365" s="203">
        <v>43168</v>
      </c>
      <c r="AF2365" s="167" t="s">
        <v>3470</v>
      </c>
    </row>
    <row r="2366" spans="28:32" x14ac:dyDescent="0.25">
      <c r="AB2366" s="167" t="s">
        <v>2237</v>
      </c>
      <c r="AC2366" s="167">
        <v>340</v>
      </c>
      <c r="AD2366" s="203">
        <v>43133</v>
      </c>
      <c r="AE2366" s="203">
        <v>43168</v>
      </c>
      <c r="AF2366" s="167" t="s">
        <v>3470</v>
      </c>
    </row>
    <row r="2367" spans="28:32" x14ac:dyDescent="0.25">
      <c r="AB2367" s="167" t="s">
        <v>2237</v>
      </c>
      <c r="AC2367" s="167">
        <v>374</v>
      </c>
      <c r="AD2367" s="203">
        <v>43195</v>
      </c>
      <c r="AE2367" s="203">
        <v>0</v>
      </c>
      <c r="AF2367" s="167" t="s">
        <v>3469</v>
      </c>
    </row>
    <row r="2368" spans="28:32" x14ac:dyDescent="0.25">
      <c r="AB2368" s="167" t="s">
        <v>2239</v>
      </c>
      <c r="AC2368" s="167">
        <v>323</v>
      </c>
      <c r="AD2368" s="203">
        <v>43074</v>
      </c>
      <c r="AE2368" s="203">
        <v>43111</v>
      </c>
      <c r="AF2368" s="167" t="s">
        <v>3470</v>
      </c>
    </row>
    <row r="2369" spans="28:32" x14ac:dyDescent="0.25">
      <c r="AB2369" s="167" t="s">
        <v>2239</v>
      </c>
      <c r="AC2369" s="167">
        <v>327</v>
      </c>
      <c r="AD2369" s="203">
        <v>43074</v>
      </c>
      <c r="AE2369" s="203">
        <v>43131</v>
      </c>
      <c r="AF2369" s="167" t="s">
        <v>3470</v>
      </c>
    </row>
    <row r="2370" spans="28:32" x14ac:dyDescent="0.25">
      <c r="AB2370" s="167" t="s">
        <v>2239</v>
      </c>
      <c r="AC2370" s="167">
        <v>347</v>
      </c>
      <c r="AD2370" s="203">
        <v>43118</v>
      </c>
      <c r="AE2370" s="203">
        <v>43133</v>
      </c>
      <c r="AF2370" s="167" t="s">
        <v>3470</v>
      </c>
    </row>
    <row r="2371" spans="28:32" x14ac:dyDescent="0.25">
      <c r="AB2371" s="167" t="s">
        <v>2239</v>
      </c>
      <c r="AC2371" s="167">
        <v>340</v>
      </c>
      <c r="AD2371" s="203">
        <v>43133</v>
      </c>
      <c r="AE2371" s="203">
        <v>43168</v>
      </c>
      <c r="AF2371" s="167" t="s">
        <v>3470</v>
      </c>
    </row>
    <row r="2372" spans="28:32" x14ac:dyDescent="0.25">
      <c r="AB2372" s="167" t="s">
        <v>2239</v>
      </c>
      <c r="AC2372" s="167">
        <v>364</v>
      </c>
      <c r="AD2372" s="203">
        <v>43168</v>
      </c>
      <c r="AE2372" s="203">
        <v>43179</v>
      </c>
      <c r="AF2372" s="167" t="s">
        <v>3470</v>
      </c>
    </row>
    <row r="2373" spans="28:32" x14ac:dyDescent="0.25">
      <c r="AB2373" s="167" t="s">
        <v>2239</v>
      </c>
      <c r="AC2373" s="167">
        <v>353</v>
      </c>
      <c r="AD2373" s="203">
        <v>43180</v>
      </c>
      <c r="AE2373" s="203">
        <v>0</v>
      </c>
      <c r="AF2373" s="167" t="s">
        <v>3469</v>
      </c>
    </row>
    <row r="2374" spans="28:32" x14ac:dyDescent="0.25">
      <c r="AB2374" s="167" t="s">
        <v>3400</v>
      </c>
      <c r="AC2374" s="167">
        <v>356</v>
      </c>
      <c r="AD2374" s="203">
        <v>43139</v>
      </c>
      <c r="AE2374" s="203">
        <v>0</v>
      </c>
      <c r="AF2374" s="167" t="s">
        <v>3469</v>
      </c>
    </row>
    <row r="2375" spans="28:32" x14ac:dyDescent="0.25">
      <c r="AB2375" s="167" t="s">
        <v>2241</v>
      </c>
      <c r="AC2375" s="167">
        <v>323</v>
      </c>
      <c r="AD2375" s="203">
        <v>43074</v>
      </c>
      <c r="AE2375" s="203">
        <v>43111</v>
      </c>
      <c r="AF2375" s="167" t="s">
        <v>3470</v>
      </c>
    </row>
    <row r="2376" spans="28:32" x14ac:dyDescent="0.25">
      <c r="AB2376" s="167" t="s">
        <v>2241</v>
      </c>
      <c r="AC2376" s="167">
        <v>357</v>
      </c>
      <c r="AD2376" s="203">
        <v>43139</v>
      </c>
      <c r="AE2376" s="203">
        <v>43164</v>
      </c>
      <c r="AF2376" s="167" t="s">
        <v>3470</v>
      </c>
    </row>
    <row r="2377" spans="28:32" x14ac:dyDescent="0.25">
      <c r="AB2377" s="167" t="s">
        <v>2241</v>
      </c>
      <c r="AC2377" s="167">
        <v>353</v>
      </c>
      <c r="AD2377" s="203">
        <v>43180</v>
      </c>
      <c r="AE2377" s="203">
        <v>0</v>
      </c>
      <c r="AF2377" s="167" t="s">
        <v>3469</v>
      </c>
    </row>
    <row r="2378" spans="28:32" x14ac:dyDescent="0.25">
      <c r="AB2378" s="167" t="s">
        <v>2242</v>
      </c>
      <c r="AC2378" s="167">
        <v>323</v>
      </c>
      <c r="AD2378" s="203">
        <v>43074</v>
      </c>
      <c r="AE2378" s="203">
        <v>43111</v>
      </c>
      <c r="AF2378" s="167" t="s">
        <v>3470</v>
      </c>
    </row>
    <row r="2379" spans="28:32" x14ac:dyDescent="0.25">
      <c r="AB2379" s="167" t="s">
        <v>2242</v>
      </c>
      <c r="AC2379" s="167">
        <v>374</v>
      </c>
      <c r="AD2379" s="203">
        <v>43195</v>
      </c>
      <c r="AE2379" s="203">
        <v>0</v>
      </c>
      <c r="AF2379" s="167" t="s">
        <v>3469</v>
      </c>
    </row>
    <row r="2380" spans="28:32" x14ac:dyDescent="0.25">
      <c r="AB2380" s="167" t="s">
        <v>2244</v>
      </c>
      <c r="AC2380" s="167">
        <v>323</v>
      </c>
      <c r="AD2380" s="203">
        <v>43074</v>
      </c>
      <c r="AE2380" s="203">
        <v>43111</v>
      </c>
      <c r="AF2380" s="167" t="s">
        <v>3470</v>
      </c>
    </row>
    <row r="2381" spans="28:32" x14ac:dyDescent="0.25">
      <c r="AB2381" s="167" t="s">
        <v>2244</v>
      </c>
      <c r="AC2381" s="167">
        <v>347</v>
      </c>
      <c r="AD2381" s="203">
        <v>43118</v>
      </c>
      <c r="AE2381" s="203">
        <v>43133</v>
      </c>
      <c r="AF2381" s="167" t="s">
        <v>3470</v>
      </c>
    </row>
    <row r="2382" spans="28:32" x14ac:dyDescent="0.25">
      <c r="AB2382" s="167" t="s">
        <v>2244</v>
      </c>
      <c r="AC2382" s="167">
        <v>340</v>
      </c>
      <c r="AD2382" s="203">
        <v>43133</v>
      </c>
      <c r="AE2382" s="203">
        <v>43168</v>
      </c>
      <c r="AF2382" s="167" t="s">
        <v>3470</v>
      </c>
    </row>
    <row r="2383" spans="28:32" x14ac:dyDescent="0.25">
      <c r="AB2383" s="167" t="s">
        <v>2244</v>
      </c>
      <c r="AC2383" s="167">
        <v>340</v>
      </c>
      <c r="AD2383" s="203">
        <v>43133</v>
      </c>
      <c r="AE2383" s="203">
        <v>43168</v>
      </c>
      <c r="AF2383" s="167" t="s">
        <v>3470</v>
      </c>
    </row>
    <row r="2384" spans="28:32" x14ac:dyDescent="0.25">
      <c r="AB2384" s="167" t="s">
        <v>2244</v>
      </c>
      <c r="AC2384" s="167">
        <v>364</v>
      </c>
      <c r="AD2384" s="203">
        <v>43168</v>
      </c>
      <c r="AE2384" s="203">
        <v>43179</v>
      </c>
      <c r="AF2384" s="167" t="s">
        <v>3470</v>
      </c>
    </row>
    <row r="2385" spans="28:32" x14ac:dyDescent="0.25">
      <c r="AB2385" s="167" t="s">
        <v>2244</v>
      </c>
      <c r="AC2385" s="167">
        <v>374</v>
      </c>
      <c r="AD2385" s="203">
        <v>43195</v>
      </c>
      <c r="AE2385" s="203">
        <v>0</v>
      </c>
      <c r="AF2385" s="167" t="s">
        <v>3469</v>
      </c>
    </row>
    <row r="2386" spans="28:32" x14ac:dyDescent="0.25">
      <c r="AB2386" s="167" t="s">
        <v>3483</v>
      </c>
      <c r="AC2386" s="167">
        <v>323</v>
      </c>
      <c r="AD2386" s="203">
        <v>43074</v>
      </c>
      <c r="AE2386" s="203">
        <v>43111</v>
      </c>
      <c r="AF2386" s="167" t="s">
        <v>3470</v>
      </c>
    </row>
    <row r="2387" spans="28:32" x14ac:dyDescent="0.25">
      <c r="AB2387" s="167" t="s">
        <v>3483</v>
      </c>
      <c r="AC2387" s="167">
        <v>327</v>
      </c>
      <c r="AD2387" s="203">
        <v>43074</v>
      </c>
      <c r="AE2387" s="203">
        <v>43131</v>
      </c>
      <c r="AF2387" s="167" t="s">
        <v>3470</v>
      </c>
    </row>
    <row r="2388" spans="28:32" x14ac:dyDescent="0.25">
      <c r="AB2388" s="167" t="s">
        <v>3483</v>
      </c>
      <c r="AC2388" s="167">
        <v>347</v>
      </c>
      <c r="AD2388" s="203">
        <v>43118</v>
      </c>
      <c r="AE2388" s="203">
        <v>43133</v>
      </c>
      <c r="AF2388" s="167" t="s">
        <v>3470</v>
      </c>
    </row>
    <row r="2389" spans="28:32" x14ac:dyDescent="0.25">
      <c r="AB2389" s="167" t="s">
        <v>3483</v>
      </c>
      <c r="AC2389" s="167">
        <v>357</v>
      </c>
      <c r="AD2389" s="203">
        <v>43139</v>
      </c>
      <c r="AE2389" s="203">
        <v>43164</v>
      </c>
      <c r="AF2389" s="167" t="s">
        <v>3470</v>
      </c>
    </row>
    <row r="2390" spans="28:32" x14ac:dyDescent="0.25">
      <c r="AB2390" s="167" t="s">
        <v>2245</v>
      </c>
      <c r="AC2390" s="167">
        <v>327</v>
      </c>
      <c r="AD2390" s="203">
        <v>43074</v>
      </c>
      <c r="AE2390" s="203">
        <v>43131</v>
      </c>
      <c r="AF2390" s="167" t="s">
        <v>3470</v>
      </c>
    </row>
    <row r="2391" spans="28:32" x14ac:dyDescent="0.25">
      <c r="AB2391" s="167" t="s">
        <v>2245</v>
      </c>
      <c r="AC2391" s="167">
        <v>347</v>
      </c>
      <c r="AD2391" s="203">
        <v>43118</v>
      </c>
      <c r="AE2391" s="203">
        <v>43133</v>
      </c>
      <c r="AF2391" s="167" t="s">
        <v>3470</v>
      </c>
    </row>
    <row r="2392" spans="28:32" x14ac:dyDescent="0.25">
      <c r="AB2392" s="167" t="s">
        <v>2245</v>
      </c>
      <c r="AC2392" s="167">
        <v>340</v>
      </c>
      <c r="AD2392" s="203">
        <v>43133</v>
      </c>
      <c r="AE2392" s="203">
        <v>43168</v>
      </c>
      <c r="AF2392" s="167" t="s">
        <v>3470</v>
      </c>
    </row>
    <row r="2393" spans="28:32" x14ac:dyDescent="0.25">
      <c r="AB2393" s="167" t="s">
        <v>2245</v>
      </c>
      <c r="AC2393" s="167">
        <v>364</v>
      </c>
      <c r="AD2393" s="203">
        <v>43168</v>
      </c>
      <c r="AE2393" s="203">
        <v>43179</v>
      </c>
      <c r="AF2393" s="167" t="s">
        <v>3470</v>
      </c>
    </row>
    <row r="2394" spans="28:32" x14ac:dyDescent="0.25">
      <c r="AB2394" s="167" t="s">
        <v>2245</v>
      </c>
      <c r="AC2394" s="167">
        <v>353</v>
      </c>
      <c r="AD2394" s="203">
        <v>43180</v>
      </c>
      <c r="AE2394" s="203">
        <v>0</v>
      </c>
      <c r="AF2394" s="167" t="s">
        <v>3469</v>
      </c>
    </row>
    <row r="2395" spans="28:32" x14ac:dyDescent="0.25">
      <c r="AB2395" s="167" t="s">
        <v>2246</v>
      </c>
      <c r="AC2395" s="167">
        <v>323</v>
      </c>
      <c r="AD2395" s="203">
        <v>43074</v>
      </c>
      <c r="AE2395" s="203">
        <v>43111</v>
      </c>
      <c r="AF2395" s="167" t="s">
        <v>3470</v>
      </c>
    </row>
    <row r="2396" spans="28:32" x14ac:dyDescent="0.25">
      <c r="AB2396" s="167" t="s">
        <v>2246</v>
      </c>
      <c r="AC2396" s="167">
        <v>347</v>
      </c>
      <c r="AD2396" s="203">
        <v>43118</v>
      </c>
      <c r="AE2396" s="203">
        <v>43133</v>
      </c>
      <c r="AF2396" s="167" t="s">
        <v>3470</v>
      </c>
    </row>
    <row r="2397" spans="28:32" x14ac:dyDescent="0.25">
      <c r="AB2397" s="167" t="s">
        <v>2246</v>
      </c>
      <c r="AC2397" s="167">
        <v>340</v>
      </c>
      <c r="AD2397" s="203">
        <v>43133</v>
      </c>
      <c r="AE2397" s="203">
        <v>43168</v>
      </c>
      <c r="AF2397" s="167" t="s">
        <v>3470</v>
      </c>
    </row>
    <row r="2398" spans="28:32" x14ac:dyDescent="0.25">
      <c r="AB2398" s="167" t="s">
        <v>2247</v>
      </c>
      <c r="AC2398" s="167">
        <v>347</v>
      </c>
      <c r="AD2398" s="203">
        <v>43118</v>
      </c>
      <c r="AE2398" s="203">
        <v>43133</v>
      </c>
      <c r="AF2398" s="167" t="s">
        <v>3470</v>
      </c>
    </row>
    <row r="2399" spans="28:32" x14ac:dyDescent="0.25">
      <c r="AB2399" s="167" t="s">
        <v>2247</v>
      </c>
      <c r="AC2399" s="167">
        <v>340</v>
      </c>
      <c r="AD2399" s="203">
        <v>43133</v>
      </c>
      <c r="AE2399" s="203">
        <v>43168</v>
      </c>
      <c r="AF2399" s="167" t="s">
        <v>3470</v>
      </c>
    </row>
    <row r="2400" spans="28:32" x14ac:dyDescent="0.25">
      <c r="AB2400" s="167" t="s">
        <v>2247</v>
      </c>
      <c r="AC2400" s="167">
        <v>340</v>
      </c>
      <c r="AD2400" s="203">
        <v>43133</v>
      </c>
      <c r="AE2400" s="203">
        <v>43168</v>
      </c>
      <c r="AF2400" s="167" t="s">
        <v>3470</v>
      </c>
    </row>
    <row r="2401" spans="28:32" x14ac:dyDescent="0.25">
      <c r="AB2401" s="167" t="s">
        <v>2247</v>
      </c>
      <c r="AC2401" s="167">
        <v>353</v>
      </c>
      <c r="AD2401" s="203">
        <v>43180</v>
      </c>
      <c r="AE2401" s="203">
        <v>0</v>
      </c>
      <c r="AF2401" s="167" t="s">
        <v>3469</v>
      </c>
    </row>
    <row r="2402" spans="28:32" x14ac:dyDescent="0.25">
      <c r="AB2402" s="167" t="s">
        <v>2248</v>
      </c>
      <c r="AC2402" s="167">
        <v>327</v>
      </c>
      <c r="AD2402" s="203">
        <v>43074</v>
      </c>
      <c r="AE2402" s="203">
        <v>43131</v>
      </c>
      <c r="AF2402" s="167" t="s">
        <v>3470</v>
      </c>
    </row>
    <row r="2403" spans="28:32" x14ac:dyDescent="0.25">
      <c r="AB2403" s="167" t="s">
        <v>2248</v>
      </c>
      <c r="AC2403" s="167">
        <v>339</v>
      </c>
      <c r="AD2403" s="203">
        <v>43087</v>
      </c>
      <c r="AE2403" s="203">
        <v>43111</v>
      </c>
      <c r="AF2403" s="167" t="s">
        <v>3470</v>
      </c>
    </row>
    <row r="2404" spans="28:32" x14ac:dyDescent="0.25">
      <c r="AB2404" s="167" t="s">
        <v>2248</v>
      </c>
      <c r="AC2404" s="167">
        <v>347</v>
      </c>
      <c r="AD2404" s="203">
        <v>43118</v>
      </c>
      <c r="AE2404" s="203">
        <v>43133</v>
      </c>
      <c r="AF2404" s="167" t="s">
        <v>3470</v>
      </c>
    </row>
    <row r="2405" spans="28:32" x14ac:dyDescent="0.25">
      <c r="AB2405" s="167" t="s">
        <v>2248</v>
      </c>
      <c r="AC2405" s="167">
        <v>352</v>
      </c>
      <c r="AD2405" s="203">
        <v>43133</v>
      </c>
      <c r="AE2405" s="203">
        <v>43179</v>
      </c>
      <c r="AF2405" s="167" t="s">
        <v>3470</v>
      </c>
    </row>
    <row r="2406" spans="28:32" x14ac:dyDescent="0.25">
      <c r="AB2406" s="167" t="s">
        <v>2248</v>
      </c>
      <c r="AC2406" s="167">
        <v>374</v>
      </c>
      <c r="AD2406" s="203">
        <v>43195</v>
      </c>
      <c r="AE2406" s="203">
        <v>0</v>
      </c>
      <c r="AF2406" s="167" t="s">
        <v>3469</v>
      </c>
    </row>
    <row r="2407" spans="28:32" x14ac:dyDescent="0.25">
      <c r="AB2407" s="167" t="s">
        <v>2250</v>
      </c>
      <c r="AC2407" s="167">
        <v>323</v>
      </c>
      <c r="AD2407" s="203">
        <v>43074</v>
      </c>
      <c r="AE2407" s="203">
        <v>43111</v>
      </c>
      <c r="AF2407" s="167" t="s">
        <v>3470</v>
      </c>
    </row>
    <row r="2408" spans="28:32" x14ac:dyDescent="0.25">
      <c r="AB2408" s="167" t="s">
        <v>2250</v>
      </c>
      <c r="AC2408" s="167">
        <v>340</v>
      </c>
      <c r="AD2408" s="203">
        <v>43133</v>
      </c>
      <c r="AE2408" s="203">
        <v>43168</v>
      </c>
      <c r="AF2408" s="167" t="s">
        <v>3470</v>
      </c>
    </row>
    <row r="2409" spans="28:32" x14ac:dyDescent="0.25">
      <c r="AB2409" s="167" t="s">
        <v>2250</v>
      </c>
      <c r="AC2409" s="167">
        <v>364</v>
      </c>
      <c r="AD2409" s="203">
        <v>43168</v>
      </c>
      <c r="AE2409" s="203">
        <v>43179</v>
      </c>
      <c r="AF2409" s="167" t="s">
        <v>3470</v>
      </c>
    </row>
    <row r="2410" spans="28:32" x14ac:dyDescent="0.25">
      <c r="AB2410" s="167" t="s">
        <v>2250</v>
      </c>
      <c r="AC2410" s="167">
        <v>353</v>
      </c>
      <c r="AD2410" s="203">
        <v>43180</v>
      </c>
      <c r="AE2410" s="203">
        <v>0</v>
      </c>
      <c r="AF2410" s="167" t="s">
        <v>3469</v>
      </c>
    </row>
    <row r="2411" spans="28:32" x14ac:dyDescent="0.25">
      <c r="AB2411" s="167" t="s">
        <v>2251</v>
      </c>
      <c r="AC2411" s="167">
        <v>327</v>
      </c>
      <c r="AD2411" s="203">
        <v>43074</v>
      </c>
      <c r="AE2411" s="203">
        <v>43131</v>
      </c>
      <c r="AF2411" s="167" t="s">
        <v>3470</v>
      </c>
    </row>
    <row r="2412" spans="28:32" x14ac:dyDescent="0.25">
      <c r="AB2412" s="167" t="s">
        <v>2251</v>
      </c>
      <c r="AC2412" s="167">
        <v>347</v>
      </c>
      <c r="AD2412" s="203">
        <v>43118</v>
      </c>
      <c r="AE2412" s="203">
        <v>43133</v>
      </c>
      <c r="AF2412" s="167" t="s">
        <v>3470</v>
      </c>
    </row>
    <row r="2413" spans="28:32" x14ac:dyDescent="0.25">
      <c r="AB2413" s="167" t="s">
        <v>2251</v>
      </c>
      <c r="AC2413" s="167">
        <v>340</v>
      </c>
      <c r="AD2413" s="203">
        <v>43133</v>
      </c>
      <c r="AE2413" s="203">
        <v>43168</v>
      </c>
      <c r="AF2413" s="167" t="s">
        <v>3470</v>
      </c>
    </row>
    <row r="2414" spans="28:32" x14ac:dyDescent="0.25">
      <c r="AB2414" s="167" t="s">
        <v>2251</v>
      </c>
      <c r="AC2414" s="167">
        <v>340</v>
      </c>
      <c r="AD2414" s="203">
        <v>43133</v>
      </c>
      <c r="AE2414" s="203">
        <v>43168</v>
      </c>
      <c r="AF2414" s="167" t="s">
        <v>3470</v>
      </c>
    </row>
    <row r="2415" spans="28:32" x14ac:dyDescent="0.25">
      <c r="AB2415" s="167" t="s">
        <v>2251</v>
      </c>
      <c r="AC2415" s="167">
        <v>374</v>
      </c>
      <c r="AD2415" s="203">
        <v>43195</v>
      </c>
      <c r="AE2415" s="203">
        <v>0</v>
      </c>
      <c r="AF2415" s="167" t="s">
        <v>3469</v>
      </c>
    </row>
    <row r="2416" spans="28:32" x14ac:dyDescent="0.25">
      <c r="AB2416" s="167" t="s">
        <v>2253</v>
      </c>
      <c r="AC2416" s="167">
        <v>327</v>
      </c>
      <c r="AD2416" s="203">
        <v>43074</v>
      </c>
      <c r="AE2416" s="203">
        <v>43131</v>
      </c>
      <c r="AF2416" s="167" t="s">
        <v>3470</v>
      </c>
    </row>
    <row r="2417" spans="28:32" x14ac:dyDescent="0.25">
      <c r="AB2417" s="167" t="s">
        <v>2253</v>
      </c>
      <c r="AC2417" s="167">
        <v>347</v>
      </c>
      <c r="AD2417" s="203">
        <v>43118</v>
      </c>
      <c r="AE2417" s="203">
        <v>43133</v>
      </c>
      <c r="AF2417" s="167" t="s">
        <v>3470</v>
      </c>
    </row>
    <row r="2418" spans="28:32" x14ac:dyDescent="0.25">
      <c r="AB2418" s="167" t="s">
        <v>2253</v>
      </c>
      <c r="AC2418" s="167">
        <v>340</v>
      </c>
      <c r="AD2418" s="203">
        <v>43133</v>
      </c>
      <c r="AE2418" s="203">
        <v>43168</v>
      </c>
      <c r="AF2418" s="167" t="s">
        <v>3470</v>
      </c>
    </row>
    <row r="2419" spans="28:32" x14ac:dyDescent="0.25">
      <c r="AB2419" s="167" t="s">
        <v>2253</v>
      </c>
      <c r="AC2419" s="167">
        <v>357</v>
      </c>
      <c r="AD2419" s="203">
        <v>43139</v>
      </c>
      <c r="AE2419" s="203">
        <v>43164</v>
      </c>
      <c r="AF2419" s="167" t="s">
        <v>3470</v>
      </c>
    </row>
    <row r="2420" spans="28:32" x14ac:dyDescent="0.25">
      <c r="AB2420" s="167" t="s">
        <v>2253</v>
      </c>
      <c r="AC2420" s="167">
        <v>364</v>
      </c>
      <c r="AD2420" s="203">
        <v>43168</v>
      </c>
      <c r="AE2420" s="203">
        <v>43179</v>
      </c>
      <c r="AF2420" s="167" t="s">
        <v>3470</v>
      </c>
    </row>
    <row r="2421" spans="28:32" x14ac:dyDescent="0.25">
      <c r="AB2421" s="167" t="s">
        <v>2253</v>
      </c>
      <c r="AC2421" s="167">
        <v>353</v>
      </c>
      <c r="AD2421" s="203">
        <v>43180</v>
      </c>
      <c r="AE2421" s="203">
        <v>0</v>
      </c>
      <c r="AF2421" s="167" t="s">
        <v>3469</v>
      </c>
    </row>
    <row r="2422" spans="28:32" x14ac:dyDescent="0.25">
      <c r="AB2422" s="167" t="s">
        <v>2253</v>
      </c>
      <c r="AC2422" s="167">
        <v>353</v>
      </c>
      <c r="AD2422" s="203">
        <v>43180</v>
      </c>
      <c r="AE2422" s="203">
        <v>0</v>
      </c>
      <c r="AF2422" s="167" t="s">
        <v>3469</v>
      </c>
    </row>
    <row r="2423" spans="28:32" x14ac:dyDescent="0.25">
      <c r="AB2423" s="167" t="s">
        <v>2253</v>
      </c>
      <c r="AC2423" s="167">
        <v>353</v>
      </c>
      <c r="AD2423" s="203">
        <v>43180</v>
      </c>
      <c r="AE2423" s="203">
        <v>0</v>
      </c>
      <c r="AF2423" s="167" t="s">
        <v>3469</v>
      </c>
    </row>
    <row r="2424" spans="28:32" x14ac:dyDescent="0.25">
      <c r="AB2424" s="167" t="s">
        <v>2253</v>
      </c>
      <c r="AC2424" s="167">
        <v>353</v>
      </c>
      <c r="AD2424" s="203">
        <v>43180</v>
      </c>
      <c r="AE2424" s="203">
        <v>0</v>
      </c>
      <c r="AF2424" s="167" t="s">
        <v>3469</v>
      </c>
    </row>
    <row r="2425" spans="28:32" x14ac:dyDescent="0.25">
      <c r="AB2425" s="167" t="s">
        <v>2253</v>
      </c>
      <c r="AC2425" s="167">
        <v>353</v>
      </c>
      <c r="AD2425" s="203">
        <v>43180</v>
      </c>
      <c r="AE2425" s="203">
        <v>0</v>
      </c>
      <c r="AF2425" s="167" t="s">
        <v>3469</v>
      </c>
    </row>
    <row r="2426" spans="28:32" x14ac:dyDescent="0.25">
      <c r="AB2426" s="167" t="s">
        <v>2255</v>
      </c>
      <c r="AC2426" s="167">
        <v>340</v>
      </c>
      <c r="AD2426" s="203">
        <v>43133</v>
      </c>
      <c r="AE2426" s="203">
        <v>43168</v>
      </c>
      <c r="AF2426" s="167" t="s">
        <v>3470</v>
      </c>
    </row>
    <row r="2427" spans="28:32" x14ac:dyDescent="0.25">
      <c r="AB2427" s="167" t="s">
        <v>2255</v>
      </c>
      <c r="AC2427" s="167">
        <v>357</v>
      </c>
      <c r="AD2427" s="203">
        <v>43139</v>
      </c>
      <c r="AE2427" s="203">
        <v>43164</v>
      </c>
      <c r="AF2427" s="167" t="s">
        <v>3470</v>
      </c>
    </row>
    <row r="2428" spans="28:32" x14ac:dyDescent="0.25">
      <c r="AB2428" s="167" t="s">
        <v>2255</v>
      </c>
      <c r="AC2428" s="167">
        <v>353</v>
      </c>
      <c r="AD2428" s="203">
        <v>43180</v>
      </c>
      <c r="AE2428" s="203">
        <v>0</v>
      </c>
      <c r="AF2428" s="167" t="s">
        <v>3469</v>
      </c>
    </row>
    <row r="2429" spans="28:32" x14ac:dyDescent="0.25">
      <c r="AB2429" s="167" t="s">
        <v>2257</v>
      </c>
      <c r="AC2429" s="167">
        <v>347</v>
      </c>
      <c r="AD2429" s="203">
        <v>43118</v>
      </c>
      <c r="AE2429" s="203">
        <v>43133</v>
      </c>
      <c r="AF2429" s="167" t="s">
        <v>3470</v>
      </c>
    </row>
    <row r="2430" spans="28:32" x14ac:dyDescent="0.25">
      <c r="AB2430" s="167" t="s">
        <v>2257</v>
      </c>
      <c r="AC2430" s="167">
        <v>340</v>
      </c>
      <c r="AD2430" s="203">
        <v>43133</v>
      </c>
      <c r="AE2430" s="203">
        <v>43168</v>
      </c>
      <c r="AF2430" s="167" t="s">
        <v>3470</v>
      </c>
    </row>
    <row r="2431" spans="28:32" x14ac:dyDescent="0.25">
      <c r="AB2431" s="167" t="s">
        <v>2257</v>
      </c>
      <c r="AC2431" s="167">
        <v>357</v>
      </c>
      <c r="AD2431" s="203">
        <v>43139</v>
      </c>
      <c r="AE2431" s="203">
        <v>43164</v>
      </c>
      <c r="AF2431" s="167" t="s">
        <v>3470</v>
      </c>
    </row>
    <row r="2432" spans="28:32" x14ac:dyDescent="0.25">
      <c r="AB2432" s="167" t="s">
        <v>2257</v>
      </c>
      <c r="AC2432" s="167">
        <v>353</v>
      </c>
      <c r="AD2432" s="203">
        <v>43180</v>
      </c>
      <c r="AE2432" s="203">
        <v>0</v>
      </c>
      <c r="AF2432" s="167" t="s">
        <v>3469</v>
      </c>
    </row>
    <row r="2433" spans="28:32" x14ac:dyDescent="0.25">
      <c r="AB2433" s="167" t="s">
        <v>2258</v>
      </c>
      <c r="AC2433" s="167">
        <v>323</v>
      </c>
      <c r="AD2433" s="203">
        <v>43074</v>
      </c>
      <c r="AE2433" s="203">
        <v>43111</v>
      </c>
      <c r="AF2433" s="167" t="s">
        <v>3470</v>
      </c>
    </row>
    <row r="2434" spans="28:32" x14ac:dyDescent="0.25">
      <c r="AB2434" s="167" t="s">
        <v>2258</v>
      </c>
      <c r="AC2434" s="167">
        <v>340</v>
      </c>
      <c r="AD2434" s="203">
        <v>43133</v>
      </c>
      <c r="AE2434" s="203">
        <v>43168</v>
      </c>
      <c r="AF2434" s="167" t="s">
        <v>3470</v>
      </c>
    </row>
    <row r="2435" spans="28:32" x14ac:dyDescent="0.25">
      <c r="AB2435" s="167" t="s">
        <v>2259</v>
      </c>
      <c r="AC2435" s="167">
        <v>356</v>
      </c>
      <c r="AD2435" s="203">
        <v>43139</v>
      </c>
      <c r="AE2435" s="203">
        <v>0</v>
      </c>
      <c r="AF2435" s="167" t="s">
        <v>3469</v>
      </c>
    </row>
    <row r="2436" spans="28:32" x14ac:dyDescent="0.25">
      <c r="AB2436" s="167" t="s">
        <v>2261</v>
      </c>
      <c r="AC2436" s="167">
        <v>323</v>
      </c>
      <c r="AD2436" s="203">
        <v>43074</v>
      </c>
      <c r="AE2436" s="203">
        <v>43111</v>
      </c>
      <c r="AF2436" s="167" t="s">
        <v>3470</v>
      </c>
    </row>
    <row r="2437" spans="28:32" x14ac:dyDescent="0.25">
      <c r="AB2437" s="167" t="s">
        <v>2261</v>
      </c>
      <c r="AC2437" s="167">
        <v>347</v>
      </c>
      <c r="AD2437" s="203">
        <v>43118</v>
      </c>
      <c r="AE2437" s="203">
        <v>43133</v>
      </c>
      <c r="AF2437" s="167" t="s">
        <v>3470</v>
      </c>
    </row>
    <row r="2438" spans="28:32" x14ac:dyDescent="0.25">
      <c r="AB2438" s="167" t="s">
        <v>2261</v>
      </c>
      <c r="AC2438" s="167">
        <v>340</v>
      </c>
      <c r="AD2438" s="203">
        <v>43133</v>
      </c>
      <c r="AE2438" s="203">
        <v>43168</v>
      </c>
      <c r="AF2438" s="167" t="s">
        <v>3470</v>
      </c>
    </row>
    <row r="2439" spans="28:32" x14ac:dyDescent="0.25">
      <c r="AB2439" s="167" t="s">
        <v>2261</v>
      </c>
      <c r="AC2439" s="167">
        <v>374</v>
      </c>
      <c r="AD2439" s="203">
        <v>43195</v>
      </c>
      <c r="AE2439" s="203">
        <v>0</v>
      </c>
      <c r="AF2439" s="167" t="s">
        <v>3469</v>
      </c>
    </row>
    <row r="2440" spans="28:32" x14ac:dyDescent="0.25">
      <c r="AB2440" s="167" t="s">
        <v>2262</v>
      </c>
      <c r="AC2440" s="167">
        <v>323</v>
      </c>
      <c r="AD2440" s="203">
        <v>43074</v>
      </c>
      <c r="AE2440" s="203">
        <v>43111</v>
      </c>
      <c r="AF2440" s="167" t="s">
        <v>3470</v>
      </c>
    </row>
    <row r="2441" spans="28:32" x14ac:dyDescent="0.25">
      <c r="AB2441" s="167" t="s">
        <v>2262</v>
      </c>
      <c r="AC2441" s="167">
        <v>347</v>
      </c>
      <c r="AD2441" s="203">
        <v>43118</v>
      </c>
      <c r="AE2441" s="203">
        <v>43133</v>
      </c>
      <c r="AF2441" s="167" t="s">
        <v>3470</v>
      </c>
    </row>
    <row r="2442" spans="28:32" x14ac:dyDescent="0.25">
      <c r="AB2442" s="167" t="s">
        <v>2262</v>
      </c>
      <c r="AC2442" s="167">
        <v>340</v>
      </c>
      <c r="AD2442" s="203">
        <v>43133</v>
      </c>
      <c r="AE2442" s="203">
        <v>43168</v>
      </c>
      <c r="AF2442" s="167" t="s">
        <v>3470</v>
      </c>
    </row>
    <row r="2443" spans="28:32" x14ac:dyDescent="0.25">
      <c r="AB2443" s="167" t="s">
        <v>2262</v>
      </c>
      <c r="AC2443" s="167">
        <v>340</v>
      </c>
      <c r="AD2443" s="203">
        <v>43133</v>
      </c>
      <c r="AE2443" s="203">
        <v>43168</v>
      </c>
      <c r="AF2443" s="167" t="s">
        <v>3470</v>
      </c>
    </row>
    <row r="2444" spans="28:32" x14ac:dyDescent="0.25">
      <c r="AB2444" s="167" t="s">
        <v>2262</v>
      </c>
      <c r="AC2444" s="167">
        <v>357</v>
      </c>
      <c r="AD2444" s="203">
        <v>43139</v>
      </c>
      <c r="AE2444" s="203">
        <v>43164</v>
      </c>
      <c r="AF2444" s="167" t="s">
        <v>3470</v>
      </c>
    </row>
    <row r="2445" spans="28:32" x14ac:dyDescent="0.25">
      <c r="AB2445" s="167" t="s">
        <v>2262</v>
      </c>
      <c r="AC2445" s="167">
        <v>353</v>
      </c>
      <c r="AD2445" s="203">
        <v>43180</v>
      </c>
      <c r="AE2445" s="203">
        <v>0</v>
      </c>
      <c r="AF2445" s="167" t="s">
        <v>3469</v>
      </c>
    </row>
    <row r="2446" spans="28:32" x14ac:dyDescent="0.25">
      <c r="AB2446" s="167" t="s">
        <v>2262</v>
      </c>
      <c r="AC2446" s="167">
        <v>353</v>
      </c>
      <c r="AD2446" s="203">
        <v>43180</v>
      </c>
      <c r="AE2446" s="203">
        <v>0</v>
      </c>
      <c r="AF2446" s="167" t="s">
        <v>3469</v>
      </c>
    </row>
    <row r="2447" spans="28:32" x14ac:dyDescent="0.25">
      <c r="AB2447" s="167" t="s">
        <v>2262</v>
      </c>
      <c r="AC2447" s="167">
        <v>353</v>
      </c>
      <c r="AD2447" s="203">
        <v>43180</v>
      </c>
      <c r="AE2447" s="203">
        <v>0</v>
      </c>
      <c r="AF2447" s="167" t="s">
        <v>3469</v>
      </c>
    </row>
    <row r="2448" spans="28:32" x14ac:dyDescent="0.25">
      <c r="AB2448" s="167" t="s">
        <v>2262</v>
      </c>
      <c r="AC2448" s="167">
        <v>353</v>
      </c>
      <c r="AD2448" s="203">
        <v>43180</v>
      </c>
      <c r="AE2448" s="203">
        <v>0</v>
      </c>
      <c r="AF2448" s="167" t="s">
        <v>3469</v>
      </c>
    </row>
    <row r="2449" spans="28:32" x14ac:dyDescent="0.25">
      <c r="AB2449" s="167" t="s">
        <v>2264</v>
      </c>
      <c r="AC2449" s="167">
        <v>323</v>
      </c>
      <c r="AD2449" s="203">
        <v>43074</v>
      </c>
      <c r="AE2449" s="203">
        <v>43111</v>
      </c>
      <c r="AF2449" s="167" t="s">
        <v>3470</v>
      </c>
    </row>
    <row r="2450" spans="28:32" x14ac:dyDescent="0.25">
      <c r="AB2450" s="167" t="s">
        <v>2264</v>
      </c>
      <c r="AC2450" s="167">
        <v>323</v>
      </c>
      <c r="AD2450" s="203">
        <v>43074</v>
      </c>
      <c r="AE2450" s="203">
        <v>43111</v>
      </c>
      <c r="AF2450" s="167" t="s">
        <v>3470</v>
      </c>
    </row>
    <row r="2451" spans="28:32" x14ac:dyDescent="0.25">
      <c r="AB2451" s="167" t="s">
        <v>2264</v>
      </c>
      <c r="AC2451" s="167">
        <v>347</v>
      </c>
      <c r="AD2451" s="203">
        <v>43118</v>
      </c>
      <c r="AE2451" s="203">
        <v>43133</v>
      </c>
      <c r="AF2451" s="167" t="s">
        <v>3470</v>
      </c>
    </row>
    <row r="2452" spans="28:32" x14ac:dyDescent="0.25">
      <c r="AB2452" s="167" t="s">
        <v>2264</v>
      </c>
      <c r="AC2452" s="167">
        <v>335</v>
      </c>
      <c r="AD2452" s="203">
        <v>43133</v>
      </c>
      <c r="AE2452" s="203">
        <v>43147</v>
      </c>
      <c r="AF2452" s="167" t="s">
        <v>3470</v>
      </c>
    </row>
    <row r="2453" spans="28:32" x14ac:dyDescent="0.25">
      <c r="AB2453" s="167" t="s">
        <v>2264</v>
      </c>
      <c r="AC2453" s="167">
        <v>357</v>
      </c>
      <c r="AD2453" s="203">
        <v>43139</v>
      </c>
      <c r="AE2453" s="203">
        <v>43164</v>
      </c>
      <c r="AF2453" s="167" t="s">
        <v>3470</v>
      </c>
    </row>
    <row r="2454" spans="28:32" x14ac:dyDescent="0.25">
      <c r="AB2454" s="167" t="s">
        <v>2264</v>
      </c>
      <c r="AC2454" s="167">
        <v>353</v>
      </c>
      <c r="AD2454" s="203">
        <v>43180</v>
      </c>
      <c r="AE2454" s="203">
        <v>0</v>
      </c>
      <c r="AF2454" s="167" t="s">
        <v>3469</v>
      </c>
    </row>
    <row r="2455" spans="28:32" x14ac:dyDescent="0.25">
      <c r="AB2455" s="167" t="s">
        <v>2264</v>
      </c>
      <c r="AC2455" s="167">
        <v>353</v>
      </c>
      <c r="AD2455" s="203">
        <v>43180</v>
      </c>
      <c r="AE2455" s="203">
        <v>0</v>
      </c>
      <c r="AF2455" s="167" t="s">
        <v>3469</v>
      </c>
    </row>
    <row r="2456" spans="28:32" x14ac:dyDescent="0.25">
      <c r="AB2456" s="167" t="s">
        <v>2264</v>
      </c>
      <c r="AC2456" s="167">
        <v>353</v>
      </c>
      <c r="AD2456" s="203">
        <v>43180</v>
      </c>
      <c r="AE2456" s="203">
        <v>0</v>
      </c>
      <c r="AF2456" s="167" t="s">
        <v>3469</v>
      </c>
    </row>
    <row r="2457" spans="28:32" x14ac:dyDescent="0.25">
      <c r="AB2457" s="167" t="s">
        <v>2264</v>
      </c>
      <c r="AC2457" s="167">
        <v>353</v>
      </c>
      <c r="AD2457" s="203">
        <v>43180</v>
      </c>
      <c r="AE2457" s="203">
        <v>0</v>
      </c>
      <c r="AF2457" s="167" t="s">
        <v>3469</v>
      </c>
    </row>
    <row r="2458" spans="28:32" x14ac:dyDescent="0.25">
      <c r="AB2458" s="167" t="s">
        <v>2264</v>
      </c>
      <c r="AC2458" s="167">
        <v>353</v>
      </c>
      <c r="AD2458" s="203">
        <v>43180</v>
      </c>
      <c r="AE2458" s="203">
        <v>0</v>
      </c>
      <c r="AF2458" s="167" t="s">
        <v>3469</v>
      </c>
    </row>
    <row r="2459" spans="28:32" x14ac:dyDescent="0.25">
      <c r="AB2459" s="167" t="s">
        <v>2266</v>
      </c>
      <c r="AC2459" s="167">
        <v>357</v>
      </c>
      <c r="AD2459" s="203">
        <v>43139</v>
      </c>
      <c r="AE2459" s="203">
        <v>43164</v>
      </c>
      <c r="AF2459" s="167" t="s">
        <v>3470</v>
      </c>
    </row>
    <row r="2460" spans="28:32" x14ac:dyDescent="0.25">
      <c r="AB2460" s="167" t="s">
        <v>2266</v>
      </c>
      <c r="AC2460" s="167">
        <v>364</v>
      </c>
      <c r="AD2460" s="203">
        <v>43168</v>
      </c>
      <c r="AE2460" s="203">
        <v>43179</v>
      </c>
      <c r="AF2460" s="167" t="s">
        <v>3470</v>
      </c>
    </row>
    <row r="2461" spans="28:32" x14ac:dyDescent="0.25">
      <c r="AB2461" s="167" t="s">
        <v>2266</v>
      </c>
      <c r="AC2461" s="167">
        <v>353</v>
      </c>
      <c r="AD2461" s="203">
        <v>43180</v>
      </c>
      <c r="AE2461" s="203">
        <v>0</v>
      </c>
      <c r="AF2461" s="167" t="s">
        <v>3469</v>
      </c>
    </row>
    <row r="2462" spans="28:32" x14ac:dyDescent="0.25">
      <c r="AB2462" s="167" t="s">
        <v>2266</v>
      </c>
      <c r="AC2462" s="167">
        <v>353</v>
      </c>
      <c r="AD2462" s="203">
        <v>43180</v>
      </c>
      <c r="AE2462" s="203">
        <v>0</v>
      </c>
      <c r="AF2462" s="167" t="s">
        <v>3469</v>
      </c>
    </row>
    <row r="2463" spans="28:32" x14ac:dyDescent="0.25">
      <c r="AB2463" s="167" t="s">
        <v>2267</v>
      </c>
      <c r="AC2463" s="167">
        <v>347</v>
      </c>
      <c r="AD2463" s="203">
        <v>43118</v>
      </c>
      <c r="AE2463" s="203">
        <v>43133</v>
      </c>
      <c r="AF2463" s="167" t="s">
        <v>3470</v>
      </c>
    </row>
    <row r="2464" spans="28:32" x14ac:dyDescent="0.25">
      <c r="AB2464" s="167" t="s">
        <v>2267</v>
      </c>
      <c r="AC2464" s="167">
        <v>340</v>
      </c>
      <c r="AD2464" s="203">
        <v>43133</v>
      </c>
      <c r="AE2464" s="203">
        <v>43168</v>
      </c>
      <c r="AF2464" s="167" t="s">
        <v>3470</v>
      </c>
    </row>
    <row r="2465" spans="28:32" x14ac:dyDescent="0.25">
      <c r="AB2465" s="167" t="s">
        <v>2267</v>
      </c>
      <c r="AC2465" s="167">
        <v>340</v>
      </c>
      <c r="AD2465" s="203">
        <v>43133</v>
      </c>
      <c r="AE2465" s="203">
        <v>43168</v>
      </c>
      <c r="AF2465" s="167" t="s">
        <v>3470</v>
      </c>
    </row>
    <row r="2466" spans="28:32" x14ac:dyDescent="0.25">
      <c r="AB2466" s="167" t="s">
        <v>2269</v>
      </c>
      <c r="AC2466" s="167">
        <v>323</v>
      </c>
      <c r="AD2466" s="203">
        <v>43074</v>
      </c>
      <c r="AE2466" s="203">
        <v>43111</v>
      </c>
      <c r="AF2466" s="167" t="s">
        <v>3470</v>
      </c>
    </row>
    <row r="2467" spans="28:32" x14ac:dyDescent="0.25">
      <c r="AB2467" s="167" t="s">
        <v>2269</v>
      </c>
      <c r="AC2467" s="167">
        <v>347</v>
      </c>
      <c r="AD2467" s="203">
        <v>43118</v>
      </c>
      <c r="AE2467" s="203">
        <v>43133</v>
      </c>
      <c r="AF2467" s="167" t="s">
        <v>3470</v>
      </c>
    </row>
    <row r="2468" spans="28:32" x14ac:dyDescent="0.25">
      <c r="AB2468" s="167" t="s">
        <v>2269</v>
      </c>
      <c r="AC2468" s="167">
        <v>335</v>
      </c>
      <c r="AD2468" s="203">
        <v>43133</v>
      </c>
      <c r="AE2468" s="203">
        <v>43147</v>
      </c>
      <c r="AF2468" s="167" t="s">
        <v>3470</v>
      </c>
    </row>
    <row r="2469" spans="28:32" x14ac:dyDescent="0.25">
      <c r="AB2469" s="167" t="s">
        <v>2269</v>
      </c>
      <c r="AC2469" s="167">
        <v>340</v>
      </c>
      <c r="AD2469" s="203">
        <v>43133</v>
      </c>
      <c r="AE2469" s="203">
        <v>43168</v>
      </c>
      <c r="AF2469" s="167" t="s">
        <v>3470</v>
      </c>
    </row>
    <row r="2470" spans="28:32" x14ac:dyDescent="0.25">
      <c r="AB2470" s="167" t="s">
        <v>2269</v>
      </c>
      <c r="AC2470" s="167">
        <v>374</v>
      </c>
      <c r="AD2470" s="203">
        <v>43195</v>
      </c>
      <c r="AE2470" s="203">
        <v>0</v>
      </c>
      <c r="AF2470" s="167" t="s">
        <v>3469</v>
      </c>
    </row>
    <row r="2471" spans="28:32" x14ac:dyDescent="0.25">
      <c r="AB2471" s="167" t="s">
        <v>2271</v>
      </c>
      <c r="AC2471" s="167">
        <v>323</v>
      </c>
      <c r="AD2471" s="203">
        <v>43074</v>
      </c>
      <c r="AE2471" s="203">
        <v>43111</v>
      </c>
      <c r="AF2471" s="167" t="s">
        <v>3470</v>
      </c>
    </row>
    <row r="2472" spans="28:32" x14ac:dyDescent="0.25">
      <c r="AB2472" s="167" t="s">
        <v>2271</v>
      </c>
      <c r="AC2472" s="167">
        <v>347</v>
      </c>
      <c r="AD2472" s="203">
        <v>43118</v>
      </c>
      <c r="AE2472" s="203">
        <v>43133</v>
      </c>
      <c r="AF2472" s="167" t="s">
        <v>3470</v>
      </c>
    </row>
    <row r="2473" spans="28:32" x14ac:dyDescent="0.25">
      <c r="AB2473" s="167" t="s">
        <v>2271</v>
      </c>
      <c r="AC2473" s="167">
        <v>340</v>
      </c>
      <c r="AD2473" s="203">
        <v>43133</v>
      </c>
      <c r="AE2473" s="203">
        <v>43168</v>
      </c>
      <c r="AF2473" s="167" t="s">
        <v>3470</v>
      </c>
    </row>
    <row r="2474" spans="28:32" x14ac:dyDescent="0.25">
      <c r="AB2474" s="167" t="s">
        <v>2271</v>
      </c>
      <c r="AC2474" s="167">
        <v>340</v>
      </c>
      <c r="AD2474" s="203">
        <v>43133</v>
      </c>
      <c r="AE2474" s="203">
        <v>43168</v>
      </c>
      <c r="AF2474" s="167" t="s">
        <v>3470</v>
      </c>
    </row>
    <row r="2475" spans="28:32" x14ac:dyDescent="0.25">
      <c r="AB2475" s="167" t="s">
        <v>2271</v>
      </c>
      <c r="AC2475" s="167">
        <v>357</v>
      </c>
      <c r="AD2475" s="203">
        <v>43139</v>
      </c>
      <c r="AE2475" s="203">
        <v>43164</v>
      </c>
      <c r="AF2475" s="167" t="s">
        <v>3470</v>
      </c>
    </row>
    <row r="2476" spans="28:32" x14ac:dyDescent="0.25">
      <c r="AB2476" s="167" t="s">
        <v>2271</v>
      </c>
      <c r="AC2476" s="167">
        <v>353</v>
      </c>
      <c r="AD2476" s="203">
        <v>43180</v>
      </c>
      <c r="AE2476" s="203">
        <v>0</v>
      </c>
      <c r="AF2476" s="167" t="s">
        <v>3469</v>
      </c>
    </row>
    <row r="2477" spans="28:32" x14ac:dyDescent="0.25">
      <c r="AB2477" s="167" t="s">
        <v>2273</v>
      </c>
      <c r="AC2477" s="167">
        <v>347</v>
      </c>
      <c r="AD2477" s="203">
        <v>43118</v>
      </c>
      <c r="AE2477" s="203">
        <v>43133</v>
      </c>
      <c r="AF2477" s="167" t="s">
        <v>3470</v>
      </c>
    </row>
    <row r="2478" spans="28:32" x14ac:dyDescent="0.25">
      <c r="AB2478" s="167" t="s">
        <v>2273</v>
      </c>
      <c r="AC2478" s="167">
        <v>340</v>
      </c>
      <c r="AD2478" s="203">
        <v>43133</v>
      </c>
      <c r="AE2478" s="203">
        <v>43168</v>
      </c>
      <c r="AF2478" s="167" t="s">
        <v>3470</v>
      </c>
    </row>
    <row r="2479" spans="28:32" x14ac:dyDescent="0.25">
      <c r="AB2479" s="167" t="s">
        <v>2273</v>
      </c>
      <c r="AC2479" s="167">
        <v>357</v>
      </c>
      <c r="AD2479" s="203">
        <v>43139</v>
      </c>
      <c r="AE2479" s="203">
        <v>43164</v>
      </c>
      <c r="AF2479" s="167" t="s">
        <v>3470</v>
      </c>
    </row>
    <row r="2480" spans="28:32" x14ac:dyDescent="0.25">
      <c r="AB2480" s="167" t="s">
        <v>2273</v>
      </c>
      <c r="AC2480" s="167">
        <v>364</v>
      </c>
      <c r="AD2480" s="203">
        <v>43168</v>
      </c>
      <c r="AE2480" s="203">
        <v>43179</v>
      </c>
      <c r="AF2480" s="167" t="s">
        <v>3470</v>
      </c>
    </row>
    <row r="2481" spans="28:32" x14ac:dyDescent="0.25">
      <c r="AB2481" s="167" t="s">
        <v>2273</v>
      </c>
      <c r="AC2481" s="167">
        <v>353</v>
      </c>
      <c r="AD2481" s="203">
        <v>43180</v>
      </c>
      <c r="AE2481" s="203">
        <v>0</v>
      </c>
      <c r="AF2481" s="167" t="s">
        <v>3469</v>
      </c>
    </row>
    <row r="2482" spans="28:32" x14ac:dyDescent="0.25">
      <c r="AB2482" s="167" t="s">
        <v>2273</v>
      </c>
      <c r="AC2482" s="167">
        <v>353</v>
      </c>
      <c r="AD2482" s="203">
        <v>43180</v>
      </c>
      <c r="AE2482" s="203">
        <v>0</v>
      </c>
      <c r="AF2482" s="167" t="s">
        <v>3469</v>
      </c>
    </row>
    <row r="2483" spans="28:32" x14ac:dyDescent="0.25">
      <c r="AB2483" s="167" t="s">
        <v>2273</v>
      </c>
      <c r="AC2483" s="167">
        <v>353</v>
      </c>
      <c r="AD2483" s="203">
        <v>43180</v>
      </c>
      <c r="AE2483" s="203">
        <v>0</v>
      </c>
      <c r="AF2483" s="167" t="s">
        <v>3469</v>
      </c>
    </row>
    <row r="2484" spans="28:32" x14ac:dyDescent="0.25">
      <c r="AB2484" s="167" t="s">
        <v>2275</v>
      </c>
      <c r="AC2484" s="167">
        <v>357</v>
      </c>
      <c r="AD2484" s="203">
        <v>43139</v>
      </c>
      <c r="AE2484" s="203">
        <v>43164</v>
      </c>
      <c r="AF2484" s="167" t="s">
        <v>3470</v>
      </c>
    </row>
    <row r="2485" spans="28:32" x14ac:dyDescent="0.25">
      <c r="AB2485" s="167" t="s">
        <v>2275</v>
      </c>
      <c r="AC2485" s="167">
        <v>364</v>
      </c>
      <c r="AD2485" s="203">
        <v>43168</v>
      </c>
      <c r="AE2485" s="203">
        <v>43179</v>
      </c>
      <c r="AF2485" s="167" t="s">
        <v>3470</v>
      </c>
    </row>
    <row r="2486" spans="28:32" x14ac:dyDescent="0.25">
      <c r="AB2486" s="167" t="s">
        <v>2275</v>
      </c>
      <c r="AC2486" s="167">
        <v>353</v>
      </c>
      <c r="AD2486" s="203">
        <v>43180</v>
      </c>
      <c r="AE2486" s="203">
        <v>0</v>
      </c>
      <c r="AF2486" s="167" t="s">
        <v>3469</v>
      </c>
    </row>
    <row r="2487" spans="28:32" x14ac:dyDescent="0.25">
      <c r="AB2487" s="167" t="s">
        <v>2275</v>
      </c>
      <c r="AC2487" s="167">
        <v>353</v>
      </c>
      <c r="AD2487" s="203">
        <v>43180</v>
      </c>
      <c r="AE2487" s="203">
        <v>0</v>
      </c>
      <c r="AF2487" s="167" t="s">
        <v>3469</v>
      </c>
    </row>
    <row r="2488" spans="28:32" x14ac:dyDescent="0.25">
      <c r="AB2488" s="167" t="s">
        <v>2277</v>
      </c>
      <c r="AC2488" s="167">
        <v>347</v>
      </c>
      <c r="AD2488" s="203">
        <v>43118</v>
      </c>
      <c r="AE2488" s="203">
        <v>43133</v>
      </c>
      <c r="AF2488" s="167" t="s">
        <v>3470</v>
      </c>
    </row>
    <row r="2489" spans="28:32" x14ac:dyDescent="0.25">
      <c r="AB2489" s="167" t="s">
        <v>2277</v>
      </c>
      <c r="AC2489" s="167">
        <v>335</v>
      </c>
      <c r="AD2489" s="203">
        <v>43133</v>
      </c>
      <c r="AE2489" s="203">
        <v>43147</v>
      </c>
      <c r="AF2489" s="167" t="s">
        <v>3470</v>
      </c>
    </row>
    <row r="2490" spans="28:32" x14ac:dyDescent="0.25">
      <c r="AB2490" s="167" t="s">
        <v>2277</v>
      </c>
      <c r="AC2490" s="167">
        <v>340</v>
      </c>
      <c r="AD2490" s="203">
        <v>43133</v>
      </c>
      <c r="AE2490" s="203">
        <v>43168</v>
      </c>
      <c r="AF2490" s="167" t="s">
        <v>3470</v>
      </c>
    </row>
    <row r="2491" spans="28:32" x14ac:dyDescent="0.25">
      <c r="AB2491" s="167" t="s">
        <v>2277</v>
      </c>
      <c r="AC2491" s="167">
        <v>340</v>
      </c>
      <c r="AD2491" s="203">
        <v>43133</v>
      </c>
      <c r="AE2491" s="203">
        <v>43168</v>
      </c>
      <c r="AF2491" s="167" t="s">
        <v>3470</v>
      </c>
    </row>
    <row r="2492" spans="28:32" x14ac:dyDescent="0.25">
      <c r="AB2492" s="167" t="s">
        <v>2277</v>
      </c>
      <c r="AC2492" s="167">
        <v>364</v>
      </c>
      <c r="AD2492" s="203">
        <v>43168</v>
      </c>
      <c r="AE2492" s="203">
        <v>43179</v>
      </c>
      <c r="AF2492" s="167" t="s">
        <v>3470</v>
      </c>
    </row>
    <row r="2493" spans="28:32" x14ac:dyDescent="0.25">
      <c r="AB2493" s="167" t="s">
        <v>2277</v>
      </c>
      <c r="AC2493" s="167">
        <v>353</v>
      </c>
      <c r="AD2493" s="203">
        <v>43180</v>
      </c>
      <c r="AE2493" s="203">
        <v>0</v>
      </c>
      <c r="AF2493" s="167" t="s">
        <v>3469</v>
      </c>
    </row>
    <row r="2494" spans="28:32" x14ac:dyDescent="0.25">
      <c r="AB2494" s="167" t="s">
        <v>2277</v>
      </c>
      <c r="AC2494" s="167">
        <v>353</v>
      </c>
      <c r="AD2494" s="203">
        <v>43180</v>
      </c>
      <c r="AE2494" s="203">
        <v>0</v>
      </c>
      <c r="AF2494" s="167" t="s">
        <v>3469</v>
      </c>
    </row>
    <row r="2495" spans="28:32" x14ac:dyDescent="0.25">
      <c r="AB2495" s="167" t="s">
        <v>2279</v>
      </c>
      <c r="AC2495" s="167">
        <v>357</v>
      </c>
      <c r="AD2495" s="203">
        <v>43139</v>
      </c>
      <c r="AE2495" s="203">
        <v>43164</v>
      </c>
      <c r="AF2495" s="167" t="s">
        <v>3470</v>
      </c>
    </row>
    <row r="2496" spans="28:32" x14ac:dyDescent="0.25">
      <c r="AB2496" s="167" t="s">
        <v>2279</v>
      </c>
      <c r="AC2496" s="167">
        <v>353</v>
      </c>
      <c r="AD2496" s="203">
        <v>43180</v>
      </c>
      <c r="AE2496" s="203">
        <v>0</v>
      </c>
      <c r="AF2496" s="167" t="s">
        <v>3469</v>
      </c>
    </row>
    <row r="2497" spans="28:32" x14ac:dyDescent="0.25">
      <c r="AB2497" s="167" t="s">
        <v>2281</v>
      </c>
      <c r="AC2497" s="167">
        <v>357</v>
      </c>
      <c r="AD2497" s="203">
        <v>43139</v>
      </c>
      <c r="AE2497" s="203">
        <v>43164</v>
      </c>
      <c r="AF2497" s="167" t="s">
        <v>3470</v>
      </c>
    </row>
    <row r="2498" spans="28:32" x14ac:dyDescent="0.25">
      <c r="AB2498" s="167" t="s">
        <v>2281</v>
      </c>
      <c r="AC2498" s="167">
        <v>353</v>
      </c>
      <c r="AD2498" s="203">
        <v>43180</v>
      </c>
      <c r="AE2498" s="203">
        <v>0</v>
      </c>
      <c r="AF2498" s="167" t="s">
        <v>3469</v>
      </c>
    </row>
    <row r="2499" spans="28:32" x14ac:dyDescent="0.25">
      <c r="AB2499" s="167" t="s">
        <v>2282</v>
      </c>
      <c r="AC2499" s="167">
        <v>323</v>
      </c>
      <c r="AD2499" s="203">
        <v>43074</v>
      </c>
      <c r="AE2499" s="203">
        <v>43111</v>
      </c>
      <c r="AF2499" s="167" t="s">
        <v>3470</v>
      </c>
    </row>
    <row r="2500" spans="28:32" x14ac:dyDescent="0.25">
      <c r="AB2500" s="167" t="s">
        <v>2282</v>
      </c>
      <c r="AC2500" s="167">
        <v>327</v>
      </c>
      <c r="AD2500" s="203">
        <v>43074</v>
      </c>
      <c r="AE2500" s="203">
        <v>43131</v>
      </c>
      <c r="AF2500" s="167" t="s">
        <v>3470</v>
      </c>
    </row>
    <row r="2501" spans="28:32" x14ac:dyDescent="0.25">
      <c r="AB2501" s="167" t="s">
        <v>2284</v>
      </c>
      <c r="AC2501" s="167">
        <v>323</v>
      </c>
      <c r="AD2501" s="203">
        <v>43074</v>
      </c>
      <c r="AE2501" s="203">
        <v>43111</v>
      </c>
      <c r="AF2501" s="167" t="s">
        <v>3470</v>
      </c>
    </row>
    <row r="2502" spans="28:32" x14ac:dyDescent="0.25">
      <c r="AB2502" s="167" t="s">
        <v>2284</v>
      </c>
      <c r="AC2502" s="167">
        <v>347</v>
      </c>
      <c r="AD2502" s="203">
        <v>43118</v>
      </c>
      <c r="AE2502" s="203">
        <v>43133</v>
      </c>
      <c r="AF2502" s="167" t="s">
        <v>3470</v>
      </c>
    </row>
    <row r="2503" spans="28:32" x14ac:dyDescent="0.25">
      <c r="AB2503" s="167" t="s">
        <v>2284</v>
      </c>
      <c r="AC2503" s="167">
        <v>340</v>
      </c>
      <c r="AD2503" s="203">
        <v>43133</v>
      </c>
      <c r="AE2503" s="203">
        <v>43168</v>
      </c>
      <c r="AF2503" s="167" t="s">
        <v>3470</v>
      </c>
    </row>
    <row r="2504" spans="28:32" x14ac:dyDescent="0.25">
      <c r="AB2504" s="167" t="s">
        <v>2284</v>
      </c>
      <c r="AC2504" s="167">
        <v>340</v>
      </c>
      <c r="AD2504" s="203">
        <v>43133</v>
      </c>
      <c r="AE2504" s="203">
        <v>43168</v>
      </c>
      <c r="AF2504" s="167" t="s">
        <v>3470</v>
      </c>
    </row>
    <row r="2505" spans="28:32" x14ac:dyDescent="0.25">
      <c r="AB2505" s="167" t="s">
        <v>2284</v>
      </c>
      <c r="AC2505" s="167">
        <v>357</v>
      </c>
      <c r="AD2505" s="203">
        <v>43139</v>
      </c>
      <c r="AE2505" s="203">
        <v>43164</v>
      </c>
      <c r="AF2505" s="167" t="s">
        <v>3470</v>
      </c>
    </row>
    <row r="2506" spans="28:32" x14ac:dyDescent="0.25">
      <c r="AB2506" s="167" t="s">
        <v>2284</v>
      </c>
      <c r="AC2506" s="167">
        <v>353</v>
      </c>
      <c r="AD2506" s="203">
        <v>43180</v>
      </c>
      <c r="AE2506" s="203">
        <v>0</v>
      </c>
      <c r="AF2506" s="167" t="s">
        <v>3469</v>
      </c>
    </row>
    <row r="2507" spans="28:32" x14ac:dyDescent="0.25">
      <c r="AB2507" s="167" t="s">
        <v>2284</v>
      </c>
      <c r="AC2507" s="167">
        <v>353</v>
      </c>
      <c r="AD2507" s="203">
        <v>43180</v>
      </c>
      <c r="AE2507" s="203">
        <v>0</v>
      </c>
      <c r="AF2507" s="167" t="s">
        <v>3469</v>
      </c>
    </row>
    <row r="2508" spans="28:32" x14ac:dyDescent="0.25">
      <c r="AB2508" s="167" t="s">
        <v>2284</v>
      </c>
      <c r="AC2508" s="167">
        <v>353</v>
      </c>
      <c r="AD2508" s="203">
        <v>43180</v>
      </c>
      <c r="AE2508" s="203">
        <v>0</v>
      </c>
      <c r="AF2508" s="167" t="s">
        <v>3469</v>
      </c>
    </row>
    <row r="2509" spans="28:32" x14ac:dyDescent="0.25">
      <c r="AB2509" s="167" t="s">
        <v>2286</v>
      </c>
      <c r="AC2509" s="167">
        <v>347</v>
      </c>
      <c r="AD2509" s="203">
        <v>43118</v>
      </c>
      <c r="AE2509" s="203">
        <v>43133</v>
      </c>
      <c r="AF2509" s="167" t="s">
        <v>3470</v>
      </c>
    </row>
    <row r="2510" spans="28:32" x14ac:dyDescent="0.25">
      <c r="AB2510" s="167" t="s">
        <v>2286</v>
      </c>
      <c r="AC2510" s="167">
        <v>340</v>
      </c>
      <c r="AD2510" s="203">
        <v>43133</v>
      </c>
      <c r="AE2510" s="203">
        <v>43168</v>
      </c>
      <c r="AF2510" s="167" t="s">
        <v>3470</v>
      </c>
    </row>
    <row r="2511" spans="28:32" x14ac:dyDescent="0.25">
      <c r="AB2511" s="167" t="s">
        <v>2286</v>
      </c>
      <c r="AC2511" s="167">
        <v>340</v>
      </c>
      <c r="AD2511" s="203">
        <v>43133</v>
      </c>
      <c r="AE2511" s="203">
        <v>43168</v>
      </c>
      <c r="AF2511" s="167" t="s">
        <v>3470</v>
      </c>
    </row>
    <row r="2512" spans="28:32" x14ac:dyDescent="0.25">
      <c r="AB2512" s="167" t="s">
        <v>2286</v>
      </c>
      <c r="AC2512" s="167">
        <v>357</v>
      </c>
      <c r="AD2512" s="203">
        <v>43139</v>
      </c>
      <c r="AE2512" s="203">
        <v>43164</v>
      </c>
      <c r="AF2512" s="167" t="s">
        <v>3470</v>
      </c>
    </row>
    <row r="2513" spans="28:32" x14ac:dyDescent="0.25">
      <c r="AB2513" s="167" t="s">
        <v>2286</v>
      </c>
      <c r="AC2513" s="167">
        <v>353</v>
      </c>
      <c r="AD2513" s="203">
        <v>43180</v>
      </c>
      <c r="AE2513" s="203">
        <v>0</v>
      </c>
      <c r="AF2513" s="167" t="s">
        <v>3469</v>
      </c>
    </row>
    <row r="2514" spans="28:32" x14ac:dyDescent="0.25">
      <c r="AB2514" s="167" t="s">
        <v>2286</v>
      </c>
      <c r="AC2514" s="167">
        <v>353</v>
      </c>
      <c r="AD2514" s="203">
        <v>43180</v>
      </c>
      <c r="AE2514" s="203">
        <v>0</v>
      </c>
      <c r="AF2514" s="167" t="s">
        <v>3469</v>
      </c>
    </row>
    <row r="2515" spans="28:32" x14ac:dyDescent="0.25">
      <c r="AB2515" s="167" t="s">
        <v>2286</v>
      </c>
      <c r="AC2515" s="167">
        <v>353</v>
      </c>
      <c r="AD2515" s="203">
        <v>43180</v>
      </c>
      <c r="AE2515" s="203">
        <v>0</v>
      </c>
      <c r="AF2515" s="167" t="s">
        <v>3469</v>
      </c>
    </row>
    <row r="2516" spans="28:32" x14ac:dyDescent="0.25">
      <c r="AB2516" s="167" t="s">
        <v>2288</v>
      </c>
      <c r="AC2516" s="167">
        <v>357</v>
      </c>
      <c r="AD2516" s="203">
        <v>43139</v>
      </c>
      <c r="AE2516" s="203">
        <v>43164</v>
      </c>
      <c r="AF2516" s="167" t="s">
        <v>3470</v>
      </c>
    </row>
    <row r="2517" spans="28:32" x14ac:dyDescent="0.25">
      <c r="AB2517" s="167" t="s">
        <v>2288</v>
      </c>
      <c r="AC2517" s="167">
        <v>353</v>
      </c>
      <c r="AD2517" s="203">
        <v>43180</v>
      </c>
      <c r="AE2517" s="203">
        <v>0</v>
      </c>
      <c r="AF2517" s="167" t="s">
        <v>3469</v>
      </c>
    </row>
    <row r="2518" spans="28:32" x14ac:dyDescent="0.25">
      <c r="AB2518" s="167" t="s">
        <v>2288</v>
      </c>
      <c r="AC2518" s="167">
        <v>353</v>
      </c>
      <c r="AD2518" s="203">
        <v>43180</v>
      </c>
      <c r="AE2518" s="203">
        <v>0</v>
      </c>
      <c r="AF2518" s="167" t="s">
        <v>3469</v>
      </c>
    </row>
    <row r="2519" spans="28:32" x14ac:dyDescent="0.25">
      <c r="AB2519" s="167" t="s">
        <v>2288</v>
      </c>
      <c r="AC2519" s="167">
        <v>353</v>
      </c>
      <c r="AD2519" s="203">
        <v>43180</v>
      </c>
      <c r="AE2519" s="203">
        <v>0</v>
      </c>
      <c r="AF2519" s="167" t="s">
        <v>3469</v>
      </c>
    </row>
    <row r="2520" spans="28:32" x14ac:dyDescent="0.25">
      <c r="AB2520" s="167" t="s">
        <v>2289</v>
      </c>
      <c r="AC2520" s="167">
        <v>323</v>
      </c>
      <c r="AD2520" s="203">
        <v>43074</v>
      </c>
      <c r="AE2520" s="203">
        <v>43111</v>
      </c>
      <c r="AF2520" s="167" t="s">
        <v>3470</v>
      </c>
    </row>
    <row r="2521" spans="28:32" x14ac:dyDescent="0.25">
      <c r="AB2521" s="167" t="s">
        <v>2289</v>
      </c>
      <c r="AC2521" s="167">
        <v>347</v>
      </c>
      <c r="AD2521" s="203">
        <v>43118</v>
      </c>
      <c r="AE2521" s="203">
        <v>43133</v>
      </c>
      <c r="AF2521" s="167" t="s">
        <v>3470</v>
      </c>
    </row>
    <row r="2522" spans="28:32" x14ac:dyDescent="0.25">
      <c r="AB2522" s="167" t="s">
        <v>2289</v>
      </c>
      <c r="AC2522" s="167">
        <v>340</v>
      </c>
      <c r="AD2522" s="203">
        <v>43133</v>
      </c>
      <c r="AE2522" s="203">
        <v>43168</v>
      </c>
      <c r="AF2522" s="167" t="s">
        <v>3470</v>
      </c>
    </row>
    <row r="2523" spans="28:32" x14ac:dyDescent="0.25">
      <c r="AB2523" s="167" t="s">
        <v>2289</v>
      </c>
      <c r="AC2523" s="167">
        <v>357</v>
      </c>
      <c r="AD2523" s="203">
        <v>43139</v>
      </c>
      <c r="AE2523" s="203">
        <v>43164</v>
      </c>
      <c r="AF2523" s="167" t="s">
        <v>3470</v>
      </c>
    </row>
    <row r="2524" spans="28:32" x14ac:dyDescent="0.25">
      <c r="AB2524" s="167" t="s">
        <v>2289</v>
      </c>
      <c r="AC2524" s="167">
        <v>364</v>
      </c>
      <c r="AD2524" s="203">
        <v>43168</v>
      </c>
      <c r="AE2524" s="203">
        <v>43179</v>
      </c>
      <c r="AF2524" s="167" t="s">
        <v>3470</v>
      </c>
    </row>
    <row r="2525" spans="28:32" x14ac:dyDescent="0.25">
      <c r="AB2525" s="167" t="s">
        <v>2289</v>
      </c>
      <c r="AC2525" s="167">
        <v>353</v>
      </c>
      <c r="AD2525" s="203">
        <v>43180</v>
      </c>
      <c r="AE2525" s="203">
        <v>0</v>
      </c>
      <c r="AF2525" s="167" t="s">
        <v>3469</v>
      </c>
    </row>
    <row r="2526" spans="28:32" x14ac:dyDescent="0.25">
      <c r="AB2526" s="167" t="s">
        <v>2289</v>
      </c>
      <c r="AC2526" s="167">
        <v>353</v>
      </c>
      <c r="AD2526" s="203">
        <v>43180</v>
      </c>
      <c r="AE2526" s="203">
        <v>0</v>
      </c>
      <c r="AF2526" s="167" t="s">
        <v>3469</v>
      </c>
    </row>
    <row r="2527" spans="28:32" x14ac:dyDescent="0.25">
      <c r="AB2527" s="167" t="s">
        <v>2289</v>
      </c>
      <c r="AC2527" s="167">
        <v>353</v>
      </c>
      <c r="AD2527" s="203">
        <v>43180</v>
      </c>
      <c r="AE2527" s="203">
        <v>0</v>
      </c>
      <c r="AF2527" s="167" t="s">
        <v>3469</v>
      </c>
    </row>
    <row r="2528" spans="28:32" x14ac:dyDescent="0.25">
      <c r="AB2528" s="167" t="s">
        <v>2289</v>
      </c>
      <c r="AC2528" s="167">
        <v>353</v>
      </c>
      <c r="AD2528" s="203">
        <v>43180</v>
      </c>
      <c r="AE2528" s="203">
        <v>0</v>
      </c>
      <c r="AF2528" s="167" t="s">
        <v>3469</v>
      </c>
    </row>
    <row r="2529" spans="28:32" x14ac:dyDescent="0.25">
      <c r="AB2529" s="167" t="s">
        <v>2291</v>
      </c>
      <c r="AC2529" s="167">
        <v>357</v>
      </c>
      <c r="AD2529" s="203">
        <v>43139</v>
      </c>
      <c r="AE2529" s="203">
        <v>43164</v>
      </c>
      <c r="AF2529" s="167" t="s">
        <v>3470</v>
      </c>
    </row>
    <row r="2530" spans="28:32" x14ac:dyDescent="0.25">
      <c r="AB2530" s="167" t="s">
        <v>2291</v>
      </c>
      <c r="AC2530" s="167">
        <v>353</v>
      </c>
      <c r="AD2530" s="203">
        <v>43180</v>
      </c>
      <c r="AE2530" s="203">
        <v>0</v>
      </c>
      <c r="AF2530" s="167" t="s">
        <v>3469</v>
      </c>
    </row>
    <row r="2531" spans="28:32" x14ac:dyDescent="0.25">
      <c r="AB2531" s="167" t="s">
        <v>2292</v>
      </c>
      <c r="AC2531" s="167">
        <v>327</v>
      </c>
      <c r="AD2531" s="203">
        <v>43074</v>
      </c>
      <c r="AE2531" s="203">
        <v>43131</v>
      </c>
      <c r="AF2531" s="167" t="s">
        <v>3470</v>
      </c>
    </row>
    <row r="2532" spans="28:32" x14ac:dyDescent="0.25">
      <c r="AB2532" s="167" t="s">
        <v>2292</v>
      </c>
      <c r="AC2532" s="167">
        <v>347</v>
      </c>
      <c r="AD2532" s="203">
        <v>43118</v>
      </c>
      <c r="AE2532" s="203">
        <v>43133</v>
      </c>
      <c r="AF2532" s="167" t="s">
        <v>3470</v>
      </c>
    </row>
    <row r="2533" spans="28:32" x14ac:dyDescent="0.25">
      <c r="AB2533" s="167" t="s">
        <v>2292</v>
      </c>
      <c r="AC2533" s="167">
        <v>357</v>
      </c>
      <c r="AD2533" s="203">
        <v>43139</v>
      </c>
      <c r="AE2533" s="203">
        <v>43164</v>
      </c>
      <c r="AF2533" s="167" t="s">
        <v>3470</v>
      </c>
    </row>
    <row r="2534" spans="28:32" x14ac:dyDescent="0.25">
      <c r="AB2534" s="167" t="s">
        <v>2292</v>
      </c>
      <c r="AC2534" s="167">
        <v>364</v>
      </c>
      <c r="AD2534" s="203">
        <v>43168</v>
      </c>
      <c r="AE2534" s="203">
        <v>43179</v>
      </c>
      <c r="AF2534" s="167" t="s">
        <v>3470</v>
      </c>
    </row>
    <row r="2535" spans="28:32" x14ac:dyDescent="0.25">
      <c r="AB2535" s="167" t="s">
        <v>2292</v>
      </c>
      <c r="AC2535" s="167">
        <v>353</v>
      </c>
      <c r="AD2535" s="203">
        <v>43180</v>
      </c>
      <c r="AE2535" s="203">
        <v>0</v>
      </c>
      <c r="AF2535" s="167" t="s">
        <v>3469</v>
      </c>
    </row>
    <row r="2536" spans="28:32" x14ac:dyDescent="0.25">
      <c r="AB2536" s="167" t="s">
        <v>2293</v>
      </c>
      <c r="AC2536" s="167">
        <v>353</v>
      </c>
      <c r="AD2536" s="203">
        <v>43180</v>
      </c>
      <c r="AE2536" s="203">
        <v>0</v>
      </c>
      <c r="AF2536" s="167" t="s">
        <v>3469</v>
      </c>
    </row>
    <row r="2537" spans="28:32" x14ac:dyDescent="0.25">
      <c r="AB2537" s="167" t="s">
        <v>2293</v>
      </c>
      <c r="AC2537" s="167">
        <v>353</v>
      </c>
      <c r="AD2537" s="203">
        <v>43180</v>
      </c>
      <c r="AE2537" s="203">
        <v>0</v>
      </c>
      <c r="AF2537" s="167" t="s">
        <v>3469</v>
      </c>
    </row>
    <row r="2538" spans="28:32" x14ac:dyDescent="0.25">
      <c r="AB2538" s="167" t="s">
        <v>2293</v>
      </c>
      <c r="AC2538" s="167">
        <v>353</v>
      </c>
      <c r="AD2538" s="203">
        <v>43180</v>
      </c>
      <c r="AE2538" s="203">
        <v>0</v>
      </c>
      <c r="AF2538" s="167" t="s">
        <v>3469</v>
      </c>
    </row>
    <row r="2539" spans="28:32" x14ac:dyDescent="0.25">
      <c r="AB2539" s="167" t="s">
        <v>2293</v>
      </c>
      <c r="AC2539" s="167">
        <v>353</v>
      </c>
      <c r="AD2539" s="203">
        <v>43180</v>
      </c>
      <c r="AE2539" s="203">
        <v>0</v>
      </c>
      <c r="AF2539" s="167" t="s">
        <v>3469</v>
      </c>
    </row>
    <row r="2540" spans="28:32" x14ac:dyDescent="0.25">
      <c r="AB2540" s="167" t="s">
        <v>2295</v>
      </c>
      <c r="AC2540" s="167">
        <v>347</v>
      </c>
      <c r="AD2540" s="203">
        <v>43118</v>
      </c>
      <c r="AE2540" s="203">
        <v>43133</v>
      </c>
      <c r="AF2540" s="167" t="s">
        <v>3470</v>
      </c>
    </row>
    <row r="2541" spans="28:32" x14ac:dyDescent="0.25">
      <c r="AB2541" s="167" t="s">
        <v>2295</v>
      </c>
      <c r="AC2541" s="167">
        <v>353</v>
      </c>
      <c r="AD2541" s="203">
        <v>43180</v>
      </c>
      <c r="AE2541" s="203">
        <v>0</v>
      </c>
      <c r="AF2541" s="167" t="s">
        <v>3469</v>
      </c>
    </row>
    <row r="2542" spans="28:32" x14ac:dyDescent="0.25">
      <c r="AB2542" s="167" t="s">
        <v>2297</v>
      </c>
      <c r="AC2542" s="167">
        <v>347</v>
      </c>
      <c r="AD2542" s="203">
        <v>43118</v>
      </c>
      <c r="AE2542" s="203">
        <v>43133</v>
      </c>
      <c r="AF2542" s="167" t="s">
        <v>3470</v>
      </c>
    </row>
    <row r="2543" spans="28:32" x14ac:dyDescent="0.25">
      <c r="AB2543" s="167" t="s">
        <v>2297</v>
      </c>
      <c r="AC2543" s="167">
        <v>340</v>
      </c>
      <c r="AD2543" s="203">
        <v>43133</v>
      </c>
      <c r="AE2543" s="203">
        <v>43168</v>
      </c>
      <c r="AF2543" s="167" t="s">
        <v>3470</v>
      </c>
    </row>
    <row r="2544" spans="28:32" x14ac:dyDescent="0.25">
      <c r="AB2544" s="167" t="s">
        <v>2297</v>
      </c>
      <c r="AC2544" s="167">
        <v>364</v>
      </c>
      <c r="AD2544" s="203">
        <v>43168</v>
      </c>
      <c r="AE2544" s="203">
        <v>43179</v>
      </c>
      <c r="AF2544" s="167" t="s">
        <v>3470</v>
      </c>
    </row>
    <row r="2545" spans="28:32" x14ac:dyDescent="0.25">
      <c r="AB2545" s="167" t="s">
        <v>2297</v>
      </c>
      <c r="AC2545" s="167">
        <v>353</v>
      </c>
      <c r="AD2545" s="203">
        <v>43180</v>
      </c>
      <c r="AE2545" s="203">
        <v>0</v>
      </c>
      <c r="AF2545" s="167" t="s">
        <v>3469</v>
      </c>
    </row>
    <row r="2546" spans="28:32" x14ac:dyDescent="0.25">
      <c r="AB2546" s="167" t="s">
        <v>2299</v>
      </c>
      <c r="AC2546" s="167">
        <v>347</v>
      </c>
      <c r="AD2546" s="203">
        <v>43118</v>
      </c>
      <c r="AE2546" s="203">
        <v>43133</v>
      </c>
      <c r="AF2546" s="167" t="s">
        <v>3470</v>
      </c>
    </row>
    <row r="2547" spans="28:32" x14ac:dyDescent="0.25">
      <c r="AB2547" s="167" t="s">
        <v>2299</v>
      </c>
      <c r="AC2547" s="167">
        <v>340</v>
      </c>
      <c r="AD2547" s="203">
        <v>43133</v>
      </c>
      <c r="AE2547" s="203">
        <v>43168</v>
      </c>
      <c r="AF2547" s="167" t="s">
        <v>3470</v>
      </c>
    </row>
    <row r="2548" spans="28:32" x14ac:dyDescent="0.25">
      <c r="AB2548" s="167" t="s">
        <v>2299</v>
      </c>
      <c r="AC2548" s="167">
        <v>340</v>
      </c>
      <c r="AD2548" s="203">
        <v>43133</v>
      </c>
      <c r="AE2548" s="203">
        <v>43168</v>
      </c>
      <c r="AF2548" s="167" t="s">
        <v>3470</v>
      </c>
    </row>
    <row r="2549" spans="28:32" x14ac:dyDescent="0.25">
      <c r="AB2549" s="167" t="s">
        <v>2299</v>
      </c>
      <c r="AC2549" s="167">
        <v>357</v>
      </c>
      <c r="AD2549" s="203">
        <v>43139</v>
      </c>
      <c r="AE2549" s="203">
        <v>43164</v>
      </c>
      <c r="AF2549" s="167" t="s">
        <v>3470</v>
      </c>
    </row>
    <row r="2550" spans="28:32" x14ac:dyDescent="0.25">
      <c r="AB2550" s="167" t="s">
        <v>2299</v>
      </c>
      <c r="AC2550" s="167">
        <v>353</v>
      </c>
      <c r="AD2550" s="203">
        <v>43180</v>
      </c>
      <c r="AE2550" s="203">
        <v>0</v>
      </c>
      <c r="AF2550" s="167" t="s">
        <v>3469</v>
      </c>
    </row>
    <row r="2551" spans="28:32" x14ac:dyDescent="0.25">
      <c r="AB2551" s="167" t="s">
        <v>2299</v>
      </c>
      <c r="AC2551" s="167">
        <v>374</v>
      </c>
      <c r="AD2551" s="203">
        <v>43195</v>
      </c>
      <c r="AE2551" s="203">
        <v>0</v>
      </c>
      <c r="AF2551" s="167" t="s">
        <v>3469</v>
      </c>
    </row>
    <row r="2552" spans="28:32" x14ac:dyDescent="0.25">
      <c r="AB2552" s="167" t="s">
        <v>2299</v>
      </c>
      <c r="AC2552" s="167">
        <v>374</v>
      </c>
      <c r="AD2552" s="203">
        <v>43195</v>
      </c>
      <c r="AE2552" s="203">
        <v>0</v>
      </c>
      <c r="AF2552" s="167" t="s">
        <v>3469</v>
      </c>
    </row>
    <row r="2553" spans="28:32" x14ac:dyDescent="0.25">
      <c r="AB2553" s="167" t="s">
        <v>3484</v>
      </c>
      <c r="AC2553" s="167">
        <v>347</v>
      </c>
      <c r="AD2553" s="203">
        <v>43118</v>
      </c>
      <c r="AE2553" s="203">
        <v>43133</v>
      </c>
      <c r="AF2553" s="167" t="s">
        <v>3470</v>
      </c>
    </row>
    <row r="2554" spans="28:32" x14ac:dyDescent="0.25">
      <c r="AB2554" s="167" t="s">
        <v>3484</v>
      </c>
      <c r="AC2554" s="167">
        <v>340</v>
      </c>
      <c r="AD2554" s="203">
        <v>43133</v>
      </c>
      <c r="AE2554" s="203">
        <v>43168</v>
      </c>
      <c r="AF2554" s="167" t="s">
        <v>3470</v>
      </c>
    </row>
    <row r="2555" spans="28:32" x14ac:dyDescent="0.25">
      <c r="AB2555" s="167" t="s">
        <v>2301</v>
      </c>
      <c r="AC2555" s="167">
        <v>335</v>
      </c>
      <c r="AD2555" s="203">
        <v>43133</v>
      </c>
      <c r="AE2555" s="203">
        <v>43147</v>
      </c>
      <c r="AF2555" s="167" t="s">
        <v>3470</v>
      </c>
    </row>
    <row r="2556" spans="28:32" x14ac:dyDescent="0.25">
      <c r="AB2556" s="167" t="s">
        <v>2301</v>
      </c>
      <c r="AC2556" s="167">
        <v>364</v>
      </c>
      <c r="AD2556" s="203">
        <v>43168</v>
      </c>
      <c r="AE2556" s="203">
        <v>43179</v>
      </c>
      <c r="AF2556" s="167" t="s">
        <v>3470</v>
      </c>
    </row>
    <row r="2557" spans="28:32" x14ac:dyDescent="0.25">
      <c r="AB2557" s="167" t="s">
        <v>2301</v>
      </c>
      <c r="AC2557" s="167">
        <v>353</v>
      </c>
      <c r="AD2557" s="203">
        <v>43180</v>
      </c>
      <c r="AE2557" s="203">
        <v>0</v>
      </c>
      <c r="AF2557" s="167" t="s">
        <v>3469</v>
      </c>
    </row>
    <row r="2558" spans="28:32" x14ac:dyDescent="0.25">
      <c r="AB2558" s="167" t="s">
        <v>2301</v>
      </c>
      <c r="AC2558" s="167">
        <v>353</v>
      </c>
      <c r="AD2558" s="203">
        <v>43180</v>
      </c>
      <c r="AE2558" s="203">
        <v>0</v>
      </c>
      <c r="AF2558" s="167" t="s">
        <v>3469</v>
      </c>
    </row>
    <row r="2559" spans="28:32" x14ac:dyDescent="0.25">
      <c r="AB2559" s="167" t="s">
        <v>2301</v>
      </c>
      <c r="AC2559" s="167">
        <v>353</v>
      </c>
      <c r="AD2559" s="203">
        <v>43180</v>
      </c>
      <c r="AE2559" s="203">
        <v>0</v>
      </c>
      <c r="AF2559" s="167" t="s">
        <v>3469</v>
      </c>
    </row>
    <row r="2560" spans="28:32" x14ac:dyDescent="0.25">
      <c r="AB2560" s="167" t="s">
        <v>2301</v>
      </c>
      <c r="AC2560" s="167">
        <v>353</v>
      </c>
      <c r="AD2560" s="203">
        <v>43180</v>
      </c>
      <c r="AE2560" s="203">
        <v>0</v>
      </c>
      <c r="AF2560" s="167" t="s">
        <v>3469</v>
      </c>
    </row>
    <row r="2561" spans="28:32" x14ac:dyDescent="0.25">
      <c r="AB2561" s="167" t="s">
        <v>2301</v>
      </c>
      <c r="AC2561" s="167">
        <v>353</v>
      </c>
      <c r="AD2561" s="203">
        <v>43180</v>
      </c>
      <c r="AE2561" s="203">
        <v>0</v>
      </c>
      <c r="AF2561" s="167" t="s">
        <v>3469</v>
      </c>
    </row>
    <row r="2562" spans="28:32" x14ac:dyDescent="0.25">
      <c r="AB2562" s="167" t="s">
        <v>2301</v>
      </c>
      <c r="AC2562" s="167">
        <v>353</v>
      </c>
      <c r="AD2562" s="203">
        <v>43180</v>
      </c>
      <c r="AE2562" s="203">
        <v>0</v>
      </c>
      <c r="AF2562" s="167" t="s">
        <v>3469</v>
      </c>
    </row>
    <row r="2563" spans="28:32" x14ac:dyDescent="0.25">
      <c r="AB2563" s="167" t="s">
        <v>2303</v>
      </c>
      <c r="AC2563" s="167">
        <v>323</v>
      </c>
      <c r="AD2563" s="203">
        <v>43074</v>
      </c>
      <c r="AE2563" s="203">
        <v>43111</v>
      </c>
      <c r="AF2563" s="167" t="s">
        <v>3470</v>
      </c>
    </row>
    <row r="2564" spans="28:32" x14ac:dyDescent="0.25">
      <c r="AB2564" s="167" t="s">
        <v>2303</v>
      </c>
      <c r="AC2564" s="167">
        <v>323</v>
      </c>
      <c r="AD2564" s="203">
        <v>43074</v>
      </c>
      <c r="AE2564" s="203">
        <v>43111</v>
      </c>
      <c r="AF2564" s="167" t="s">
        <v>3470</v>
      </c>
    </row>
    <row r="2565" spans="28:32" x14ac:dyDescent="0.25">
      <c r="AB2565" s="167" t="s">
        <v>2303</v>
      </c>
      <c r="AC2565" s="167">
        <v>327</v>
      </c>
      <c r="AD2565" s="203">
        <v>43074</v>
      </c>
      <c r="AE2565" s="203">
        <v>43131</v>
      </c>
      <c r="AF2565" s="167" t="s">
        <v>3470</v>
      </c>
    </row>
    <row r="2566" spans="28:32" x14ac:dyDescent="0.25">
      <c r="AB2566" s="167" t="s">
        <v>2303</v>
      </c>
      <c r="AC2566" s="167">
        <v>327</v>
      </c>
      <c r="AD2566" s="203">
        <v>43074</v>
      </c>
      <c r="AE2566" s="203">
        <v>43131</v>
      </c>
      <c r="AF2566" s="167" t="s">
        <v>3470</v>
      </c>
    </row>
    <row r="2567" spans="28:32" x14ac:dyDescent="0.25">
      <c r="AB2567" s="167" t="s">
        <v>2303</v>
      </c>
      <c r="AC2567" s="167">
        <v>327</v>
      </c>
      <c r="AD2567" s="203">
        <v>43074</v>
      </c>
      <c r="AE2567" s="203">
        <v>43131</v>
      </c>
      <c r="AF2567" s="167" t="s">
        <v>3470</v>
      </c>
    </row>
    <row r="2568" spans="28:32" x14ac:dyDescent="0.25">
      <c r="AB2568" s="167" t="s">
        <v>2303</v>
      </c>
      <c r="AC2568" s="167">
        <v>335</v>
      </c>
      <c r="AD2568" s="203">
        <v>43133</v>
      </c>
      <c r="AE2568" s="203">
        <v>43147</v>
      </c>
      <c r="AF2568" s="167" t="s">
        <v>3470</v>
      </c>
    </row>
    <row r="2569" spans="28:32" x14ac:dyDescent="0.25">
      <c r="AB2569" s="167" t="s">
        <v>2303</v>
      </c>
      <c r="AC2569" s="167">
        <v>340</v>
      </c>
      <c r="AD2569" s="203">
        <v>43133</v>
      </c>
      <c r="AE2569" s="203">
        <v>43168</v>
      </c>
      <c r="AF2569" s="167" t="s">
        <v>3470</v>
      </c>
    </row>
    <row r="2570" spans="28:32" x14ac:dyDescent="0.25">
      <c r="AB2570" s="167" t="s">
        <v>2303</v>
      </c>
      <c r="AC2570" s="167">
        <v>374</v>
      </c>
      <c r="AD2570" s="203">
        <v>43195</v>
      </c>
      <c r="AE2570" s="203">
        <v>0</v>
      </c>
      <c r="AF2570" s="167" t="s">
        <v>3469</v>
      </c>
    </row>
    <row r="2571" spans="28:32" x14ac:dyDescent="0.25">
      <c r="AB2571" s="167" t="s">
        <v>2304</v>
      </c>
      <c r="AC2571" s="167">
        <v>327</v>
      </c>
      <c r="AD2571" s="203">
        <v>43074</v>
      </c>
      <c r="AE2571" s="203">
        <v>43131</v>
      </c>
      <c r="AF2571" s="167" t="s">
        <v>3470</v>
      </c>
    </row>
    <row r="2572" spans="28:32" x14ac:dyDescent="0.25">
      <c r="AB2572" s="167" t="s">
        <v>2304</v>
      </c>
      <c r="AC2572" s="167">
        <v>347</v>
      </c>
      <c r="AD2572" s="203">
        <v>43118</v>
      </c>
      <c r="AE2572" s="203">
        <v>43133</v>
      </c>
      <c r="AF2572" s="167" t="s">
        <v>3470</v>
      </c>
    </row>
    <row r="2573" spans="28:32" x14ac:dyDescent="0.25">
      <c r="AB2573" s="167" t="s">
        <v>2304</v>
      </c>
      <c r="AC2573" s="167">
        <v>340</v>
      </c>
      <c r="AD2573" s="203">
        <v>43133</v>
      </c>
      <c r="AE2573" s="203">
        <v>43168</v>
      </c>
      <c r="AF2573" s="167" t="s">
        <v>3470</v>
      </c>
    </row>
    <row r="2574" spans="28:32" x14ac:dyDescent="0.25">
      <c r="AB2574" s="167" t="s">
        <v>2304</v>
      </c>
      <c r="AC2574" s="167">
        <v>340</v>
      </c>
      <c r="AD2574" s="203">
        <v>43133</v>
      </c>
      <c r="AE2574" s="203">
        <v>43168</v>
      </c>
      <c r="AF2574" s="167" t="s">
        <v>3470</v>
      </c>
    </row>
    <row r="2575" spans="28:32" x14ac:dyDescent="0.25">
      <c r="AB2575" s="167" t="s">
        <v>2304</v>
      </c>
      <c r="AC2575" s="167">
        <v>357</v>
      </c>
      <c r="AD2575" s="203">
        <v>43139</v>
      </c>
      <c r="AE2575" s="203">
        <v>43164</v>
      </c>
      <c r="AF2575" s="167" t="s">
        <v>3470</v>
      </c>
    </row>
    <row r="2576" spans="28:32" x14ac:dyDescent="0.25">
      <c r="AB2576" s="167" t="s">
        <v>2304</v>
      </c>
      <c r="AC2576" s="167">
        <v>353</v>
      </c>
      <c r="AD2576" s="203">
        <v>43180</v>
      </c>
      <c r="AE2576" s="203">
        <v>0</v>
      </c>
      <c r="AF2576" s="167" t="s">
        <v>3469</v>
      </c>
    </row>
    <row r="2577" spans="28:32" x14ac:dyDescent="0.25">
      <c r="AB2577" s="167" t="s">
        <v>2304</v>
      </c>
      <c r="AC2577" s="167">
        <v>353</v>
      </c>
      <c r="AD2577" s="203">
        <v>43180</v>
      </c>
      <c r="AE2577" s="203">
        <v>0</v>
      </c>
      <c r="AF2577" s="167" t="s">
        <v>3469</v>
      </c>
    </row>
    <row r="2578" spans="28:32" x14ac:dyDescent="0.25">
      <c r="AB2578" s="167" t="s">
        <v>2304</v>
      </c>
      <c r="AC2578" s="167">
        <v>353</v>
      </c>
      <c r="AD2578" s="203">
        <v>43180</v>
      </c>
      <c r="AE2578" s="203">
        <v>0</v>
      </c>
      <c r="AF2578" s="167" t="s">
        <v>3469</v>
      </c>
    </row>
    <row r="2579" spans="28:32" x14ac:dyDescent="0.25">
      <c r="AB2579" s="167" t="s">
        <v>2306</v>
      </c>
      <c r="AC2579" s="167">
        <v>357</v>
      </c>
      <c r="AD2579" s="203">
        <v>43139</v>
      </c>
      <c r="AE2579" s="203">
        <v>43164</v>
      </c>
      <c r="AF2579" s="167" t="s">
        <v>3470</v>
      </c>
    </row>
    <row r="2580" spans="28:32" x14ac:dyDescent="0.25">
      <c r="AB2580" s="167" t="s">
        <v>2306</v>
      </c>
      <c r="AC2580" s="167">
        <v>364</v>
      </c>
      <c r="AD2580" s="203">
        <v>43168</v>
      </c>
      <c r="AE2580" s="203">
        <v>43179</v>
      </c>
      <c r="AF2580" s="167" t="s">
        <v>3470</v>
      </c>
    </row>
    <row r="2581" spans="28:32" x14ac:dyDescent="0.25">
      <c r="AB2581" s="167" t="s">
        <v>2306</v>
      </c>
      <c r="AC2581" s="167">
        <v>353</v>
      </c>
      <c r="AD2581" s="203">
        <v>43180</v>
      </c>
      <c r="AE2581" s="203">
        <v>0</v>
      </c>
      <c r="AF2581" s="167" t="s">
        <v>3469</v>
      </c>
    </row>
    <row r="2582" spans="28:32" x14ac:dyDescent="0.25">
      <c r="AB2582" s="167" t="s">
        <v>2306</v>
      </c>
      <c r="AC2582" s="167">
        <v>353</v>
      </c>
      <c r="AD2582" s="203">
        <v>43180</v>
      </c>
      <c r="AE2582" s="203">
        <v>0</v>
      </c>
      <c r="AF2582" s="167" t="s">
        <v>3469</v>
      </c>
    </row>
    <row r="2583" spans="28:32" x14ac:dyDescent="0.25">
      <c r="AB2583" s="167" t="s">
        <v>2306</v>
      </c>
      <c r="AC2583" s="167">
        <v>353</v>
      </c>
      <c r="AD2583" s="203">
        <v>43180</v>
      </c>
      <c r="AE2583" s="203">
        <v>0</v>
      </c>
      <c r="AF2583" s="167" t="s">
        <v>3469</v>
      </c>
    </row>
    <row r="2584" spans="28:32" x14ac:dyDescent="0.25">
      <c r="AB2584" s="167" t="s">
        <v>2307</v>
      </c>
      <c r="AC2584" s="167">
        <v>340</v>
      </c>
      <c r="AD2584" s="203">
        <v>43133</v>
      </c>
      <c r="AE2584" s="203">
        <v>43168</v>
      </c>
      <c r="AF2584" s="167" t="s">
        <v>3470</v>
      </c>
    </row>
    <row r="2585" spans="28:32" x14ac:dyDescent="0.25">
      <c r="AB2585" s="167" t="s">
        <v>2309</v>
      </c>
      <c r="AC2585" s="167">
        <v>357</v>
      </c>
      <c r="AD2585" s="203">
        <v>43139</v>
      </c>
      <c r="AE2585" s="203">
        <v>43164</v>
      </c>
      <c r="AF2585" s="167" t="s">
        <v>3470</v>
      </c>
    </row>
    <row r="2586" spans="28:32" x14ac:dyDescent="0.25">
      <c r="AB2586" s="167" t="s">
        <v>2309</v>
      </c>
      <c r="AC2586" s="167">
        <v>364</v>
      </c>
      <c r="AD2586" s="203">
        <v>43168</v>
      </c>
      <c r="AE2586" s="203">
        <v>43179</v>
      </c>
      <c r="AF2586" s="167" t="s">
        <v>3470</v>
      </c>
    </row>
    <row r="2587" spans="28:32" x14ac:dyDescent="0.25">
      <c r="AB2587" s="167" t="s">
        <v>2309</v>
      </c>
      <c r="AC2587" s="167">
        <v>353</v>
      </c>
      <c r="AD2587" s="203">
        <v>43180</v>
      </c>
      <c r="AE2587" s="203">
        <v>0</v>
      </c>
      <c r="AF2587" s="167" t="s">
        <v>3469</v>
      </c>
    </row>
    <row r="2588" spans="28:32" x14ac:dyDescent="0.25">
      <c r="AB2588" s="167" t="s">
        <v>2309</v>
      </c>
      <c r="AC2588" s="167">
        <v>353</v>
      </c>
      <c r="AD2588" s="203">
        <v>43180</v>
      </c>
      <c r="AE2588" s="203">
        <v>0</v>
      </c>
      <c r="AF2588" s="167" t="s">
        <v>3469</v>
      </c>
    </row>
    <row r="2589" spans="28:32" x14ac:dyDescent="0.25">
      <c r="AB2589" s="167" t="s">
        <v>2311</v>
      </c>
      <c r="AC2589" s="167">
        <v>357</v>
      </c>
      <c r="AD2589" s="203">
        <v>43139</v>
      </c>
      <c r="AE2589" s="203">
        <v>43164</v>
      </c>
      <c r="AF2589" s="167" t="s">
        <v>3470</v>
      </c>
    </row>
    <row r="2590" spans="28:32" x14ac:dyDescent="0.25">
      <c r="AB2590" s="167" t="s">
        <v>2311</v>
      </c>
      <c r="AC2590" s="167">
        <v>353</v>
      </c>
      <c r="AD2590" s="203">
        <v>43180</v>
      </c>
      <c r="AE2590" s="203">
        <v>0</v>
      </c>
      <c r="AF2590" s="167" t="s">
        <v>3469</v>
      </c>
    </row>
    <row r="2591" spans="28:32" x14ac:dyDescent="0.25">
      <c r="AB2591" s="167" t="s">
        <v>2313</v>
      </c>
      <c r="AC2591" s="167">
        <v>327</v>
      </c>
      <c r="AD2591" s="203">
        <v>43074</v>
      </c>
      <c r="AE2591" s="203">
        <v>43131</v>
      </c>
      <c r="AF2591" s="167" t="s">
        <v>3470</v>
      </c>
    </row>
    <row r="2592" spans="28:32" x14ac:dyDescent="0.25">
      <c r="AB2592" s="167" t="s">
        <v>2313</v>
      </c>
      <c r="AC2592" s="167">
        <v>347</v>
      </c>
      <c r="AD2592" s="203">
        <v>43118</v>
      </c>
      <c r="AE2592" s="203">
        <v>43133</v>
      </c>
      <c r="AF2592" s="167" t="s">
        <v>3470</v>
      </c>
    </row>
    <row r="2593" spans="28:32" x14ac:dyDescent="0.25">
      <c r="AB2593" s="167" t="s">
        <v>2313</v>
      </c>
      <c r="AC2593" s="167">
        <v>340</v>
      </c>
      <c r="AD2593" s="203">
        <v>43133</v>
      </c>
      <c r="AE2593" s="203">
        <v>43168</v>
      </c>
      <c r="AF2593" s="167" t="s">
        <v>3470</v>
      </c>
    </row>
    <row r="2594" spans="28:32" x14ac:dyDescent="0.25">
      <c r="AB2594" s="167" t="s">
        <v>2313</v>
      </c>
      <c r="AC2594" s="167">
        <v>357</v>
      </c>
      <c r="AD2594" s="203">
        <v>43139</v>
      </c>
      <c r="AE2594" s="203">
        <v>43164</v>
      </c>
      <c r="AF2594" s="167" t="s">
        <v>3470</v>
      </c>
    </row>
    <row r="2595" spans="28:32" x14ac:dyDescent="0.25">
      <c r="AB2595" s="167" t="s">
        <v>2313</v>
      </c>
      <c r="AC2595" s="167">
        <v>353</v>
      </c>
      <c r="AD2595" s="203">
        <v>43180</v>
      </c>
      <c r="AE2595" s="203">
        <v>0</v>
      </c>
      <c r="AF2595" s="167" t="s">
        <v>3469</v>
      </c>
    </row>
    <row r="2596" spans="28:32" x14ac:dyDescent="0.25">
      <c r="AB2596" s="167" t="s">
        <v>2313</v>
      </c>
      <c r="AC2596" s="167">
        <v>353</v>
      </c>
      <c r="AD2596" s="203">
        <v>43180</v>
      </c>
      <c r="AE2596" s="203">
        <v>0</v>
      </c>
      <c r="AF2596" s="167" t="s">
        <v>3469</v>
      </c>
    </row>
    <row r="2597" spans="28:32" x14ac:dyDescent="0.25">
      <c r="AB2597" s="167" t="s">
        <v>2313</v>
      </c>
      <c r="AC2597" s="167">
        <v>353</v>
      </c>
      <c r="AD2597" s="203">
        <v>43180</v>
      </c>
      <c r="AE2597" s="203">
        <v>0</v>
      </c>
      <c r="AF2597" s="167" t="s">
        <v>3469</v>
      </c>
    </row>
    <row r="2598" spans="28:32" x14ac:dyDescent="0.25">
      <c r="AB2598" s="167" t="s">
        <v>2313</v>
      </c>
      <c r="AC2598" s="167">
        <v>353</v>
      </c>
      <c r="AD2598" s="203">
        <v>43180</v>
      </c>
      <c r="AE2598" s="203">
        <v>0</v>
      </c>
      <c r="AF2598" s="167" t="s">
        <v>3469</v>
      </c>
    </row>
    <row r="2599" spans="28:32" x14ac:dyDescent="0.25">
      <c r="AB2599" s="167" t="s">
        <v>2313</v>
      </c>
      <c r="AC2599" s="167">
        <v>353</v>
      </c>
      <c r="AD2599" s="203">
        <v>43180</v>
      </c>
      <c r="AE2599" s="203">
        <v>0</v>
      </c>
      <c r="AF2599" s="167" t="s">
        <v>3469</v>
      </c>
    </row>
    <row r="2600" spans="28:32" x14ac:dyDescent="0.25">
      <c r="AB2600" s="167" t="s">
        <v>2315</v>
      </c>
      <c r="AC2600" s="167">
        <v>347</v>
      </c>
      <c r="AD2600" s="203">
        <v>43118</v>
      </c>
      <c r="AE2600" s="203">
        <v>43133</v>
      </c>
      <c r="AF2600" s="167" t="s">
        <v>3470</v>
      </c>
    </row>
    <row r="2601" spans="28:32" x14ac:dyDescent="0.25">
      <c r="AB2601" s="167" t="s">
        <v>2315</v>
      </c>
      <c r="AC2601" s="167">
        <v>340</v>
      </c>
      <c r="AD2601" s="203">
        <v>43133</v>
      </c>
      <c r="AE2601" s="203">
        <v>43168</v>
      </c>
      <c r="AF2601" s="167" t="s">
        <v>3470</v>
      </c>
    </row>
    <row r="2602" spans="28:32" x14ac:dyDescent="0.25">
      <c r="AB2602" s="167" t="s">
        <v>2315</v>
      </c>
      <c r="AC2602" s="167">
        <v>340</v>
      </c>
      <c r="AD2602" s="203">
        <v>43133</v>
      </c>
      <c r="AE2602" s="203">
        <v>43168</v>
      </c>
      <c r="AF2602" s="167" t="s">
        <v>3470</v>
      </c>
    </row>
    <row r="2603" spans="28:32" x14ac:dyDescent="0.25">
      <c r="AB2603" s="167" t="s">
        <v>2315</v>
      </c>
      <c r="AC2603" s="167">
        <v>357</v>
      </c>
      <c r="AD2603" s="203">
        <v>43139</v>
      </c>
      <c r="AE2603" s="203">
        <v>43164</v>
      </c>
      <c r="AF2603" s="167" t="s">
        <v>3470</v>
      </c>
    </row>
    <row r="2604" spans="28:32" x14ac:dyDescent="0.25">
      <c r="AB2604" s="167" t="s">
        <v>2315</v>
      </c>
      <c r="AC2604" s="167">
        <v>364</v>
      </c>
      <c r="AD2604" s="203">
        <v>43168</v>
      </c>
      <c r="AE2604" s="203">
        <v>43179</v>
      </c>
      <c r="AF2604" s="167" t="s">
        <v>3470</v>
      </c>
    </row>
    <row r="2605" spans="28:32" x14ac:dyDescent="0.25">
      <c r="AB2605" s="167" t="s">
        <v>2315</v>
      </c>
      <c r="AC2605" s="167">
        <v>353</v>
      </c>
      <c r="AD2605" s="203">
        <v>43180</v>
      </c>
      <c r="AE2605" s="203">
        <v>0</v>
      </c>
      <c r="AF2605" s="167" t="s">
        <v>3469</v>
      </c>
    </row>
    <row r="2606" spans="28:32" x14ac:dyDescent="0.25">
      <c r="AB2606" s="167" t="s">
        <v>2315</v>
      </c>
      <c r="AC2606" s="167">
        <v>353</v>
      </c>
      <c r="AD2606" s="203">
        <v>43180</v>
      </c>
      <c r="AE2606" s="203">
        <v>0</v>
      </c>
      <c r="AF2606" s="167" t="s">
        <v>3469</v>
      </c>
    </row>
    <row r="2607" spans="28:32" x14ac:dyDescent="0.25">
      <c r="AB2607" s="167" t="s">
        <v>2315</v>
      </c>
      <c r="AC2607" s="167">
        <v>353</v>
      </c>
      <c r="AD2607" s="203">
        <v>43180</v>
      </c>
      <c r="AE2607" s="203">
        <v>0</v>
      </c>
      <c r="AF2607" s="167" t="s">
        <v>3469</v>
      </c>
    </row>
    <row r="2608" spans="28:32" x14ac:dyDescent="0.25">
      <c r="AB2608" s="167" t="s">
        <v>2317</v>
      </c>
      <c r="AC2608" s="167">
        <v>347</v>
      </c>
      <c r="AD2608" s="203">
        <v>43118</v>
      </c>
      <c r="AE2608" s="203">
        <v>43133</v>
      </c>
      <c r="AF2608" s="167" t="s">
        <v>3470</v>
      </c>
    </row>
    <row r="2609" spans="28:32" x14ac:dyDescent="0.25">
      <c r="AB2609" s="167" t="s">
        <v>2317</v>
      </c>
      <c r="AC2609" s="167">
        <v>340</v>
      </c>
      <c r="AD2609" s="203">
        <v>43133</v>
      </c>
      <c r="AE2609" s="203">
        <v>43168</v>
      </c>
      <c r="AF2609" s="167" t="s">
        <v>3470</v>
      </c>
    </row>
    <row r="2610" spans="28:32" x14ac:dyDescent="0.25">
      <c r="AB2610" s="167" t="s">
        <v>2317</v>
      </c>
      <c r="AC2610" s="167">
        <v>340</v>
      </c>
      <c r="AD2610" s="203">
        <v>43133</v>
      </c>
      <c r="AE2610" s="203">
        <v>43168</v>
      </c>
      <c r="AF2610" s="167" t="s">
        <v>3470</v>
      </c>
    </row>
    <row r="2611" spans="28:32" x14ac:dyDescent="0.25">
      <c r="AB2611" s="167" t="s">
        <v>2317</v>
      </c>
      <c r="AC2611" s="167">
        <v>353</v>
      </c>
      <c r="AD2611" s="203">
        <v>43180</v>
      </c>
      <c r="AE2611" s="203">
        <v>0</v>
      </c>
      <c r="AF2611" s="167" t="s">
        <v>3469</v>
      </c>
    </row>
    <row r="2612" spans="28:32" x14ac:dyDescent="0.25">
      <c r="AB2612" s="167" t="s">
        <v>3485</v>
      </c>
      <c r="AC2612" s="167">
        <v>327</v>
      </c>
      <c r="AD2612" s="203">
        <v>43074</v>
      </c>
      <c r="AE2612" s="203">
        <v>43131</v>
      </c>
      <c r="AF2612" s="167" t="s">
        <v>3470</v>
      </c>
    </row>
    <row r="2613" spans="28:32" x14ac:dyDescent="0.25">
      <c r="AB2613" s="167" t="s">
        <v>2319</v>
      </c>
      <c r="AC2613" s="167">
        <v>323</v>
      </c>
      <c r="AD2613" s="203">
        <v>43074</v>
      </c>
      <c r="AE2613" s="203">
        <v>43111</v>
      </c>
      <c r="AF2613" s="167" t="s">
        <v>3470</v>
      </c>
    </row>
    <row r="2614" spans="28:32" x14ac:dyDescent="0.25">
      <c r="AB2614" s="167" t="s">
        <v>2319</v>
      </c>
      <c r="AC2614" s="167">
        <v>323</v>
      </c>
      <c r="AD2614" s="203">
        <v>43074</v>
      </c>
      <c r="AE2614" s="203">
        <v>43111</v>
      </c>
      <c r="AF2614" s="167" t="s">
        <v>3470</v>
      </c>
    </row>
    <row r="2615" spans="28:32" x14ac:dyDescent="0.25">
      <c r="AB2615" s="167" t="s">
        <v>2319</v>
      </c>
      <c r="AC2615" s="167">
        <v>347</v>
      </c>
      <c r="AD2615" s="203">
        <v>43118</v>
      </c>
      <c r="AE2615" s="203">
        <v>43133</v>
      </c>
      <c r="AF2615" s="167" t="s">
        <v>3470</v>
      </c>
    </row>
    <row r="2616" spans="28:32" x14ac:dyDescent="0.25">
      <c r="AB2616" s="167" t="s">
        <v>2319</v>
      </c>
      <c r="AC2616" s="167">
        <v>340</v>
      </c>
      <c r="AD2616" s="203">
        <v>43133</v>
      </c>
      <c r="AE2616" s="203">
        <v>43168</v>
      </c>
      <c r="AF2616" s="167" t="s">
        <v>3470</v>
      </c>
    </row>
    <row r="2617" spans="28:32" x14ac:dyDescent="0.25">
      <c r="AB2617" s="167" t="s">
        <v>2319</v>
      </c>
      <c r="AC2617" s="167">
        <v>340</v>
      </c>
      <c r="AD2617" s="203">
        <v>43133</v>
      </c>
      <c r="AE2617" s="203">
        <v>43168</v>
      </c>
      <c r="AF2617" s="167" t="s">
        <v>3470</v>
      </c>
    </row>
    <row r="2618" spans="28:32" x14ac:dyDescent="0.25">
      <c r="AB2618" s="167" t="s">
        <v>2319</v>
      </c>
      <c r="AC2618" s="167">
        <v>357</v>
      </c>
      <c r="AD2618" s="203">
        <v>43139</v>
      </c>
      <c r="AE2618" s="203">
        <v>43164</v>
      </c>
      <c r="AF2618" s="167" t="s">
        <v>3470</v>
      </c>
    </row>
    <row r="2619" spans="28:32" x14ac:dyDescent="0.25">
      <c r="AB2619" s="167" t="s">
        <v>2319</v>
      </c>
      <c r="AC2619" s="167">
        <v>364</v>
      </c>
      <c r="AD2619" s="203">
        <v>43168</v>
      </c>
      <c r="AE2619" s="203">
        <v>43179</v>
      </c>
      <c r="AF2619" s="167" t="s">
        <v>3470</v>
      </c>
    </row>
    <row r="2620" spans="28:32" x14ac:dyDescent="0.25">
      <c r="AB2620" s="167" t="s">
        <v>2319</v>
      </c>
      <c r="AC2620" s="167">
        <v>353</v>
      </c>
      <c r="AD2620" s="203">
        <v>43180</v>
      </c>
      <c r="AE2620" s="203">
        <v>0</v>
      </c>
      <c r="AF2620" s="167" t="s">
        <v>3469</v>
      </c>
    </row>
    <row r="2621" spans="28:32" x14ac:dyDescent="0.25">
      <c r="AB2621" s="167" t="s">
        <v>2319</v>
      </c>
      <c r="AC2621" s="167">
        <v>353</v>
      </c>
      <c r="AD2621" s="203">
        <v>43180</v>
      </c>
      <c r="AE2621" s="203">
        <v>0</v>
      </c>
      <c r="AF2621" s="167" t="s">
        <v>3469</v>
      </c>
    </row>
    <row r="2622" spans="28:32" x14ac:dyDescent="0.25">
      <c r="AB2622" s="167" t="s">
        <v>2321</v>
      </c>
      <c r="AC2622" s="167">
        <v>327</v>
      </c>
      <c r="AD2622" s="203">
        <v>43074</v>
      </c>
      <c r="AE2622" s="203">
        <v>43131</v>
      </c>
      <c r="AF2622" s="167" t="s">
        <v>3470</v>
      </c>
    </row>
    <row r="2623" spans="28:32" x14ac:dyDescent="0.25">
      <c r="AB2623" s="167" t="s">
        <v>2321</v>
      </c>
      <c r="AC2623" s="167">
        <v>327</v>
      </c>
      <c r="AD2623" s="203">
        <v>43074</v>
      </c>
      <c r="AE2623" s="203">
        <v>43131</v>
      </c>
      <c r="AF2623" s="167" t="s">
        <v>3470</v>
      </c>
    </row>
    <row r="2624" spans="28:32" x14ac:dyDescent="0.25">
      <c r="AB2624" s="167" t="s">
        <v>2321</v>
      </c>
      <c r="AC2624" s="167">
        <v>347</v>
      </c>
      <c r="AD2624" s="203">
        <v>43118</v>
      </c>
      <c r="AE2624" s="203">
        <v>43133</v>
      </c>
      <c r="AF2624" s="167" t="s">
        <v>3470</v>
      </c>
    </row>
    <row r="2625" spans="28:32" x14ac:dyDescent="0.25">
      <c r="AB2625" s="167" t="s">
        <v>2321</v>
      </c>
      <c r="AC2625" s="167">
        <v>340</v>
      </c>
      <c r="AD2625" s="203">
        <v>43133</v>
      </c>
      <c r="AE2625" s="203">
        <v>43168</v>
      </c>
      <c r="AF2625" s="167" t="s">
        <v>3470</v>
      </c>
    </row>
    <row r="2626" spans="28:32" x14ac:dyDescent="0.25">
      <c r="AB2626" s="167" t="s">
        <v>2321</v>
      </c>
      <c r="AC2626" s="167">
        <v>357</v>
      </c>
      <c r="AD2626" s="203">
        <v>43139</v>
      </c>
      <c r="AE2626" s="203">
        <v>43164</v>
      </c>
      <c r="AF2626" s="167" t="s">
        <v>3470</v>
      </c>
    </row>
    <row r="2627" spans="28:32" x14ac:dyDescent="0.25">
      <c r="AB2627" s="167" t="s">
        <v>2321</v>
      </c>
      <c r="AC2627" s="167">
        <v>353</v>
      </c>
      <c r="AD2627" s="203">
        <v>43180</v>
      </c>
      <c r="AE2627" s="203">
        <v>0</v>
      </c>
      <c r="AF2627" s="167" t="s">
        <v>3469</v>
      </c>
    </row>
    <row r="2628" spans="28:32" x14ac:dyDescent="0.25">
      <c r="AB2628" s="167" t="s">
        <v>2321</v>
      </c>
      <c r="AC2628" s="167">
        <v>353</v>
      </c>
      <c r="AD2628" s="203">
        <v>43180</v>
      </c>
      <c r="AE2628" s="203">
        <v>0</v>
      </c>
      <c r="AF2628" s="167" t="s">
        <v>3469</v>
      </c>
    </row>
    <row r="2629" spans="28:32" x14ac:dyDescent="0.25">
      <c r="AB2629" s="167" t="s">
        <v>2321</v>
      </c>
      <c r="AC2629" s="167">
        <v>353</v>
      </c>
      <c r="AD2629" s="203">
        <v>43180</v>
      </c>
      <c r="AE2629" s="203">
        <v>0</v>
      </c>
      <c r="AF2629" s="167" t="s">
        <v>3469</v>
      </c>
    </row>
    <row r="2630" spans="28:32" x14ac:dyDescent="0.25">
      <c r="AB2630" s="167" t="s">
        <v>2321</v>
      </c>
      <c r="AC2630" s="167">
        <v>353</v>
      </c>
      <c r="AD2630" s="203">
        <v>43180</v>
      </c>
      <c r="AE2630" s="203">
        <v>0</v>
      </c>
      <c r="AF2630" s="167" t="s">
        <v>3469</v>
      </c>
    </row>
    <row r="2631" spans="28:32" x14ac:dyDescent="0.25">
      <c r="AB2631" s="167" t="s">
        <v>2322</v>
      </c>
      <c r="AC2631" s="167">
        <v>347</v>
      </c>
      <c r="AD2631" s="203">
        <v>43118</v>
      </c>
      <c r="AE2631" s="203">
        <v>43133</v>
      </c>
      <c r="AF2631" s="167" t="s">
        <v>3470</v>
      </c>
    </row>
    <row r="2632" spans="28:32" x14ac:dyDescent="0.25">
      <c r="AB2632" s="167" t="s">
        <v>2322</v>
      </c>
      <c r="AC2632" s="167">
        <v>340</v>
      </c>
      <c r="AD2632" s="203">
        <v>43133</v>
      </c>
      <c r="AE2632" s="203">
        <v>43168</v>
      </c>
      <c r="AF2632" s="167" t="s">
        <v>3470</v>
      </c>
    </row>
    <row r="2633" spans="28:32" x14ac:dyDescent="0.25">
      <c r="AB2633" s="167" t="s">
        <v>2323</v>
      </c>
      <c r="AC2633" s="167">
        <v>327</v>
      </c>
      <c r="AD2633" s="203">
        <v>43074</v>
      </c>
      <c r="AE2633" s="203">
        <v>43131</v>
      </c>
      <c r="AF2633" s="167" t="s">
        <v>3470</v>
      </c>
    </row>
    <row r="2634" spans="28:32" x14ac:dyDescent="0.25">
      <c r="AB2634" s="167" t="s">
        <v>2323</v>
      </c>
      <c r="AC2634" s="167">
        <v>347</v>
      </c>
      <c r="AD2634" s="203">
        <v>43118</v>
      </c>
      <c r="AE2634" s="203">
        <v>43133</v>
      </c>
      <c r="AF2634" s="167" t="s">
        <v>3470</v>
      </c>
    </row>
    <row r="2635" spans="28:32" x14ac:dyDescent="0.25">
      <c r="AB2635" s="167" t="s">
        <v>2323</v>
      </c>
      <c r="AC2635" s="167">
        <v>340</v>
      </c>
      <c r="AD2635" s="203">
        <v>43133</v>
      </c>
      <c r="AE2635" s="203">
        <v>43168</v>
      </c>
      <c r="AF2635" s="167" t="s">
        <v>3470</v>
      </c>
    </row>
    <row r="2636" spans="28:32" x14ac:dyDescent="0.25">
      <c r="AB2636" s="167" t="s">
        <v>2325</v>
      </c>
      <c r="AC2636" s="167">
        <v>347</v>
      </c>
      <c r="AD2636" s="203">
        <v>43118</v>
      </c>
      <c r="AE2636" s="203">
        <v>43133</v>
      </c>
      <c r="AF2636" s="167" t="s">
        <v>3470</v>
      </c>
    </row>
    <row r="2637" spans="28:32" x14ac:dyDescent="0.25">
      <c r="AB2637" s="167" t="s">
        <v>2325</v>
      </c>
      <c r="AC2637" s="167">
        <v>340</v>
      </c>
      <c r="AD2637" s="203">
        <v>43133</v>
      </c>
      <c r="AE2637" s="203">
        <v>43168</v>
      </c>
      <c r="AF2637" s="167" t="s">
        <v>3470</v>
      </c>
    </row>
    <row r="2638" spans="28:32" x14ac:dyDescent="0.25">
      <c r="AB2638" s="167" t="s">
        <v>2325</v>
      </c>
      <c r="AC2638" s="167">
        <v>340</v>
      </c>
      <c r="AD2638" s="203">
        <v>43133</v>
      </c>
      <c r="AE2638" s="203">
        <v>43168</v>
      </c>
      <c r="AF2638" s="167" t="s">
        <v>3470</v>
      </c>
    </row>
    <row r="2639" spans="28:32" x14ac:dyDescent="0.25">
      <c r="AB2639" s="167" t="s">
        <v>2325</v>
      </c>
      <c r="AC2639" s="167">
        <v>340</v>
      </c>
      <c r="AD2639" s="203">
        <v>43133</v>
      </c>
      <c r="AE2639" s="203">
        <v>43168</v>
      </c>
      <c r="AF2639" s="167" t="s">
        <v>3470</v>
      </c>
    </row>
    <row r="2640" spans="28:32" x14ac:dyDescent="0.25">
      <c r="AB2640" s="167" t="s">
        <v>2325</v>
      </c>
      <c r="AC2640" s="167">
        <v>353</v>
      </c>
      <c r="AD2640" s="203">
        <v>43180</v>
      </c>
      <c r="AE2640" s="203">
        <v>0</v>
      </c>
      <c r="AF2640" s="167" t="s">
        <v>3469</v>
      </c>
    </row>
    <row r="2641" spans="28:32" x14ac:dyDescent="0.25">
      <c r="AB2641" s="167" t="s">
        <v>2327</v>
      </c>
      <c r="AC2641" s="167">
        <v>347</v>
      </c>
      <c r="AD2641" s="203">
        <v>43118</v>
      </c>
      <c r="AE2641" s="203">
        <v>43133</v>
      </c>
      <c r="AF2641" s="167" t="s">
        <v>3470</v>
      </c>
    </row>
    <row r="2642" spans="28:32" x14ac:dyDescent="0.25">
      <c r="AB2642" s="167" t="s">
        <v>2327</v>
      </c>
      <c r="AC2642" s="167">
        <v>340</v>
      </c>
      <c r="AD2642" s="203">
        <v>43133</v>
      </c>
      <c r="AE2642" s="203">
        <v>43168</v>
      </c>
      <c r="AF2642" s="167" t="s">
        <v>3470</v>
      </c>
    </row>
    <row r="2643" spans="28:32" x14ac:dyDescent="0.25">
      <c r="AB2643" s="167" t="s">
        <v>2327</v>
      </c>
      <c r="AC2643" s="167">
        <v>340</v>
      </c>
      <c r="AD2643" s="203">
        <v>43133</v>
      </c>
      <c r="AE2643" s="203">
        <v>43168</v>
      </c>
      <c r="AF2643" s="167" t="s">
        <v>3470</v>
      </c>
    </row>
    <row r="2644" spans="28:32" x14ac:dyDescent="0.25">
      <c r="AB2644" s="167" t="s">
        <v>2327</v>
      </c>
      <c r="AC2644" s="167">
        <v>357</v>
      </c>
      <c r="AD2644" s="203">
        <v>43139</v>
      </c>
      <c r="AE2644" s="203">
        <v>43164</v>
      </c>
      <c r="AF2644" s="167" t="s">
        <v>3470</v>
      </c>
    </row>
    <row r="2645" spans="28:32" x14ac:dyDescent="0.25">
      <c r="AB2645" s="167" t="s">
        <v>2327</v>
      </c>
      <c r="AC2645" s="167">
        <v>353</v>
      </c>
      <c r="AD2645" s="203">
        <v>43180</v>
      </c>
      <c r="AE2645" s="203">
        <v>0</v>
      </c>
      <c r="AF2645" s="167" t="s">
        <v>3469</v>
      </c>
    </row>
    <row r="2646" spans="28:32" x14ac:dyDescent="0.25">
      <c r="AB2646" s="167" t="s">
        <v>2329</v>
      </c>
      <c r="AC2646" s="167">
        <v>357</v>
      </c>
      <c r="AD2646" s="203">
        <v>43139</v>
      </c>
      <c r="AE2646" s="203">
        <v>43164</v>
      </c>
      <c r="AF2646" s="167" t="s">
        <v>3470</v>
      </c>
    </row>
    <row r="2647" spans="28:32" x14ac:dyDescent="0.25">
      <c r="AB2647" s="167" t="s">
        <v>2329</v>
      </c>
      <c r="AC2647" s="167">
        <v>353</v>
      </c>
      <c r="AD2647" s="203">
        <v>43180</v>
      </c>
      <c r="AE2647" s="203">
        <v>0</v>
      </c>
      <c r="AF2647" s="167" t="s">
        <v>3469</v>
      </c>
    </row>
    <row r="2648" spans="28:32" x14ac:dyDescent="0.25">
      <c r="AB2648" s="167" t="s">
        <v>2330</v>
      </c>
      <c r="AC2648" s="167">
        <v>347</v>
      </c>
      <c r="AD2648" s="203">
        <v>43118</v>
      </c>
      <c r="AE2648" s="203">
        <v>43133</v>
      </c>
      <c r="AF2648" s="167" t="s">
        <v>3470</v>
      </c>
    </row>
    <row r="2649" spans="28:32" x14ac:dyDescent="0.25">
      <c r="AB2649" s="167" t="s">
        <v>2330</v>
      </c>
      <c r="AC2649" s="167">
        <v>340</v>
      </c>
      <c r="AD2649" s="203">
        <v>43133</v>
      </c>
      <c r="AE2649" s="203">
        <v>43168</v>
      </c>
      <c r="AF2649" s="167" t="s">
        <v>3470</v>
      </c>
    </row>
    <row r="2650" spans="28:32" x14ac:dyDescent="0.25">
      <c r="AB2650" s="167" t="s">
        <v>2331</v>
      </c>
      <c r="AC2650" s="167">
        <v>347</v>
      </c>
      <c r="AD2650" s="203">
        <v>43118</v>
      </c>
      <c r="AE2650" s="203">
        <v>43133</v>
      </c>
      <c r="AF2650" s="167" t="s">
        <v>3470</v>
      </c>
    </row>
    <row r="2651" spans="28:32" x14ac:dyDescent="0.25">
      <c r="AB2651" s="167" t="s">
        <v>2331</v>
      </c>
      <c r="AC2651" s="167">
        <v>340</v>
      </c>
      <c r="AD2651" s="203">
        <v>43133</v>
      </c>
      <c r="AE2651" s="203">
        <v>43168</v>
      </c>
      <c r="AF2651" s="167" t="s">
        <v>3470</v>
      </c>
    </row>
    <row r="2652" spans="28:32" x14ac:dyDescent="0.25">
      <c r="AB2652" s="167" t="s">
        <v>2333</v>
      </c>
      <c r="AC2652" s="167">
        <v>347</v>
      </c>
      <c r="AD2652" s="203">
        <v>43118</v>
      </c>
      <c r="AE2652" s="203">
        <v>43133</v>
      </c>
      <c r="AF2652" s="167" t="s">
        <v>3470</v>
      </c>
    </row>
    <row r="2653" spans="28:32" x14ac:dyDescent="0.25">
      <c r="AB2653" s="167" t="s">
        <v>2333</v>
      </c>
      <c r="AC2653" s="167">
        <v>340</v>
      </c>
      <c r="AD2653" s="203">
        <v>43133</v>
      </c>
      <c r="AE2653" s="203">
        <v>43168</v>
      </c>
      <c r="AF2653" s="167" t="s">
        <v>3470</v>
      </c>
    </row>
    <row r="2654" spans="28:32" x14ac:dyDescent="0.25">
      <c r="AB2654" s="167" t="s">
        <v>2333</v>
      </c>
      <c r="AC2654" s="167">
        <v>364</v>
      </c>
      <c r="AD2654" s="203">
        <v>43168</v>
      </c>
      <c r="AE2654" s="203">
        <v>43179</v>
      </c>
      <c r="AF2654" s="167" t="s">
        <v>3470</v>
      </c>
    </row>
    <row r="2655" spans="28:32" x14ac:dyDescent="0.25">
      <c r="AB2655" s="167" t="s">
        <v>2333</v>
      </c>
      <c r="AC2655" s="167">
        <v>353</v>
      </c>
      <c r="AD2655" s="203">
        <v>43180</v>
      </c>
      <c r="AE2655" s="203">
        <v>0</v>
      </c>
      <c r="AF2655" s="167" t="s">
        <v>3469</v>
      </c>
    </row>
    <row r="2656" spans="28:32" x14ac:dyDescent="0.25">
      <c r="AB2656" s="167" t="s">
        <v>2335</v>
      </c>
      <c r="AC2656" s="167">
        <v>323</v>
      </c>
      <c r="AD2656" s="203">
        <v>43074</v>
      </c>
      <c r="AE2656" s="203">
        <v>43111</v>
      </c>
      <c r="AF2656" s="167" t="s">
        <v>3470</v>
      </c>
    </row>
    <row r="2657" spans="28:32" x14ac:dyDescent="0.25">
      <c r="AB2657" s="167" t="s">
        <v>2335</v>
      </c>
      <c r="AC2657" s="167">
        <v>340</v>
      </c>
      <c r="AD2657" s="203">
        <v>43133</v>
      </c>
      <c r="AE2657" s="203">
        <v>43168</v>
      </c>
      <c r="AF2657" s="167" t="s">
        <v>3470</v>
      </c>
    </row>
    <row r="2658" spans="28:32" x14ac:dyDescent="0.25">
      <c r="AB2658" s="167" t="s">
        <v>2335</v>
      </c>
      <c r="AC2658" s="167">
        <v>357</v>
      </c>
      <c r="AD2658" s="203">
        <v>43139</v>
      </c>
      <c r="AE2658" s="203">
        <v>43164</v>
      </c>
      <c r="AF2658" s="167" t="s">
        <v>3470</v>
      </c>
    </row>
    <row r="2659" spans="28:32" x14ac:dyDescent="0.25">
      <c r="AB2659" s="167" t="s">
        <v>2335</v>
      </c>
      <c r="AC2659" s="167">
        <v>353</v>
      </c>
      <c r="AD2659" s="203">
        <v>43180</v>
      </c>
      <c r="AE2659" s="203">
        <v>0</v>
      </c>
      <c r="AF2659" s="167" t="s">
        <v>3469</v>
      </c>
    </row>
    <row r="2660" spans="28:32" x14ac:dyDescent="0.25">
      <c r="AB2660" s="167" t="s">
        <v>2335</v>
      </c>
      <c r="AC2660" s="167">
        <v>353</v>
      </c>
      <c r="AD2660" s="203">
        <v>43180</v>
      </c>
      <c r="AE2660" s="203">
        <v>0</v>
      </c>
      <c r="AF2660" s="167" t="s">
        <v>3469</v>
      </c>
    </row>
    <row r="2661" spans="28:32" x14ac:dyDescent="0.25">
      <c r="AB2661" s="167" t="s">
        <v>2337</v>
      </c>
      <c r="AC2661" s="167">
        <v>323</v>
      </c>
      <c r="AD2661" s="203">
        <v>43074</v>
      </c>
      <c r="AE2661" s="203">
        <v>43111</v>
      </c>
      <c r="AF2661" s="167" t="s">
        <v>3470</v>
      </c>
    </row>
    <row r="2662" spans="28:32" x14ac:dyDescent="0.25">
      <c r="AB2662" s="167" t="s">
        <v>2337</v>
      </c>
      <c r="AC2662" s="167">
        <v>340</v>
      </c>
      <c r="AD2662" s="203">
        <v>43133</v>
      </c>
      <c r="AE2662" s="203">
        <v>43168</v>
      </c>
      <c r="AF2662" s="167" t="s">
        <v>3470</v>
      </c>
    </row>
    <row r="2663" spans="28:32" x14ac:dyDescent="0.25">
      <c r="AB2663" s="167" t="s">
        <v>2337</v>
      </c>
      <c r="AC2663" s="167">
        <v>357</v>
      </c>
      <c r="AD2663" s="203">
        <v>43139</v>
      </c>
      <c r="AE2663" s="203">
        <v>43164</v>
      </c>
      <c r="AF2663" s="167" t="s">
        <v>3470</v>
      </c>
    </row>
    <row r="2664" spans="28:32" x14ac:dyDescent="0.25">
      <c r="AB2664" s="167" t="s">
        <v>2337</v>
      </c>
      <c r="AC2664" s="167">
        <v>353</v>
      </c>
      <c r="AD2664" s="203">
        <v>43180</v>
      </c>
      <c r="AE2664" s="203">
        <v>0</v>
      </c>
      <c r="AF2664" s="167" t="s">
        <v>3469</v>
      </c>
    </row>
    <row r="2665" spans="28:32" x14ac:dyDescent="0.25">
      <c r="AB2665" s="167" t="s">
        <v>2337</v>
      </c>
      <c r="AC2665" s="167">
        <v>353</v>
      </c>
      <c r="AD2665" s="203">
        <v>43180</v>
      </c>
      <c r="AE2665" s="203">
        <v>0</v>
      </c>
      <c r="AF2665" s="167" t="s">
        <v>3469</v>
      </c>
    </row>
    <row r="2666" spans="28:32" x14ac:dyDescent="0.25">
      <c r="AB2666" s="167" t="s">
        <v>2338</v>
      </c>
      <c r="AC2666" s="167">
        <v>323</v>
      </c>
      <c r="AD2666" s="203">
        <v>43074</v>
      </c>
      <c r="AE2666" s="203">
        <v>43111</v>
      </c>
      <c r="AF2666" s="167" t="s">
        <v>3470</v>
      </c>
    </row>
    <row r="2667" spans="28:32" x14ac:dyDescent="0.25">
      <c r="AB2667" s="167" t="s">
        <v>2338</v>
      </c>
      <c r="AC2667" s="167">
        <v>347</v>
      </c>
      <c r="AD2667" s="203">
        <v>43118</v>
      </c>
      <c r="AE2667" s="203">
        <v>43133</v>
      </c>
      <c r="AF2667" s="167" t="s">
        <v>3470</v>
      </c>
    </row>
    <row r="2668" spans="28:32" x14ac:dyDescent="0.25">
      <c r="AB2668" s="167" t="s">
        <v>2338</v>
      </c>
      <c r="AC2668" s="167">
        <v>340</v>
      </c>
      <c r="AD2668" s="203">
        <v>43133</v>
      </c>
      <c r="AE2668" s="203">
        <v>43168</v>
      </c>
      <c r="AF2668" s="167" t="s">
        <v>3470</v>
      </c>
    </row>
    <row r="2669" spans="28:32" x14ac:dyDescent="0.25">
      <c r="AB2669" s="167" t="s">
        <v>2339</v>
      </c>
      <c r="AC2669" s="167">
        <v>323</v>
      </c>
      <c r="AD2669" s="203">
        <v>43074</v>
      </c>
      <c r="AE2669" s="203">
        <v>43111</v>
      </c>
      <c r="AF2669" s="167" t="s">
        <v>3470</v>
      </c>
    </row>
    <row r="2670" spans="28:32" x14ac:dyDescent="0.25">
      <c r="AB2670" s="167" t="s">
        <v>2340</v>
      </c>
      <c r="AC2670" s="167">
        <v>340</v>
      </c>
      <c r="AD2670" s="203">
        <v>43133</v>
      </c>
      <c r="AE2670" s="203">
        <v>43168</v>
      </c>
      <c r="AF2670" s="167" t="s">
        <v>3470</v>
      </c>
    </row>
    <row r="2671" spans="28:32" x14ac:dyDescent="0.25">
      <c r="AB2671" s="167" t="s">
        <v>2341</v>
      </c>
      <c r="AC2671" s="167">
        <v>327</v>
      </c>
      <c r="AD2671" s="203">
        <v>43074</v>
      </c>
      <c r="AE2671" s="203">
        <v>43131</v>
      </c>
      <c r="AF2671" s="167" t="s">
        <v>3470</v>
      </c>
    </row>
    <row r="2672" spans="28:32" x14ac:dyDescent="0.25">
      <c r="AB2672" s="167" t="s">
        <v>2341</v>
      </c>
      <c r="AC2672" s="167">
        <v>327</v>
      </c>
      <c r="AD2672" s="203">
        <v>43074</v>
      </c>
      <c r="AE2672" s="203">
        <v>43131</v>
      </c>
      <c r="AF2672" s="167" t="s">
        <v>3470</v>
      </c>
    </row>
    <row r="2673" spans="28:32" x14ac:dyDescent="0.25">
      <c r="AB2673" s="167" t="s">
        <v>2341</v>
      </c>
      <c r="AC2673" s="167">
        <v>327</v>
      </c>
      <c r="AD2673" s="203">
        <v>43074</v>
      </c>
      <c r="AE2673" s="203">
        <v>43131</v>
      </c>
      <c r="AF2673" s="167" t="s">
        <v>3470</v>
      </c>
    </row>
    <row r="2674" spans="28:32" x14ac:dyDescent="0.25">
      <c r="AB2674" s="167" t="s">
        <v>2341</v>
      </c>
      <c r="AC2674" s="167">
        <v>347</v>
      </c>
      <c r="AD2674" s="203">
        <v>43118</v>
      </c>
      <c r="AE2674" s="203">
        <v>43133</v>
      </c>
      <c r="AF2674" s="167" t="s">
        <v>3470</v>
      </c>
    </row>
    <row r="2675" spans="28:32" x14ac:dyDescent="0.25">
      <c r="AB2675" s="167" t="s">
        <v>2341</v>
      </c>
      <c r="AC2675" s="167">
        <v>340</v>
      </c>
      <c r="AD2675" s="203">
        <v>43133</v>
      </c>
      <c r="AE2675" s="203">
        <v>43168</v>
      </c>
      <c r="AF2675" s="167" t="s">
        <v>3470</v>
      </c>
    </row>
    <row r="2676" spans="28:32" x14ac:dyDescent="0.25">
      <c r="AB2676" s="167" t="s">
        <v>2341</v>
      </c>
      <c r="AC2676" s="167">
        <v>357</v>
      </c>
      <c r="AD2676" s="203">
        <v>43139</v>
      </c>
      <c r="AE2676" s="203">
        <v>43164</v>
      </c>
      <c r="AF2676" s="167" t="s">
        <v>3470</v>
      </c>
    </row>
    <row r="2677" spans="28:32" x14ac:dyDescent="0.25">
      <c r="AB2677" s="167" t="s">
        <v>2341</v>
      </c>
      <c r="AC2677" s="167">
        <v>364</v>
      </c>
      <c r="AD2677" s="203">
        <v>43168</v>
      </c>
      <c r="AE2677" s="203">
        <v>43179</v>
      </c>
      <c r="AF2677" s="167" t="s">
        <v>3470</v>
      </c>
    </row>
    <row r="2678" spans="28:32" x14ac:dyDescent="0.25">
      <c r="AB2678" s="167" t="s">
        <v>2341</v>
      </c>
      <c r="AC2678" s="167">
        <v>353</v>
      </c>
      <c r="AD2678" s="203">
        <v>43180</v>
      </c>
      <c r="AE2678" s="203">
        <v>0</v>
      </c>
      <c r="AF2678" s="167" t="s">
        <v>3469</v>
      </c>
    </row>
    <row r="2679" spans="28:32" x14ac:dyDescent="0.25">
      <c r="AB2679" s="167" t="s">
        <v>2341</v>
      </c>
      <c r="AC2679" s="167">
        <v>353</v>
      </c>
      <c r="AD2679" s="203">
        <v>43180</v>
      </c>
      <c r="AE2679" s="203">
        <v>0</v>
      </c>
      <c r="AF2679" s="167" t="s">
        <v>3469</v>
      </c>
    </row>
    <row r="2680" spans="28:32" x14ac:dyDescent="0.25">
      <c r="AB2680" s="167" t="s">
        <v>2343</v>
      </c>
      <c r="AC2680" s="167">
        <v>323</v>
      </c>
      <c r="AD2680" s="203">
        <v>43074</v>
      </c>
      <c r="AE2680" s="203">
        <v>43111</v>
      </c>
      <c r="AF2680" s="167" t="s">
        <v>3470</v>
      </c>
    </row>
    <row r="2681" spans="28:32" x14ac:dyDescent="0.25">
      <c r="AB2681" s="167" t="s">
        <v>2343</v>
      </c>
      <c r="AC2681" s="167">
        <v>327</v>
      </c>
      <c r="AD2681" s="203">
        <v>43074</v>
      </c>
      <c r="AE2681" s="203">
        <v>43131</v>
      </c>
      <c r="AF2681" s="167" t="s">
        <v>3470</v>
      </c>
    </row>
    <row r="2682" spans="28:32" x14ac:dyDescent="0.25">
      <c r="AB2682" s="167" t="s">
        <v>2343</v>
      </c>
      <c r="AC2682" s="167">
        <v>347</v>
      </c>
      <c r="AD2682" s="203">
        <v>43118</v>
      </c>
      <c r="AE2682" s="203">
        <v>43133</v>
      </c>
      <c r="AF2682" s="167" t="s">
        <v>3470</v>
      </c>
    </row>
    <row r="2683" spans="28:32" x14ac:dyDescent="0.25">
      <c r="AB2683" s="167" t="s">
        <v>2343</v>
      </c>
      <c r="AC2683" s="167">
        <v>335</v>
      </c>
      <c r="AD2683" s="203">
        <v>43133</v>
      </c>
      <c r="AE2683" s="203">
        <v>43147</v>
      </c>
      <c r="AF2683" s="167" t="s">
        <v>3470</v>
      </c>
    </row>
    <row r="2684" spans="28:32" x14ac:dyDescent="0.25">
      <c r="AB2684" s="167" t="s">
        <v>2343</v>
      </c>
      <c r="AC2684" s="167">
        <v>340</v>
      </c>
      <c r="AD2684" s="203">
        <v>43133</v>
      </c>
      <c r="AE2684" s="203">
        <v>43168</v>
      </c>
      <c r="AF2684" s="167" t="s">
        <v>3470</v>
      </c>
    </row>
    <row r="2685" spans="28:32" x14ac:dyDescent="0.25">
      <c r="AB2685" s="167" t="s">
        <v>2343</v>
      </c>
      <c r="AC2685" s="167">
        <v>374</v>
      </c>
      <c r="AD2685" s="203">
        <v>43195</v>
      </c>
      <c r="AE2685" s="203">
        <v>0</v>
      </c>
      <c r="AF2685" s="167" t="s">
        <v>3469</v>
      </c>
    </row>
    <row r="2686" spans="28:32" x14ac:dyDescent="0.25">
      <c r="AB2686" s="167" t="s">
        <v>2345</v>
      </c>
      <c r="AC2686" s="167">
        <v>335</v>
      </c>
      <c r="AD2686" s="203">
        <v>43133</v>
      </c>
      <c r="AE2686" s="203">
        <v>43147</v>
      </c>
      <c r="AF2686" s="167" t="s">
        <v>3470</v>
      </c>
    </row>
    <row r="2687" spans="28:32" x14ac:dyDescent="0.25">
      <c r="AB2687" s="167" t="s">
        <v>2345</v>
      </c>
      <c r="AC2687" s="167">
        <v>353</v>
      </c>
      <c r="AD2687" s="203">
        <v>43180</v>
      </c>
      <c r="AE2687" s="203">
        <v>0</v>
      </c>
      <c r="AF2687" s="167" t="s">
        <v>3469</v>
      </c>
    </row>
    <row r="2688" spans="28:32" x14ac:dyDescent="0.25">
      <c r="AB2688" s="167" t="s">
        <v>2345</v>
      </c>
      <c r="AC2688" s="167">
        <v>353</v>
      </c>
      <c r="AD2688" s="203">
        <v>43180</v>
      </c>
      <c r="AE2688" s="203">
        <v>0</v>
      </c>
      <c r="AF2688" s="167" t="s">
        <v>3469</v>
      </c>
    </row>
    <row r="2689" spans="28:32" x14ac:dyDescent="0.25">
      <c r="AB2689" s="167" t="s">
        <v>2345</v>
      </c>
      <c r="AC2689" s="167">
        <v>353</v>
      </c>
      <c r="AD2689" s="203">
        <v>43180</v>
      </c>
      <c r="AE2689" s="203">
        <v>0</v>
      </c>
      <c r="AF2689" s="167" t="s">
        <v>3469</v>
      </c>
    </row>
    <row r="2690" spans="28:32" x14ac:dyDescent="0.25">
      <c r="AB2690" s="167" t="s">
        <v>2345</v>
      </c>
      <c r="AC2690" s="167">
        <v>353</v>
      </c>
      <c r="AD2690" s="203">
        <v>43180</v>
      </c>
      <c r="AE2690" s="203">
        <v>0</v>
      </c>
      <c r="AF2690" s="167" t="s">
        <v>3469</v>
      </c>
    </row>
    <row r="2691" spans="28:32" x14ac:dyDescent="0.25">
      <c r="AB2691" s="167" t="s">
        <v>2345</v>
      </c>
      <c r="AC2691" s="167">
        <v>353</v>
      </c>
      <c r="AD2691" s="203">
        <v>43180</v>
      </c>
      <c r="AE2691" s="203">
        <v>0</v>
      </c>
      <c r="AF2691" s="167" t="s">
        <v>3469</v>
      </c>
    </row>
    <row r="2692" spans="28:32" x14ac:dyDescent="0.25">
      <c r="AB2692" s="167" t="s">
        <v>2347</v>
      </c>
      <c r="AC2692" s="167">
        <v>347</v>
      </c>
      <c r="AD2692" s="203">
        <v>43118</v>
      </c>
      <c r="AE2692" s="203">
        <v>43133</v>
      </c>
      <c r="AF2692" s="167" t="s">
        <v>3470</v>
      </c>
    </row>
    <row r="2693" spans="28:32" x14ac:dyDescent="0.25">
      <c r="AB2693" s="167" t="s">
        <v>2347</v>
      </c>
      <c r="AC2693" s="167">
        <v>340</v>
      </c>
      <c r="AD2693" s="203">
        <v>43133</v>
      </c>
      <c r="AE2693" s="203">
        <v>43168</v>
      </c>
      <c r="AF2693" s="167" t="s">
        <v>3470</v>
      </c>
    </row>
    <row r="2694" spans="28:32" x14ac:dyDescent="0.25">
      <c r="AB2694" s="167" t="s">
        <v>2347</v>
      </c>
      <c r="AC2694" s="167">
        <v>374</v>
      </c>
      <c r="AD2694" s="203">
        <v>43195</v>
      </c>
      <c r="AE2694" s="203">
        <v>0</v>
      </c>
      <c r="AF2694" s="167" t="s">
        <v>3469</v>
      </c>
    </row>
    <row r="2695" spans="28:32" x14ac:dyDescent="0.25">
      <c r="AB2695" s="167" t="s">
        <v>2349</v>
      </c>
      <c r="AC2695" s="167">
        <v>357</v>
      </c>
      <c r="AD2695" s="203">
        <v>43139</v>
      </c>
      <c r="AE2695" s="203">
        <v>43164</v>
      </c>
      <c r="AF2695" s="167" t="s">
        <v>3470</v>
      </c>
    </row>
    <row r="2696" spans="28:32" x14ac:dyDescent="0.25">
      <c r="AB2696" s="167" t="s">
        <v>2349</v>
      </c>
      <c r="AC2696" s="167">
        <v>353</v>
      </c>
      <c r="AD2696" s="203">
        <v>43180</v>
      </c>
      <c r="AE2696" s="203">
        <v>0</v>
      </c>
      <c r="AF2696" s="167" t="s">
        <v>3469</v>
      </c>
    </row>
    <row r="2697" spans="28:32" x14ac:dyDescent="0.25">
      <c r="AB2697" s="167" t="s">
        <v>3486</v>
      </c>
      <c r="AC2697" s="167">
        <v>347</v>
      </c>
      <c r="AD2697" s="203">
        <v>43118</v>
      </c>
      <c r="AE2697" s="203">
        <v>43133</v>
      </c>
      <c r="AF2697" s="167" t="s">
        <v>3470</v>
      </c>
    </row>
    <row r="2698" spans="28:32" x14ac:dyDescent="0.25">
      <c r="AB2698" s="167" t="s">
        <v>3486</v>
      </c>
      <c r="AC2698" s="167">
        <v>340</v>
      </c>
      <c r="AD2698" s="203">
        <v>43133</v>
      </c>
      <c r="AE2698" s="203">
        <v>43168</v>
      </c>
      <c r="AF2698" s="167" t="s">
        <v>3470</v>
      </c>
    </row>
    <row r="2699" spans="28:32" x14ac:dyDescent="0.25">
      <c r="AB2699" s="167" t="s">
        <v>2350</v>
      </c>
      <c r="AC2699" s="167">
        <v>323</v>
      </c>
      <c r="AD2699" s="203">
        <v>43074</v>
      </c>
      <c r="AE2699" s="203">
        <v>43111</v>
      </c>
      <c r="AF2699" s="167" t="s">
        <v>3470</v>
      </c>
    </row>
    <row r="2700" spans="28:32" x14ac:dyDescent="0.25">
      <c r="AB2700" s="167" t="s">
        <v>2352</v>
      </c>
      <c r="AC2700" s="167">
        <v>347</v>
      </c>
      <c r="AD2700" s="203">
        <v>43118</v>
      </c>
      <c r="AE2700" s="203">
        <v>43133</v>
      </c>
      <c r="AF2700" s="167" t="s">
        <v>3470</v>
      </c>
    </row>
    <row r="2701" spans="28:32" x14ac:dyDescent="0.25">
      <c r="AB2701" s="167" t="s">
        <v>2352</v>
      </c>
      <c r="AC2701" s="167">
        <v>340</v>
      </c>
      <c r="AD2701" s="203">
        <v>43133</v>
      </c>
      <c r="AE2701" s="203">
        <v>43168</v>
      </c>
      <c r="AF2701" s="167" t="s">
        <v>3470</v>
      </c>
    </row>
    <row r="2702" spans="28:32" x14ac:dyDescent="0.25">
      <c r="AB2702" s="167" t="s">
        <v>2352</v>
      </c>
      <c r="AC2702" s="167">
        <v>357</v>
      </c>
      <c r="AD2702" s="203">
        <v>43139</v>
      </c>
      <c r="AE2702" s="203">
        <v>43164</v>
      </c>
      <c r="AF2702" s="167" t="s">
        <v>3470</v>
      </c>
    </row>
    <row r="2703" spans="28:32" x14ac:dyDescent="0.25">
      <c r="AB2703" s="167" t="s">
        <v>2352</v>
      </c>
      <c r="AC2703" s="167">
        <v>364</v>
      </c>
      <c r="AD2703" s="203">
        <v>43168</v>
      </c>
      <c r="AE2703" s="203">
        <v>43179</v>
      </c>
      <c r="AF2703" s="167" t="s">
        <v>3470</v>
      </c>
    </row>
    <row r="2704" spans="28:32" x14ac:dyDescent="0.25">
      <c r="AB2704" s="167" t="s">
        <v>2352</v>
      </c>
      <c r="AC2704" s="167">
        <v>353</v>
      </c>
      <c r="AD2704" s="203">
        <v>43180</v>
      </c>
      <c r="AE2704" s="203">
        <v>0</v>
      </c>
      <c r="AF2704" s="167" t="s">
        <v>3469</v>
      </c>
    </row>
    <row r="2705" spans="28:32" x14ac:dyDescent="0.25">
      <c r="AB2705" s="167" t="s">
        <v>2352</v>
      </c>
      <c r="AC2705" s="167">
        <v>353</v>
      </c>
      <c r="AD2705" s="203">
        <v>43180</v>
      </c>
      <c r="AE2705" s="203">
        <v>0</v>
      </c>
      <c r="AF2705" s="167" t="s">
        <v>3469</v>
      </c>
    </row>
    <row r="2706" spans="28:32" x14ac:dyDescent="0.25">
      <c r="AB2706" s="167" t="s">
        <v>2353</v>
      </c>
      <c r="AC2706" s="167">
        <v>340</v>
      </c>
      <c r="AD2706" s="203">
        <v>43133</v>
      </c>
      <c r="AE2706" s="203">
        <v>43168</v>
      </c>
      <c r="AF2706" s="167" t="s">
        <v>3470</v>
      </c>
    </row>
    <row r="2707" spans="28:32" x14ac:dyDescent="0.25">
      <c r="AB2707" s="167" t="s">
        <v>2355</v>
      </c>
      <c r="AC2707" s="167">
        <v>327</v>
      </c>
      <c r="AD2707" s="203">
        <v>43074</v>
      </c>
      <c r="AE2707" s="203">
        <v>43131</v>
      </c>
      <c r="AF2707" s="167" t="s">
        <v>3470</v>
      </c>
    </row>
    <row r="2708" spans="28:32" x14ac:dyDescent="0.25">
      <c r="AB2708" s="167" t="s">
        <v>2355</v>
      </c>
      <c r="AC2708" s="167">
        <v>347</v>
      </c>
      <c r="AD2708" s="203">
        <v>43118</v>
      </c>
      <c r="AE2708" s="203">
        <v>43133</v>
      </c>
      <c r="AF2708" s="167" t="s">
        <v>3470</v>
      </c>
    </row>
    <row r="2709" spans="28:32" x14ac:dyDescent="0.25">
      <c r="AB2709" s="167" t="s">
        <v>2355</v>
      </c>
      <c r="AC2709" s="167">
        <v>340</v>
      </c>
      <c r="AD2709" s="203">
        <v>43133</v>
      </c>
      <c r="AE2709" s="203">
        <v>43168</v>
      </c>
      <c r="AF2709" s="167" t="s">
        <v>3470</v>
      </c>
    </row>
    <row r="2710" spans="28:32" x14ac:dyDescent="0.25">
      <c r="AB2710" s="167" t="s">
        <v>2355</v>
      </c>
      <c r="AC2710" s="167">
        <v>364</v>
      </c>
      <c r="AD2710" s="203">
        <v>43168</v>
      </c>
      <c r="AE2710" s="203">
        <v>43179</v>
      </c>
      <c r="AF2710" s="167" t="s">
        <v>3470</v>
      </c>
    </row>
    <row r="2711" spans="28:32" x14ac:dyDescent="0.25">
      <c r="AB2711" s="167" t="s">
        <v>2355</v>
      </c>
      <c r="AC2711" s="167">
        <v>353</v>
      </c>
      <c r="AD2711" s="203">
        <v>43180</v>
      </c>
      <c r="AE2711" s="203">
        <v>0</v>
      </c>
      <c r="AF2711" s="167" t="s">
        <v>3469</v>
      </c>
    </row>
    <row r="2712" spans="28:32" x14ac:dyDescent="0.25">
      <c r="AB2712" s="167" t="s">
        <v>2357</v>
      </c>
      <c r="AC2712" s="167">
        <v>364</v>
      </c>
      <c r="AD2712" s="203">
        <v>43168</v>
      </c>
      <c r="AE2712" s="203">
        <v>43179</v>
      </c>
      <c r="AF2712" s="167" t="s">
        <v>3470</v>
      </c>
    </row>
    <row r="2713" spans="28:32" x14ac:dyDescent="0.25">
      <c r="AB2713" s="167" t="s">
        <v>2357</v>
      </c>
      <c r="AC2713" s="167">
        <v>353</v>
      </c>
      <c r="AD2713" s="203">
        <v>43180</v>
      </c>
      <c r="AE2713" s="203">
        <v>0</v>
      </c>
      <c r="AF2713" s="167" t="s">
        <v>3469</v>
      </c>
    </row>
    <row r="2714" spans="28:32" x14ac:dyDescent="0.25">
      <c r="AB2714" s="167" t="s">
        <v>2358</v>
      </c>
      <c r="AC2714" s="167">
        <v>323</v>
      </c>
      <c r="AD2714" s="203">
        <v>43074</v>
      </c>
      <c r="AE2714" s="203">
        <v>43111</v>
      </c>
      <c r="AF2714" s="167" t="s">
        <v>3470</v>
      </c>
    </row>
    <row r="2715" spans="28:32" x14ac:dyDescent="0.25">
      <c r="AB2715" s="167" t="s">
        <v>2358</v>
      </c>
      <c r="AC2715" s="167">
        <v>327</v>
      </c>
      <c r="AD2715" s="203">
        <v>43074</v>
      </c>
      <c r="AE2715" s="203">
        <v>43131</v>
      </c>
      <c r="AF2715" s="167" t="s">
        <v>3470</v>
      </c>
    </row>
    <row r="2716" spans="28:32" x14ac:dyDescent="0.25">
      <c r="AB2716" s="167" t="s">
        <v>2359</v>
      </c>
      <c r="AC2716" s="167">
        <v>347</v>
      </c>
      <c r="AD2716" s="203">
        <v>43118</v>
      </c>
      <c r="AE2716" s="203">
        <v>43133</v>
      </c>
      <c r="AF2716" s="167" t="s">
        <v>3470</v>
      </c>
    </row>
    <row r="2717" spans="28:32" x14ac:dyDescent="0.25">
      <c r="AB2717" s="167" t="s">
        <v>2359</v>
      </c>
      <c r="AC2717" s="167">
        <v>340</v>
      </c>
      <c r="AD2717" s="203">
        <v>43133</v>
      </c>
      <c r="AE2717" s="203">
        <v>43168</v>
      </c>
      <c r="AF2717" s="167" t="s">
        <v>3470</v>
      </c>
    </row>
    <row r="2718" spans="28:32" x14ac:dyDescent="0.25">
      <c r="AB2718" s="167" t="s">
        <v>2359</v>
      </c>
      <c r="AC2718" s="167">
        <v>364</v>
      </c>
      <c r="AD2718" s="203">
        <v>43168</v>
      </c>
      <c r="AE2718" s="203">
        <v>43179</v>
      </c>
      <c r="AF2718" s="167" t="s">
        <v>3470</v>
      </c>
    </row>
    <row r="2719" spans="28:32" x14ac:dyDescent="0.25">
      <c r="AB2719" s="167" t="s">
        <v>2359</v>
      </c>
      <c r="AC2719" s="167">
        <v>353</v>
      </c>
      <c r="AD2719" s="203">
        <v>43180</v>
      </c>
      <c r="AE2719" s="203">
        <v>0</v>
      </c>
      <c r="AF2719" s="167" t="s">
        <v>3469</v>
      </c>
    </row>
    <row r="2720" spans="28:32" x14ac:dyDescent="0.25">
      <c r="AB2720" s="167" t="s">
        <v>2360</v>
      </c>
      <c r="AC2720" s="167">
        <v>327</v>
      </c>
      <c r="AD2720" s="203">
        <v>43074</v>
      </c>
      <c r="AE2720" s="203">
        <v>43131</v>
      </c>
      <c r="AF2720" s="167" t="s">
        <v>3470</v>
      </c>
    </row>
    <row r="2721" spans="28:32" x14ac:dyDescent="0.25">
      <c r="AB2721" s="167" t="s">
        <v>2360</v>
      </c>
      <c r="AC2721" s="167">
        <v>340</v>
      </c>
      <c r="AD2721" s="203">
        <v>43133</v>
      </c>
      <c r="AE2721" s="203">
        <v>43168</v>
      </c>
      <c r="AF2721" s="167" t="s">
        <v>3470</v>
      </c>
    </row>
    <row r="2722" spans="28:32" x14ac:dyDescent="0.25">
      <c r="AB2722" s="167" t="s">
        <v>2362</v>
      </c>
      <c r="AC2722" s="167">
        <v>327</v>
      </c>
      <c r="AD2722" s="203">
        <v>43074</v>
      </c>
      <c r="AE2722" s="203">
        <v>43131</v>
      </c>
      <c r="AF2722" s="167" t="s">
        <v>3470</v>
      </c>
    </row>
    <row r="2723" spans="28:32" x14ac:dyDescent="0.25">
      <c r="AB2723" s="167" t="s">
        <v>2362</v>
      </c>
      <c r="AC2723" s="167">
        <v>327</v>
      </c>
      <c r="AD2723" s="203">
        <v>43074</v>
      </c>
      <c r="AE2723" s="203">
        <v>43131</v>
      </c>
      <c r="AF2723" s="167" t="s">
        <v>3470</v>
      </c>
    </row>
    <row r="2724" spans="28:32" x14ac:dyDescent="0.25">
      <c r="AB2724" s="167" t="s">
        <v>2362</v>
      </c>
      <c r="AC2724" s="167">
        <v>364</v>
      </c>
      <c r="AD2724" s="203">
        <v>43168</v>
      </c>
      <c r="AE2724" s="203">
        <v>43179</v>
      </c>
      <c r="AF2724" s="167" t="s">
        <v>3470</v>
      </c>
    </row>
    <row r="2725" spans="28:32" x14ac:dyDescent="0.25">
      <c r="AB2725" s="167" t="s">
        <v>2362</v>
      </c>
      <c r="AC2725" s="167">
        <v>353</v>
      </c>
      <c r="AD2725" s="203">
        <v>43180</v>
      </c>
      <c r="AE2725" s="203">
        <v>0</v>
      </c>
      <c r="AF2725" s="167" t="s">
        <v>3469</v>
      </c>
    </row>
    <row r="2726" spans="28:32" x14ac:dyDescent="0.25">
      <c r="AB2726" s="167" t="s">
        <v>3487</v>
      </c>
      <c r="AC2726" s="167">
        <v>323</v>
      </c>
      <c r="AD2726" s="203">
        <v>43074</v>
      </c>
      <c r="AE2726" s="203">
        <v>43111</v>
      </c>
      <c r="AF2726" s="167" t="s">
        <v>3470</v>
      </c>
    </row>
    <row r="2727" spans="28:32" x14ac:dyDescent="0.25">
      <c r="AB2727" s="167" t="s">
        <v>2363</v>
      </c>
      <c r="AC2727" s="167">
        <v>347</v>
      </c>
      <c r="AD2727" s="203">
        <v>43118</v>
      </c>
      <c r="AE2727" s="203">
        <v>43133</v>
      </c>
      <c r="AF2727" s="167" t="s">
        <v>3470</v>
      </c>
    </row>
    <row r="2728" spans="28:32" x14ac:dyDescent="0.25">
      <c r="AB2728" s="167" t="s">
        <v>2363</v>
      </c>
      <c r="AC2728" s="167">
        <v>340</v>
      </c>
      <c r="AD2728" s="203">
        <v>43133</v>
      </c>
      <c r="AE2728" s="203">
        <v>43168</v>
      </c>
      <c r="AF2728" s="167" t="s">
        <v>3470</v>
      </c>
    </row>
    <row r="2729" spans="28:32" x14ac:dyDescent="0.25">
      <c r="AB2729" s="167" t="s">
        <v>3488</v>
      </c>
      <c r="AC2729" s="167">
        <v>323</v>
      </c>
      <c r="AD2729" s="203">
        <v>43074</v>
      </c>
      <c r="AE2729" s="203">
        <v>43111</v>
      </c>
      <c r="AF2729" s="167" t="s">
        <v>3470</v>
      </c>
    </row>
    <row r="2730" spans="28:32" x14ac:dyDescent="0.25">
      <c r="AB2730" s="167" t="s">
        <v>2365</v>
      </c>
      <c r="AC2730" s="167">
        <v>323</v>
      </c>
      <c r="AD2730" s="203">
        <v>43074</v>
      </c>
      <c r="AE2730" s="203">
        <v>43111</v>
      </c>
      <c r="AF2730" s="167" t="s">
        <v>3470</v>
      </c>
    </row>
    <row r="2731" spans="28:32" x14ac:dyDescent="0.25">
      <c r="AB2731" s="167" t="s">
        <v>2365</v>
      </c>
      <c r="AC2731" s="167">
        <v>323</v>
      </c>
      <c r="AD2731" s="203">
        <v>43074</v>
      </c>
      <c r="AE2731" s="203">
        <v>43111</v>
      </c>
      <c r="AF2731" s="167" t="s">
        <v>3470</v>
      </c>
    </row>
    <row r="2732" spans="28:32" x14ac:dyDescent="0.25">
      <c r="AB2732" s="167" t="s">
        <v>2365</v>
      </c>
      <c r="AC2732" s="167">
        <v>340</v>
      </c>
      <c r="AD2732" s="203">
        <v>43133</v>
      </c>
      <c r="AE2732" s="203">
        <v>43168</v>
      </c>
      <c r="AF2732" s="167" t="s">
        <v>3470</v>
      </c>
    </row>
    <row r="2733" spans="28:32" x14ac:dyDescent="0.25">
      <c r="AB2733" s="167" t="s">
        <v>2365</v>
      </c>
      <c r="AC2733" s="167">
        <v>357</v>
      </c>
      <c r="AD2733" s="203">
        <v>43139</v>
      </c>
      <c r="AE2733" s="203">
        <v>43164</v>
      </c>
      <c r="AF2733" s="167" t="s">
        <v>3470</v>
      </c>
    </row>
    <row r="2734" spans="28:32" x14ac:dyDescent="0.25">
      <c r="AB2734" s="167" t="s">
        <v>2365</v>
      </c>
      <c r="AC2734" s="167">
        <v>353</v>
      </c>
      <c r="AD2734" s="203">
        <v>43180</v>
      </c>
      <c r="AE2734" s="203">
        <v>0</v>
      </c>
      <c r="AF2734" s="167" t="s">
        <v>3469</v>
      </c>
    </row>
    <row r="2735" spans="28:32" x14ac:dyDescent="0.25">
      <c r="AB2735" s="167" t="s">
        <v>2365</v>
      </c>
      <c r="AC2735" s="167">
        <v>353</v>
      </c>
      <c r="AD2735" s="203">
        <v>43180</v>
      </c>
      <c r="AE2735" s="203">
        <v>0</v>
      </c>
      <c r="AF2735" s="167" t="s">
        <v>3469</v>
      </c>
    </row>
    <row r="2736" spans="28:32" x14ac:dyDescent="0.25">
      <c r="AB2736" s="167" t="s">
        <v>2367</v>
      </c>
      <c r="AC2736" s="167">
        <v>347</v>
      </c>
      <c r="AD2736" s="203">
        <v>43118</v>
      </c>
      <c r="AE2736" s="203">
        <v>43133</v>
      </c>
      <c r="AF2736" s="167" t="s">
        <v>3470</v>
      </c>
    </row>
    <row r="2737" spans="28:32" x14ac:dyDescent="0.25">
      <c r="AB2737" s="167" t="s">
        <v>2367</v>
      </c>
      <c r="AC2737" s="167">
        <v>340</v>
      </c>
      <c r="AD2737" s="203">
        <v>43133</v>
      </c>
      <c r="AE2737" s="203">
        <v>43168</v>
      </c>
      <c r="AF2737" s="167" t="s">
        <v>3470</v>
      </c>
    </row>
    <row r="2738" spans="28:32" x14ac:dyDescent="0.25">
      <c r="AB2738" s="167" t="s">
        <v>2367</v>
      </c>
      <c r="AC2738" s="167">
        <v>357</v>
      </c>
      <c r="AD2738" s="203">
        <v>43139</v>
      </c>
      <c r="AE2738" s="203">
        <v>43164</v>
      </c>
      <c r="AF2738" s="167" t="s">
        <v>3470</v>
      </c>
    </row>
    <row r="2739" spans="28:32" x14ac:dyDescent="0.25">
      <c r="AB2739" s="167" t="s">
        <v>2367</v>
      </c>
      <c r="AC2739" s="167">
        <v>353</v>
      </c>
      <c r="AD2739" s="203">
        <v>43180</v>
      </c>
      <c r="AE2739" s="203">
        <v>0</v>
      </c>
      <c r="AF2739" s="167" t="s">
        <v>3469</v>
      </c>
    </row>
    <row r="2740" spans="28:32" x14ac:dyDescent="0.25">
      <c r="AB2740" s="167" t="s">
        <v>2368</v>
      </c>
      <c r="AC2740" s="167">
        <v>327</v>
      </c>
      <c r="AD2740" s="203">
        <v>43074</v>
      </c>
      <c r="AE2740" s="203">
        <v>43131</v>
      </c>
      <c r="AF2740" s="167" t="s">
        <v>3470</v>
      </c>
    </row>
    <row r="2741" spans="28:32" x14ac:dyDescent="0.25">
      <c r="AB2741" s="167" t="s">
        <v>2368</v>
      </c>
      <c r="AC2741" s="167">
        <v>327</v>
      </c>
      <c r="AD2741" s="203">
        <v>43074</v>
      </c>
      <c r="AE2741" s="203">
        <v>43131</v>
      </c>
      <c r="AF2741" s="167" t="s">
        <v>3470</v>
      </c>
    </row>
    <row r="2742" spans="28:32" x14ac:dyDescent="0.25">
      <c r="AB2742" s="167" t="s">
        <v>2368</v>
      </c>
      <c r="AC2742" s="167">
        <v>327</v>
      </c>
      <c r="AD2742" s="203">
        <v>43074</v>
      </c>
      <c r="AE2742" s="203">
        <v>43131</v>
      </c>
      <c r="AF2742" s="167" t="s">
        <v>3470</v>
      </c>
    </row>
    <row r="2743" spans="28:32" x14ac:dyDescent="0.25">
      <c r="AB2743" s="167" t="s">
        <v>2368</v>
      </c>
      <c r="AC2743" s="167">
        <v>347</v>
      </c>
      <c r="AD2743" s="203">
        <v>43118</v>
      </c>
      <c r="AE2743" s="203">
        <v>43133</v>
      </c>
      <c r="AF2743" s="167" t="s">
        <v>3470</v>
      </c>
    </row>
    <row r="2744" spans="28:32" x14ac:dyDescent="0.25">
      <c r="AB2744" s="167" t="s">
        <v>2368</v>
      </c>
      <c r="AC2744" s="167">
        <v>340</v>
      </c>
      <c r="AD2744" s="203">
        <v>43133</v>
      </c>
      <c r="AE2744" s="203">
        <v>43168</v>
      </c>
      <c r="AF2744" s="167" t="s">
        <v>3470</v>
      </c>
    </row>
    <row r="2745" spans="28:32" x14ac:dyDescent="0.25">
      <c r="AB2745" s="167" t="s">
        <v>2368</v>
      </c>
      <c r="AC2745" s="167">
        <v>364</v>
      </c>
      <c r="AD2745" s="203">
        <v>43168</v>
      </c>
      <c r="AE2745" s="203">
        <v>43179</v>
      </c>
      <c r="AF2745" s="167" t="s">
        <v>3470</v>
      </c>
    </row>
    <row r="2746" spans="28:32" x14ac:dyDescent="0.25">
      <c r="AB2746" s="167" t="s">
        <v>2370</v>
      </c>
      <c r="AC2746" s="167">
        <v>323</v>
      </c>
      <c r="AD2746" s="203">
        <v>43074</v>
      </c>
      <c r="AE2746" s="203">
        <v>43111</v>
      </c>
      <c r="AF2746" s="167" t="s">
        <v>3470</v>
      </c>
    </row>
    <row r="2747" spans="28:32" x14ac:dyDescent="0.25">
      <c r="AB2747" s="167" t="s">
        <v>2370</v>
      </c>
      <c r="AC2747" s="167">
        <v>340</v>
      </c>
      <c r="AD2747" s="203">
        <v>43133</v>
      </c>
      <c r="AE2747" s="203">
        <v>43168</v>
      </c>
      <c r="AF2747" s="167" t="s">
        <v>3470</v>
      </c>
    </row>
    <row r="2748" spans="28:32" x14ac:dyDescent="0.25">
      <c r="AB2748" s="167" t="s">
        <v>2370</v>
      </c>
      <c r="AC2748" s="167">
        <v>357</v>
      </c>
      <c r="AD2748" s="203">
        <v>43139</v>
      </c>
      <c r="AE2748" s="203">
        <v>43164</v>
      </c>
      <c r="AF2748" s="167" t="s">
        <v>3470</v>
      </c>
    </row>
    <row r="2749" spans="28:32" x14ac:dyDescent="0.25">
      <c r="AB2749" s="167" t="s">
        <v>2370</v>
      </c>
      <c r="AC2749" s="167">
        <v>353</v>
      </c>
      <c r="AD2749" s="203">
        <v>43180</v>
      </c>
      <c r="AE2749" s="203">
        <v>0</v>
      </c>
      <c r="AF2749" s="167" t="s">
        <v>3469</v>
      </c>
    </row>
    <row r="2750" spans="28:32" x14ac:dyDescent="0.25">
      <c r="AB2750" s="167" t="s">
        <v>2370</v>
      </c>
      <c r="AC2750" s="167">
        <v>353</v>
      </c>
      <c r="AD2750" s="203">
        <v>43180</v>
      </c>
      <c r="AE2750" s="203">
        <v>0</v>
      </c>
      <c r="AF2750" s="167" t="s">
        <v>3469</v>
      </c>
    </row>
    <row r="2751" spans="28:32" x14ac:dyDescent="0.25">
      <c r="AB2751" s="167" t="s">
        <v>2370</v>
      </c>
      <c r="AC2751" s="167">
        <v>353</v>
      </c>
      <c r="AD2751" s="203">
        <v>43180</v>
      </c>
      <c r="AE2751" s="203">
        <v>0</v>
      </c>
      <c r="AF2751" s="167" t="s">
        <v>3469</v>
      </c>
    </row>
    <row r="2752" spans="28:32" x14ac:dyDescent="0.25">
      <c r="AB2752" s="167" t="s">
        <v>2370</v>
      </c>
      <c r="AC2752" s="167">
        <v>353</v>
      </c>
      <c r="AD2752" s="203">
        <v>43180</v>
      </c>
      <c r="AE2752" s="203">
        <v>0</v>
      </c>
      <c r="AF2752" s="167" t="s">
        <v>3469</v>
      </c>
    </row>
    <row r="2753" spans="28:32" x14ac:dyDescent="0.25">
      <c r="AB2753" s="167" t="s">
        <v>2372</v>
      </c>
      <c r="AC2753" s="167">
        <v>323</v>
      </c>
      <c r="AD2753" s="203">
        <v>43074</v>
      </c>
      <c r="AE2753" s="203">
        <v>43111</v>
      </c>
      <c r="AF2753" s="167" t="s">
        <v>3470</v>
      </c>
    </row>
    <row r="2754" spans="28:32" x14ac:dyDescent="0.25">
      <c r="AB2754" s="167" t="s">
        <v>2372</v>
      </c>
      <c r="AC2754" s="167">
        <v>347</v>
      </c>
      <c r="AD2754" s="203">
        <v>43118</v>
      </c>
      <c r="AE2754" s="203">
        <v>43133</v>
      </c>
      <c r="AF2754" s="167" t="s">
        <v>3470</v>
      </c>
    </row>
    <row r="2755" spans="28:32" x14ac:dyDescent="0.25">
      <c r="AB2755" s="167" t="s">
        <v>2372</v>
      </c>
      <c r="AC2755" s="167">
        <v>340</v>
      </c>
      <c r="AD2755" s="203">
        <v>43133</v>
      </c>
      <c r="AE2755" s="203">
        <v>43168</v>
      </c>
      <c r="AF2755" s="167" t="s">
        <v>3470</v>
      </c>
    </row>
    <row r="2756" spans="28:32" x14ac:dyDescent="0.25">
      <c r="AB2756" s="167" t="s">
        <v>2372</v>
      </c>
      <c r="AC2756" s="167">
        <v>357</v>
      </c>
      <c r="AD2756" s="203">
        <v>43139</v>
      </c>
      <c r="AE2756" s="203">
        <v>43164</v>
      </c>
      <c r="AF2756" s="167" t="s">
        <v>3470</v>
      </c>
    </row>
    <row r="2757" spans="28:32" x14ac:dyDescent="0.25">
      <c r="AB2757" s="167" t="s">
        <v>2372</v>
      </c>
      <c r="AC2757" s="167">
        <v>353</v>
      </c>
      <c r="AD2757" s="203">
        <v>43180</v>
      </c>
      <c r="AE2757" s="203">
        <v>0</v>
      </c>
      <c r="AF2757" s="167" t="s">
        <v>3469</v>
      </c>
    </row>
    <row r="2758" spans="28:32" x14ac:dyDescent="0.25">
      <c r="AB2758" s="167" t="s">
        <v>2372</v>
      </c>
      <c r="AC2758" s="167">
        <v>353</v>
      </c>
      <c r="AD2758" s="203">
        <v>43180</v>
      </c>
      <c r="AE2758" s="203">
        <v>0</v>
      </c>
      <c r="AF2758" s="167" t="s">
        <v>3469</v>
      </c>
    </row>
    <row r="2759" spans="28:32" x14ac:dyDescent="0.25">
      <c r="AB2759" s="167" t="s">
        <v>2372</v>
      </c>
      <c r="AC2759" s="167">
        <v>353</v>
      </c>
      <c r="AD2759" s="203">
        <v>43180</v>
      </c>
      <c r="AE2759" s="203">
        <v>0</v>
      </c>
      <c r="AF2759" s="167" t="s">
        <v>3469</v>
      </c>
    </row>
    <row r="2760" spans="28:32" x14ac:dyDescent="0.25">
      <c r="AB2760" s="167" t="s">
        <v>2374</v>
      </c>
      <c r="AC2760" s="167">
        <v>323</v>
      </c>
      <c r="AD2760" s="203">
        <v>43074</v>
      </c>
      <c r="AE2760" s="203">
        <v>43111</v>
      </c>
      <c r="AF2760" s="167" t="s">
        <v>3470</v>
      </c>
    </row>
    <row r="2761" spans="28:32" x14ac:dyDescent="0.25">
      <c r="AB2761" s="167" t="s">
        <v>2374</v>
      </c>
      <c r="AC2761" s="167">
        <v>340</v>
      </c>
      <c r="AD2761" s="203">
        <v>43133</v>
      </c>
      <c r="AE2761" s="203">
        <v>43168</v>
      </c>
      <c r="AF2761" s="167" t="s">
        <v>3470</v>
      </c>
    </row>
    <row r="2762" spans="28:32" x14ac:dyDescent="0.25">
      <c r="AB2762" s="167" t="s">
        <v>2374</v>
      </c>
      <c r="AC2762" s="167">
        <v>374</v>
      </c>
      <c r="AD2762" s="203">
        <v>43195</v>
      </c>
      <c r="AE2762" s="203">
        <v>0</v>
      </c>
      <c r="AF2762" s="167" t="s">
        <v>3469</v>
      </c>
    </row>
    <row r="2763" spans="28:32" x14ac:dyDescent="0.25">
      <c r="AB2763" s="167" t="s">
        <v>2376</v>
      </c>
      <c r="AC2763" s="167">
        <v>323</v>
      </c>
      <c r="AD2763" s="203">
        <v>43074</v>
      </c>
      <c r="AE2763" s="203">
        <v>43111</v>
      </c>
      <c r="AF2763" s="167" t="s">
        <v>3470</v>
      </c>
    </row>
    <row r="2764" spans="28:32" x14ac:dyDescent="0.25">
      <c r="AB2764" s="167" t="s">
        <v>2376</v>
      </c>
      <c r="AC2764" s="167">
        <v>347</v>
      </c>
      <c r="AD2764" s="203">
        <v>43118</v>
      </c>
      <c r="AE2764" s="203">
        <v>43133</v>
      </c>
      <c r="AF2764" s="167" t="s">
        <v>3470</v>
      </c>
    </row>
    <row r="2765" spans="28:32" x14ac:dyDescent="0.25">
      <c r="AB2765" s="167" t="s">
        <v>2376</v>
      </c>
      <c r="AC2765" s="167">
        <v>340</v>
      </c>
      <c r="AD2765" s="203">
        <v>43133</v>
      </c>
      <c r="AE2765" s="203">
        <v>43168</v>
      </c>
      <c r="AF2765" s="167" t="s">
        <v>3470</v>
      </c>
    </row>
    <row r="2766" spans="28:32" x14ac:dyDescent="0.25">
      <c r="AB2766" s="167" t="s">
        <v>2376</v>
      </c>
      <c r="AC2766" s="167">
        <v>353</v>
      </c>
      <c r="AD2766" s="203">
        <v>43180</v>
      </c>
      <c r="AE2766" s="203">
        <v>0</v>
      </c>
      <c r="AF2766" s="167" t="s">
        <v>3469</v>
      </c>
    </row>
    <row r="2767" spans="28:32" x14ac:dyDescent="0.25">
      <c r="AB2767" s="167" t="s">
        <v>2377</v>
      </c>
      <c r="AC2767" s="167">
        <v>357</v>
      </c>
      <c r="AD2767" s="203">
        <v>43139</v>
      </c>
      <c r="AE2767" s="203">
        <v>43164</v>
      </c>
      <c r="AF2767" s="167" t="s">
        <v>3470</v>
      </c>
    </row>
    <row r="2768" spans="28:32" x14ac:dyDescent="0.25">
      <c r="AB2768" s="167" t="s">
        <v>2379</v>
      </c>
      <c r="AC2768" s="167">
        <v>323</v>
      </c>
      <c r="AD2768" s="203">
        <v>43074</v>
      </c>
      <c r="AE2768" s="203">
        <v>43111</v>
      </c>
      <c r="AF2768" s="167" t="s">
        <v>3470</v>
      </c>
    </row>
    <row r="2769" spans="28:32" x14ac:dyDescent="0.25">
      <c r="AB2769" s="167" t="s">
        <v>2379</v>
      </c>
      <c r="AC2769" s="167">
        <v>323</v>
      </c>
      <c r="AD2769" s="203">
        <v>43074</v>
      </c>
      <c r="AE2769" s="203">
        <v>43111</v>
      </c>
      <c r="AF2769" s="167" t="s">
        <v>3470</v>
      </c>
    </row>
    <row r="2770" spans="28:32" x14ac:dyDescent="0.25">
      <c r="AB2770" s="167" t="s">
        <v>2379</v>
      </c>
      <c r="AC2770" s="167">
        <v>340</v>
      </c>
      <c r="AD2770" s="203">
        <v>43133</v>
      </c>
      <c r="AE2770" s="203">
        <v>43168</v>
      </c>
      <c r="AF2770" s="167" t="s">
        <v>3470</v>
      </c>
    </row>
    <row r="2771" spans="28:32" x14ac:dyDescent="0.25">
      <c r="AB2771" s="167" t="s">
        <v>2379</v>
      </c>
      <c r="AC2771" s="167">
        <v>357</v>
      </c>
      <c r="AD2771" s="203">
        <v>43139</v>
      </c>
      <c r="AE2771" s="203">
        <v>43164</v>
      </c>
      <c r="AF2771" s="167" t="s">
        <v>3470</v>
      </c>
    </row>
    <row r="2772" spans="28:32" x14ac:dyDescent="0.25">
      <c r="AB2772" s="167" t="s">
        <v>2379</v>
      </c>
      <c r="AC2772" s="167">
        <v>364</v>
      </c>
      <c r="AD2772" s="203">
        <v>43168</v>
      </c>
      <c r="AE2772" s="203">
        <v>43179</v>
      </c>
      <c r="AF2772" s="167" t="s">
        <v>3470</v>
      </c>
    </row>
    <row r="2773" spans="28:32" x14ac:dyDescent="0.25">
      <c r="AB2773" s="167" t="s">
        <v>2379</v>
      </c>
      <c r="AC2773" s="167">
        <v>353</v>
      </c>
      <c r="AD2773" s="203">
        <v>43180</v>
      </c>
      <c r="AE2773" s="203">
        <v>0</v>
      </c>
      <c r="AF2773" s="167" t="s">
        <v>3469</v>
      </c>
    </row>
    <row r="2774" spans="28:32" x14ac:dyDescent="0.25">
      <c r="AB2774" s="167" t="s">
        <v>2379</v>
      </c>
      <c r="AC2774" s="167">
        <v>353</v>
      </c>
      <c r="AD2774" s="203">
        <v>43180</v>
      </c>
      <c r="AE2774" s="203">
        <v>0</v>
      </c>
      <c r="AF2774" s="167" t="s">
        <v>3469</v>
      </c>
    </row>
    <row r="2775" spans="28:32" x14ac:dyDescent="0.25">
      <c r="AB2775" s="167" t="s">
        <v>2380</v>
      </c>
      <c r="AC2775" s="167">
        <v>340</v>
      </c>
      <c r="AD2775" s="203">
        <v>43133</v>
      </c>
      <c r="AE2775" s="203">
        <v>43168</v>
      </c>
      <c r="AF2775" s="167" t="s">
        <v>3470</v>
      </c>
    </row>
    <row r="2776" spans="28:32" x14ac:dyDescent="0.25">
      <c r="AB2776" s="167" t="s">
        <v>2380</v>
      </c>
      <c r="AC2776" s="167">
        <v>364</v>
      </c>
      <c r="AD2776" s="203">
        <v>43168</v>
      </c>
      <c r="AE2776" s="203">
        <v>43179</v>
      </c>
      <c r="AF2776" s="167" t="s">
        <v>3470</v>
      </c>
    </row>
    <row r="2777" spans="28:32" x14ac:dyDescent="0.25">
      <c r="AB2777" s="167" t="s">
        <v>2382</v>
      </c>
      <c r="AC2777" s="167">
        <v>347</v>
      </c>
      <c r="AD2777" s="203">
        <v>43118</v>
      </c>
      <c r="AE2777" s="203">
        <v>43133</v>
      </c>
      <c r="AF2777" s="167" t="s">
        <v>3470</v>
      </c>
    </row>
    <row r="2778" spans="28:32" x14ac:dyDescent="0.25">
      <c r="AB2778" s="167" t="s">
        <v>2382</v>
      </c>
      <c r="AC2778" s="167">
        <v>340</v>
      </c>
      <c r="AD2778" s="203">
        <v>43133</v>
      </c>
      <c r="AE2778" s="203">
        <v>43168</v>
      </c>
      <c r="AF2778" s="167" t="s">
        <v>3470</v>
      </c>
    </row>
    <row r="2779" spans="28:32" x14ac:dyDescent="0.25">
      <c r="AB2779" s="167" t="s">
        <v>2382</v>
      </c>
      <c r="AC2779" s="167">
        <v>340</v>
      </c>
      <c r="AD2779" s="203">
        <v>43133</v>
      </c>
      <c r="AE2779" s="203">
        <v>43168</v>
      </c>
      <c r="AF2779" s="167" t="s">
        <v>3470</v>
      </c>
    </row>
    <row r="2780" spans="28:32" x14ac:dyDescent="0.25">
      <c r="AB2780" s="167" t="s">
        <v>2382</v>
      </c>
      <c r="AC2780" s="167">
        <v>357</v>
      </c>
      <c r="AD2780" s="203">
        <v>43139</v>
      </c>
      <c r="AE2780" s="203">
        <v>43164</v>
      </c>
      <c r="AF2780" s="167" t="s">
        <v>3470</v>
      </c>
    </row>
    <row r="2781" spans="28:32" x14ac:dyDescent="0.25">
      <c r="AB2781" s="167" t="s">
        <v>2382</v>
      </c>
      <c r="AC2781" s="167">
        <v>353</v>
      </c>
      <c r="AD2781" s="203">
        <v>43180</v>
      </c>
      <c r="AE2781" s="203">
        <v>0</v>
      </c>
      <c r="AF2781" s="167" t="s">
        <v>3469</v>
      </c>
    </row>
    <row r="2782" spans="28:32" x14ac:dyDescent="0.25">
      <c r="AB2782" s="167" t="s">
        <v>2383</v>
      </c>
      <c r="AC2782" s="167">
        <v>340</v>
      </c>
      <c r="AD2782" s="203">
        <v>43133</v>
      </c>
      <c r="AE2782" s="203">
        <v>43168</v>
      </c>
      <c r="AF2782" s="167" t="s">
        <v>3470</v>
      </c>
    </row>
    <row r="2783" spans="28:32" x14ac:dyDescent="0.25">
      <c r="AB2783" s="167" t="s">
        <v>3489</v>
      </c>
      <c r="AC2783" s="167">
        <v>340</v>
      </c>
      <c r="AD2783" s="203">
        <v>43133</v>
      </c>
      <c r="AE2783" s="203">
        <v>43168</v>
      </c>
      <c r="AF2783" s="167" t="s">
        <v>3470</v>
      </c>
    </row>
    <row r="2784" spans="28:32" x14ac:dyDescent="0.25">
      <c r="AB2784" s="167" t="s">
        <v>2384</v>
      </c>
      <c r="AC2784" s="167">
        <v>327</v>
      </c>
      <c r="AD2784" s="203">
        <v>43074</v>
      </c>
      <c r="AE2784" s="203">
        <v>43131</v>
      </c>
      <c r="AF2784" s="167" t="s">
        <v>3470</v>
      </c>
    </row>
    <row r="2785" spans="28:32" x14ac:dyDescent="0.25">
      <c r="AB2785" s="167" t="s">
        <v>2386</v>
      </c>
      <c r="AC2785" s="167">
        <v>323</v>
      </c>
      <c r="AD2785" s="203">
        <v>43074</v>
      </c>
      <c r="AE2785" s="203">
        <v>43111</v>
      </c>
      <c r="AF2785" s="167" t="s">
        <v>3470</v>
      </c>
    </row>
    <row r="2786" spans="28:32" x14ac:dyDescent="0.25">
      <c r="AB2786" s="167" t="s">
        <v>2386</v>
      </c>
      <c r="AC2786" s="167">
        <v>323</v>
      </c>
      <c r="AD2786" s="203">
        <v>43074</v>
      </c>
      <c r="AE2786" s="203">
        <v>43111</v>
      </c>
      <c r="AF2786" s="167" t="s">
        <v>3470</v>
      </c>
    </row>
    <row r="2787" spans="28:32" x14ac:dyDescent="0.25">
      <c r="AB2787" s="167" t="s">
        <v>2386</v>
      </c>
      <c r="AC2787" s="167">
        <v>340</v>
      </c>
      <c r="AD2787" s="203">
        <v>43133</v>
      </c>
      <c r="AE2787" s="203">
        <v>43168</v>
      </c>
      <c r="AF2787" s="167" t="s">
        <v>3470</v>
      </c>
    </row>
    <row r="2788" spans="28:32" x14ac:dyDescent="0.25">
      <c r="AB2788" s="167" t="s">
        <v>2386</v>
      </c>
      <c r="AC2788" s="167">
        <v>357</v>
      </c>
      <c r="AD2788" s="203">
        <v>43139</v>
      </c>
      <c r="AE2788" s="203">
        <v>43164</v>
      </c>
      <c r="AF2788" s="167" t="s">
        <v>3470</v>
      </c>
    </row>
    <row r="2789" spans="28:32" x14ac:dyDescent="0.25">
      <c r="AB2789" s="167" t="s">
        <v>2386</v>
      </c>
      <c r="AC2789" s="167">
        <v>364</v>
      </c>
      <c r="AD2789" s="203">
        <v>43168</v>
      </c>
      <c r="AE2789" s="203">
        <v>43179</v>
      </c>
      <c r="AF2789" s="167" t="s">
        <v>3470</v>
      </c>
    </row>
    <row r="2790" spans="28:32" x14ac:dyDescent="0.25">
      <c r="AB2790" s="167" t="s">
        <v>2386</v>
      </c>
      <c r="AC2790" s="167">
        <v>353</v>
      </c>
      <c r="AD2790" s="203">
        <v>43180</v>
      </c>
      <c r="AE2790" s="203">
        <v>0</v>
      </c>
      <c r="AF2790" s="167" t="s">
        <v>3469</v>
      </c>
    </row>
    <row r="2791" spans="28:32" x14ac:dyDescent="0.25">
      <c r="AB2791" s="167" t="s">
        <v>2386</v>
      </c>
      <c r="AC2791" s="167">
        <v>353</v>
      </c>
      <c r="AD2791" s="203">
        <v>43180</v>
      </c>
      <c r="AE2791" s="203">
        <v>0</v>
      </c>
      <c r="AF2791" s="167" t="s">
        <v>3469</v>
      </c>
    </row>
    <row r="2792" spans="28:32" x14ac:dyDescent="0.25">
      <c r="AB2792" s="167" t="s">
        <v>2386</v>
      </c>
      <c r="AC2792" s="167">
        <v>353</v>
      </c>
      <c r="AD2792" s="203">
        <v>43180</v>
      </c>
      <c r="AE2792" s="203">
        <v>0</v>
      </c>
      <c r="AF2792" s="167" t="s">
        <v>3469</v>
      </c>
    </row>
    <row r="2793" spans="28:32" x14ac:dyDescent="0.25">
      <c r="AB2793" s="167" t="s">
        <v>2386</v>
      </c>
      <c r="AC2793" s="167">
        <v>353</v>
      </c>
      <c r="AD2793" s="203">
        <v>43180</v>
      </c>
      <c r="AE2793" s="203">
        <v>0</v>
      </c>
      <c r="AF2793" s="167" t="s">
        <v>3469</v>
      </c>
    </row>
    <row r="2794" spans="28:32" x14ac:dyDescent="0.25">
      <c r="AB2794" s="167" t="s">
        <v>2388</v>
      </c>
      <c r="AC2794" s="167">
        <v>347</v>
      </c>
      <c r="AD2794" s="203">
        <v>43118</v>
      </c>
      <c r="AE2794" s="203">
        <v>43133</v>
      </c>
      <c r="AF2794" s="167" t="s">
        <v>3470</v>
      </c>
    </row>
    <row r="2795" spans="28:32" x14ac:dyDescent="0.25">
      <c r="AB2795" s="167" t="s">
        <v>2388</v>
      </c>
      <c r="AC2795" s="167">
        <v>340</v>
      </c>
      <c r="AD2795" s="203">
        <v>43133</v>
      </c>
      <c r="AE2795" s="203">
        <v>43168</v>
      </c>
      <c r="AF2795" s="167" t="s">
        <v>3470</v>
      </c>
    </row>
    <row r="2796" spans="28:32" x14ac:dyDescent="0.25">
      <c r="AB2796" s="167" t="s">
        <v>2388</v>
      </c>
      <c r="AC2796" s="167">
        <v>357</v>
      </c>
      <c r="AD2796" s="203">
        <v>43139</v>
      </c>
      <c r="AE2796" s="203">
        <v>43164</v>
      </c>
      <c r="AF2796" s="167" t="s">
        <v>3470</v>
      </c>
    </row>
    <row r="2797" spans="28:32" x14ac:dyDescent="0.25">
      <c r="AB2797" s="167" t="s">
        <v>2388</v>
      </c>
      <c r="AC2797" s="167">
        <v>364</v>
      </c>
      <c r="AD2797" s="203">
        <v>43168</v>
      </c>
      <c r="AE2797" s="203">
        <v>43179</v>
      </c>
      <c r="AF2797" s="167" t="s">
        <v>3470</v>
      </c>
    </row>
    <row r="2798" spans="28:32" x14ac:dyDescent="0.25">
      <c r="AB2798" s="167" t="s">
        <v>2388</v>
      </c>
      <c r="AC2798" s="167">
        <v>353</v>
      </c>
      <c r="AD2798" s="203">
        <v>43180</v>
      </c>
      <c r="AE2798" s="203">
        <v>0</v>
      </c>
      <c r="AF2798" s="167" t="s">
        <v>3469</v>
      </c>
    </row>
    <row r="2799" spans="28:32" x14ac:dyDescent="0.25">
      <c r="AB2799" s="167" t="s">
        <v>2388</v>
      </c>
      <c r="AC2799" s="167">
        <v>353</v>
      </c>
      <c r="AD2799" s="203">
        <v>43180</v>
      </c>
      <c r="AE2799" s="203">
        <v>0</v>
      </c>
      <c r="AF2799" s="167" t="s">
        <v>3469</v>
      </c>
    </row>
    <row r="2800" spans="28:32" x14ac:dyDescent="0.25">
      <c r="AB2800" s="167" t="s">
        <v>2388</v>
      </c>
      <c r="AC2800" s="167">
        <v>353</v>
      </c>
      <c r="AD2800" s="203">
        <v>43180</v>
      </c>
      <c r="AE2800" s="203">
        <v>0</v>
      </c>
      <c r="AF2800" s="167" t="s">
        <v>3469</v>
      </c>
    </row>
    <row r="2801" spans="28:32" x14ac:dyDescent="0.25">
      <c r="AB2801" s="167" t="s">
        <v>2389</v>
      </c>
      <c r="AC2801" s="167">
        <v>347</v>
      </c>
      <c r="AD2801" s="203">
        <v>43118</v>
      </c>
      <c r="AE2801" s="203">
        <v>43133</v>
      </c>
      <c r="AF2801" s="167" t="s">
        <v>3470</v>
      </c>
    </row>
    <row r="2802" spans="28:32" x14ac:dyDescent="0.25">
      <c r="AB2802" s="167" t="s">
        <v>2389</v>
      </c>
      <c r="AC2802" s="167">
        <v>340</v>
      </c>
      <c r="AD2802" s="203">
        <v>43133</v>
      </c>
      <c r="AE2802" s="203">
        <v>43168</v>
      </c>
      <c r="AF2802" s="167" t="s">
        <v>3470</v>
      </c>
    </row>
    <row r="2803" spans="28:32" x14ac:dyDescent="0.25">
      <c r="AB2803" s="167" t="s">
        <v>2390</v>
      </c>
      <c r="AC2803" s="167">
        <v>347</v>
      </c>
      <c r="AD2803" s="203">
        <v>43118</v>
      </c>
      <c r="AE2803" s="203">
        <v>43133</v>
      </c>
      <c r="AF2803" s="167" t="s">
        <v>3470</v>
      </c>
    </row>
    <row r="2804" spans="28:32" x14ac:dyDescent="0.25">
      <c r="AB2804" s="167" t="s">
        <v>2390</v>
      </c>
      <c r="AC2804" s="167">
        <v>340</v>
      </c>
      <c r="AD2804" s="203">
        <v>43133</v>
      </c>
      <c r="AE2804" s="203">
        <v>43168</v>
      </c>
      <c r="AF2804" s="167" t="s">
        <v>3470</v>
      </c>
    </row>
    <row r="2805" spans="28:32" x14ac:dyDescent="0.25">
      <c r="AB2805" s="167" t="s">
        <v>2390</v>
      </c>
      <c r="AC2805" s="167">
        <v>340</v>
      </c>
      <c r="AD2805" s="203">
        <v>43133</v>
      </c>
      <c r="AE2805" s="203">
        <v>43168</v>
      </c>
      <c r="AF2805" s="167" t="s">
        <v>3470</v>
      </c>
    </row>
    <row r="2806" spans="28:32" x14ac:dyDescent="0.25">
      <c r="AB2806" s="167" t="s">
        <v>2392</v>
      </c>
      <c r="AC2806" s="167">
        <v>323</v>
      </c>
      <c r="AD2806" s="203">
        <v>43074</v>
      </c>
      <c r="AE2806" s="203">
        <v>43111</v>
      </c>
      <c r="AF2806" s="167" t="s">
        <v>3470</v>
      </c>
    </row>
    <row r="2807" spans="28:32" x14ac:dyDescent="0.25">
      <c r="AB2807" s="167" t="s">
        <v>2392</v>
      </c>
      <c r="AC2807" s="167">
        <v>335</v>
      </c>
      <c r="AD2807" s="203">
        <v>43133</v>
      </c>
      <c r="AE2807" s="203">
        <v>43147</v>
      </c>
      <c r="AF2807" s="167" t="s">
        <v>3470</v>
      </c>
    </row>
    <row r="2808" spans="28:32" x14ac:dyDescent="0.25">
      <c r="AB2808" s="167" t="s">
        <v>2392</v>
      </c>
      <c r="AC2808" s="167">
        <v>364</v>
      </c>
      <c r="AD2808" s="203">
        <v>43168</v>
      </c>
      <c r="AE2808" s="203">
        <v>43179</v>
      </c>
      <c r="AF2808" s="167" t="s">
        <v>3470</v>
      </c>
    </row>
    <row r="2809" spans="28:32" x14ac:dyDescent="0.25">
      <c r="AB2809" s="167" t="s">
        <v>2392</v>
      </c>
      <c r="AC2809" s="167">
        <v>353</v>
      </c>
      <c r="AD2809" s="203">
        <v>43180</v>
      </c>
      <c r="AE2809" s="203">
        <v>0</v>
      </c>
      <c r="AF2809" s="167" t="s">
        <v>3469</v>
      </c>
    </row>
    <row r="2810" spans="28:32" x14ac:dyDescent="0.25">
      <c r="AB2810" s="167" t="s">
        <v>2392</v>
      </c>
      <c r="AC2810" s="167">
        <v>353</v>
      </c>
      <c r="AD2810" s="203">
        <v>43180</v>
      </c>
      <c r="AE2810" s="203">
        <v>0</v>
      </c>
      <c r="AF2810" s="167" t="s">
        <v>3469</v>
      </c>
    </row>
    <row r="2811" spans="28:32" x14ac:dyDescent="0.25">
      <c r="AB2811" s="167" t="s">
        <v>3490</v>
      </c>
      <c r="AC2811" s="167">
        <v>323</v>
      </c>
      <c r="AD2811" s="203">
        <v>43074</v>
      </c>
      <c r="AE2811" s="203">
        <v>43111</v>
      </c>
      <c r="AF2811" s="167" t="s">
        <v>3470</v>
      </c>
    </row>
    <row r="2812" spans="28:32" x14ac:dyDescent="0.25">
      <c r="AB2812" s="167" t="s">
        <v>2394</v>
      </c>
      <c r="AC2812" s="167">
        <v>353</v>
      </c>
      <c r="AD2812" s="203">
        <v>43180</v>
      </c>
      <c r="AE2812" s="203">
        <v>0</v>
      </c>
      <c r="AF2812" s="167" t="s">
        <v>3469</v>
      </c>
    </row>
    <row r="2813" spans="28:32" x14ac:dyDescent="0.25">
      <c r="AB2813" s="167" t="s">
        <v>2396</v>
      </c>
      <c r="AC2813" s="167">
        <v>323</v>
      </c>
      <c r="AD2813" s="203">
        <v>43074</v>
      </c>
      <c r="AE2813" s="203">
        <v>43111</v>
      </c>
      <c r="AF2813" s="167" t="s">
        <v>3470</v>
      </c>
    </row>
    <row r="2814" spans="28:32" x14ac:dyDescent="0.25">
      <c r="AB2814" s="167" t="s">
        <v>2396</v>
      </c>
      <c r="AC2814" s="167">
        <v>347</v>
      </c>
      <c r="AD2814" s="203">
        <v>43118</v>
      </c>
      <c r="AE2814" s="203">
        <v>43133</v>
      </c>
      <c r="AF2814" s="167" t="s">
        <v>3470</v>
      </c>
    </row>
    <row r="2815" spans="28:32" x14ac:dyDescent="0.25">
      <c r="AB2815" s="167" t="s">
        <v>2396</v>
      </c>
      <c r="AC2815" s="167">
        <v>340</v>
      </c>
      <c r="AD2815" s="203">
        <v>43133</v>
      </c>
      <c r="AE2815" s="203">
        <v>43168</v>
      </c>
      <c r="AF2815" s="167" t="s">
        <v>3470</v>
      </c>
    </row>
    <row r="2816" spans="28:32" x14ac:dyDescent="0.25">
      <c r="AB2816" s="167" t="s">
        <v>2396</v>
      </c>
      <c r="AC2816" s="167">
        <v>340</v>
      </c>
      <c r="AD2816" s="203">
        <v>43133</v>
      </c>
      <c r="AE2816" s="203">
        <v>43168</v>
      </c>
      <c r="AF2816" s="167" t="s">
        <v>3470</v>
      </c>
    </row>
    <row r="2817" spans="28:32" x14ac:dyDescent="0.25">
      <c r="AB2817" s="167" t="s">
        <v>2396</v>
      </c>
      <c r="AC2817" s="167">
        <v>357</v>
      </c>
      <c r="AD2817" s="203">
        <v>43139</v>
      </c>
      <c r="AE2817" s="203">
        <v>43164</v>
      </c>
      <c r="AF2817" s="167" t="s">
        <v>3470</v>
      </c>
    </row>
    <row r="2818" spans="28:32" x14ac:dyDescent="0.25">
      <c r="AB2818" s="167" t="s">
        <v>2396</v>
      </c>
      <c r="AC2818" s="167">
        <v>364</v>
      </c>
      <c r="AD2818" s="203">
        <v>43168</v>
      </c>
      <c r="AE2818" s="203">
        <v>43179</v>
      </c>
      <c r="AF2818" s="167" t="s">
        <v>3470</v>
      </c>
    </row>
    <row r="2819" spans="28:32" x14ac:dyDescent="0.25">
      <c r="AB2819" s="167" t="s">
        <v>2396</v>
      </c>
      <c r="AC2819" s="167">
        <v>353</v>
      </c>
      <c r="AD2819" s="203">
        <v>43180</v>
      </c>
      <c r="AE2819" s="203">
        <v>0</v>
      </c>
      <c r="AF2819" s="167" t="s">
        <v>3469</v>
      </c>
    </row>
    <row r="2820" spans="28:32" x14ac:dyDescent="0.25">
      <c r="AB2820" s="167" t="s">
        <v>2396</v>
      </c>
      <c r="AC2820" s="167">
        <v>353</v>
      </c>
      <c r="AD2820" s="203">
        <v>43180</v>
      </c>
      <c r="AE2820" s="203">
        <v>0</v>
      </c>
      <c r="AF2820" s="167" t="s">
        <v>3469</v>
      </c>
    </row>
    <row r="2821" spans="28:32" x14ac:dyDescent="0.25">
      <c r="AB2821" s="167" t="s">
        <v>2397</v>
      </c>
      <c r="AC2821" s="167">
        <v>323</v>
      </c>
      <c r="AD2821" s="203">
        <v>43074</v>
      </c>
      <c r="AE2821" s="203">
        <v>43111</v>
      </c>
      <c r="AF2821" s="167" t="s">
        <v>3470</v>
      </c>
    </row>
    <row r="2822" spans="28:32" x14ac:dyDescent="0.25">
      <c r="AB2822" s="167" t="s">
        <v>2397</v>
      </c>
      <c r="AC2822" s="167">
        <v>340</v>
      </c>
      <c r="AD2822" s="203">
        <v>43133</v>
      </c>
      <c r="AE2822" s="203">
        <v>43168</v>
      </c>
      <c r="AF2822" s="167" t="s">
        <v>3470</v>
      </c>
    </row>
    <row r="2823" spans="28:32" x14ac:dyDescent="0.25">
      <c r="AB2823" s="167" t="s">
        <v>2399</v>
      </c>
      <c r="AC2823" s="167">
        <v>323</v>
      </c>
      <c r="AD2823" s="203">
        <v>43074</v>
      </c>
      <c r="AE2823" s="203">
        <v>43111</v>
      </c>
      <c r="AF2823" s="167" t="s">
        <v>3470</v>
      </c>
    </row>
    <row r="2824" spans="28:32" x14ac:dyDescent="0.25">
      <c r="AB2824" s="167" t="s">
        <v>2399</v>
      </c>
      <c r="AC2824" s="167">
        <v>347</v>
      </c>
      <c r="AD2824" s="203">
        <v>43118</v>
      </c>
      <c r="AE2824" s="203">
        <v>43133</v>
      </c>
      <c r="AF2824" s="167" t="s">
        <v>3470</v>
      </c>
    </row>
    <row r="2825" spans="28:32" x14ac:dyDescent="0.25">
      <c r="AB2825" s="167" t="s">
        <v>2399</v>
      </c>
      <c r="AC2825" s="167">
        <v>335</v>
      </c>
      <c r="AD2825" s="203">
        <v>43133</v>
      </c>
      <c r="AE2825" s="203">
        <v>43147</v>
      </c>
      <c r="AF2825" s="167" t="s">
        <v>3470</v>
      </c>
    </row>
    <row r="2826" spans="28:32" x14ac:dyDescent="0.25">
      <c r="AB2826" s="167" t="s">
        <v>2399</v>
      </c>
      <c r="AC2826" s="167">
        <v>340</v>
      </c>
      <c r="AD2826" s="203">
        <v>43133</v>
      </c>
      <c r="AE2826" s="203">
        <v>43168</v>
      </c>
      <c r="AF2826" s="167" t="s">
        <v>3470</v>
      </c>
    </row>
    <row r="2827" spans="28:32" x14ac:dyDescent="0.25">
      <c r="AB2827" s="167" t="s">
        <v>2399</v>
      </c>
      <c r="AC2827" s="167">
        <v>340</v>
      </c>
      <c r="AD2827" s="203">
        <v>43133</v>
      </c>
      <c r="AE2827" s="203">
        <v>43168</v>
      </c>
      <c r="AF2827" s="167" t="s">
        <v>3470</v>
      </c>
    </row>
    <row r="2828" spans="28:32" x14ac:dyDescent="0.25">
      <c r="AB2828" s="167" t="s">
        <v>2399</v>
      </c>
      <c r="AC2828" s="167">
        <v>357</v>
      </c>
      <c r="AD2828" s="203">
        <v>43139</v>
      </c>
      <c r="AE2828" s="203">
        <v>43164</v>
      </c>
      <c r="AF2828" s="167" t="s">
        <v>3470</v>
      </c>
    </row>
    <row r="2829" spans="28:32" x14ac:dyDescent="0.25">
      <c r="AB2829" s="167" t="s">
        <v>2399</v>
      </c>
      <c r="AC2829" s="167">
        <v>353</v>
      </c>
      <c r="AD2829" s="203">
        <v>43180</v>
      </c>
      <c r="AE2829" s="203">
        <v>0</v>
      </c>
      <c r="AF2829" s="167" t="s">
        <v>3469</v>
      </c>
    </row>
    <row r="2830" spans="28:32" x14ac:dyDescent="0.25">
      <c r="AB2830" s="167" t="s">
        <v>2399</v>
      </c>
      <c r="AC2830" s="167">
        <v>353</v>
      </c>
      <c r="AD2830" s="203">
        <v>43180</v>
      </c>
      <c r="AE2830" s="203">
        <v>0</v>
      </c>
      <c r="AF2830" s="167" t="s">
        <v>3469</v>
      </c>
    </row>
    <row r="2831" spans="28:32" x14ac:dyDescent="0.25">
      <c r="AB2831" s="167" t="s">
        <v>2400</v>
      </c>
      <c r="AC2831" s="167">
        <v>323</v>
      </c>
      <c r="AD2831" s="203">
        <v>43074</v>
      </c>
      <c r="AE2831" s="203">
        <v>43111</v>
      </c>
      <c r="AF2831" s="167" t="s">
        <v>3470</v>
      </c>
    </row>
    <row r="2832" spans="28:32" x14ac:dyDescent="0.25">
      <c r="AB2832" s="167" t="s">
        <v>2400</v>
      </c>
      <c r="AC2832" s="167">
        <v>339</v>
      </c>
      <c r="AD2832" s="203">
        <v>43087</v>
      </c>
      <c r="AE2832" s="203">
        <v>43111</v>
      </c>
      <c r="AF2832" s="167" t="s">
        <v>3470</v>
      </c>
    </row>
    <row r="2833" spans="28:32" x14ac:dyDescent="0.25">
      <c r="AB2833" s="167" t="s">
        <v>2400</v>
      </c>
      <c r="AC2833" s="167">
        <v>347</v>
      </c>
      <c r="AD2833" s="203">
        <v>43118</v>
      </c>
      <c r="AE2833" s="203">
        <v>43133</v>
      </c>
      <c r="AF2833" s="167" t="s">
        <v>3470</v>
      </c>
    </row>
    <row r="2834" spans="28:32" x14ac:dyDescent="0.25">
      <c r="AB2834" s="167" t="s">
        <v>2400</v>
      </c>
      <c r="AC2834" s="167">
        <v>352</v>
      </c>
      <c r="AD2834" s="203">
        <v>43133</v>
      </c>
      <c r="AE2834" s="203">
        <v>43179</v>
      </c>
      <c r="AF2834" s="167" t="s">
        <v>3470</v>
      </c>
    </row>
    <row r="2835" spans="28:32" x14ac:dyDescent="0.25">
      <c r="AB2835" s="167" t="s">
        <v>2400</v>
      </c>
      <c r="AC2835" s="167">
        <v>357</v>
      </c>
      <c r="AD2835" s="203">
        <v>43139</v>
      </c>
      <c r="AE2835" s="203">
        <v>43164</v>
      </c>
      <c r="AF2835" s="167" t="s">
        <v>3470</v>
      </c>
    </row>
    <row r="2836" spans="28:32" x14ac:dyDescent="0.25">
      <c r="AB2836" s="167" t="s">
        <v>2400</v>
      </c>
      <c r="AC2836" s="167">
        <v>364</v>
      </c>
      <c r="AD2836" s="203">
        <v>43168</v>
      </c>
      <c r="AE2836" s="203">
        <v>43179</v>
      </c>
      <c r="AF2836" s="167" t="s">
        <v>3470</v>
      </c>
    </row>
    <row r="2837" spans="28:32" x14ac:dyDescent="0.25">
      <c r="AB2837" s="167" t="s">
        <v>2400</v>
      </c>
      <c r="AC2837" s="167">
        <v>353</v>
      </c>
      <c r="AD2837" s="203">
        <v>43180</v>
      </c>
      <c r="AE2837" s="203">
        <v>0</v>
      </c>
      <c r="AF2837" s="167" t="s">
        <v>3469</v>
      </c>
    </row>
    <row r="2838" spans="28:32" x14ac:dyDescent="0.25">
      <c r="AB2838" s="167" t="s">
        <v>2400</v>
      </c>
      <c r="AC2838" s="167">
        <v>353</v>
      </c>
      <c r="AD2838" s="203">
        <v>43180</v>
      </c>
      <c r="AE2838" s="203">
        <v>0</v>
      </c>
      <c r="AF2838" s="167" t="s">
        <v>3469</v>
      </c>
    </row>
    <row r="2839" spans="28:32" x14ac:dyDescent="0.25">
      <c r="AB2839" s="167" t="s">
        <v>2400</v>
      </c>
      <c r="AC2839" s="167">
        <v>374</v>
      </c>
      <c r="AD2839" s="203">
        <v>43195</v>
      </c>
      <c r="AE2839" s="203">
        <v>0</v>
      </c>
      <c r="AF2839" s="167" t="s">
        <v>3469</v>
      </c>
    </row>
    <row r="2840" spans="28:32" x14ac:dyDescent="0.25">
      <c r="AB2840" s="167" t="s">
        <v>2401</v>
      </c>
      <c r="AC2840" s="167">
        <v>323</v>
      </c>
      <c r="AD2840" s="203">
        <v>43074</v>
      </c>
      <c r="AE2840" s="203">
        <v>43111</v>
      </c>
      <c r="AF2840" s="167" t="s">
        <v>3470</v>
      </c>
    </row>
    <row r="2841" spans="28:32" x14ac:dyDescent="0.25">
      <c r="AB2841" s="167" t="s">
        <v>2401</v>
      </c>
      <c r="AC2841" s="167">
        <v>340</v>
      </c>
      <c r="AD2841" s="203">
        <v>43133</v>
      </c>
      <c r="AE2841" s="203">
        <v>43168</v>
      </c>
      <c r="AF2841" s="167" t="s">
        <v>3470</v>
      </c>
    </row>
    <row r="2842" spans="28:32" x14ac:dyDescent="0.25">
      <c r="AB2842" s="167" t="s">
        <v>2403</v>
      </c>
      <c r="AC2842" s="167">
        <v>327</v>
      </c>
      <c r="AD2842" s="203">
        <v>43074</v>
      </c>
      <c r="AE2842" s="203">
        <v>43131</v>
      </c>
      <c r="AF2842" s="167" t="s">
        <v>3470</v>
      </c>
    </row>
    <row r="2843" spans="28:32" x14ac:dyDescent="0.25">
      <c r="AB2843" s="167" t="s">
        <v>2403</v>
      </c>
      <c r="AC2843" s="167">
        <v>347</v>
      </c>
      <c r="AD2843" s="203">
        <v>43118</v>
      </c>
      <c r="AE2843" s="203">
        <v>43133</v>
      </c>
      <c r="AF2843" s="167" t="s">
        <v>3470</v>
      </c>
    </row>
    <row r="2844" spans="28:32" x14ac:dyDescent="0.25">
      <c r="AB2844" s="167" t="s">
        <v>2403</v>
      </c>
      <c r="AC2844" s="167">
        <v>340</v>
      </c>
      <c r="AD2844" s="203">
        <v>43133</v>
      </c>
      <c r="AE2844" s="203">
        <v>43168</v>
      </c>
      <c r="AF2844" s="167" t="s">
        <v>3470</v>
      </c>
    </row>
    <row r="2845" spans="28:32" x14ac:dyDescent="0.25">
      <c r="AB2845" s="167" t="s">
        <v>2403</v>
      </c>
      <c r="AC2845" s="167">
        <v>357</v>
      </c>
      <c r="AD2845" s="203">
        <v>43139</v>
      </c>
      <c r="AE2845" s="203">
        <v>43164</v>
      </c>
      <c r="AF2845" s="167" t="s">
        <v>3470</v>
      </c>
    </row>
    <row r="2846" spans="28:32" x14ac:dyDescent="0.25">
      <c r="AB2846" s="167" t="s">
        <v>2403</v>
      </c>
      <c r="AC2846" s="167">
        <v>353</v>
      </c>
      <c r="AD2846" s="203">
        <v>43180</v>
      </c>
      <c r="AE2846" s="203">
        <v>0</v>
      </c>
      <c r="AF2846" s="167" t="s">
        <v>3469</v>
      </c>
    </row>
    <row r="2847" spans="28:32" x14ac:dyDescent="0.25">
      <c r="AB2847" s="167" t="s">
        <v>2405</v>
      </c>
      <c r="AC2847" s="167">
        <v>323</v>
      </c>
      <c r="AD2847" s="203">
        <v>43074</v>
      </c>
      <c r="AE2847" s="203">
        <v>43111</v>
      </c>
      <c r="AF2847" s="167" t="s">
        <v>3470</v>
      </c>
    </row>
    <row r="2848" spans="28:32" x14ac:dyDescent="0.25">
      <c r="AB2848" s="167" t="s">
        <v>2405</v>
      </c>
      <c r="AC2848" s="167">
        <v>327</v>
      </c>
      <c r="AD2848" s="203">
        <v>43074</v>
      </c>
      <c r="AE2848" s="203">
        <v>43131</v>
      </c>
      <c r="AF2848" s="167" t="s">
        <v>3470</v>
      </c>
    </row>
    <row r="2849" spans="28:32" x14ac:dyDescent="0.25">
      <c r="AB2849" s="167" t="s">
        <v>2405</v>
      </c>
      <c r="AC2849" s="167">
        <v>347</v>
      </c>
      <c r="AD2849" s="203">
        <v>43118</v>
      </c>
      <c r="AE2849" s="203">
        <v>43133</v>
      </c>
      <c r="AF2849" s="167" t="s">
        <v>3470</v>
      </c>
    </row>
    <row r="2850" spans="28:32" x14ac:dyDescent="0.25">
      <c r="AB2850" s="167" t="s">
        <v>2405</v>
      </c>
      <c r="AC2850" s="167">
        <v>340</v>
      </c>
      <c r="AD2850" s="203">
        <v>43133</v>
      </c>
      <c r="AE2850" s="203">
        <v>43168</v>
      </c>
      <c r="AF2850" s="167" t="s">
        <v>3470</v>
      </c>
    </row>
    <row r="2851" spans="28:32" x14ac:dyDescent="0.25">
      <c r="AB2851" s="167" t="s">
        <v>2405</v>
      </c>
      <c r="AC2851" s="167">
        <v>357</v>
      </c>
      <c r="AD2851" s="203">
        <v>43139</v>
      </c>
      <c r="AE2851" s="203">
        <v>43164</v>
      </c>
      <c r="AF2851" s="167" t="s">
        <v>3470</v>
      </c>
    </row>
    <row r="2852" spans="28:32" x14ac:dyDescent="0.25">
      <c r="AB2852" s="167" t="s">
        <v>2405</v>
      </c>
      <c r="AC2852" s="167">
        <v>353</v>
      </c>
      <c r="AD2852" s="203">
        <v>43180</v>
      </c>
      <c r="AE2852" s="203">
        <v>0</v>
      </c>
      <c r="AF2852" s="167" t="s">
        <v>3469</v>
      </c>
    </row>
    <row r="2853" spans="28:32" x14ac:dyDescent="0.25">
      <c r="AB2853" s="167" t="s">
        <v>2405</v>
      </c>
      <c r="AC2853" s="167">
        <v>353</v>
      </c>
      <c r="AD2853" s="203">
        <v>43180</v>
      </c>
      <c r="AE2853" s="203">
        <v>0</v>
      </c>
      <c r="AF2853" s="167" t="s">
        <v>3469</v>
      </c>
    </row>
    <row r="2854" spans="28:32" x14ac:dyDescent="0.25">
      <c r="AB2854" s="167" t="s">
        <v>2407</v>
      </c>
      <c r="AC2854" s="167">
        <v>340</v>
      </c>
      <c r="AD2854" s="203">
        <v>43133</v>
      </c>
      <c r="AE2854" s="203">
        <v>43168</v>
      </c>
      <c r="AF2854" s="167" t="s">
        <v>3470</v>
      </c>
    </row>
    <row r="2855" spans="28:32" x14ac:dyDescent="0.25">
      <c r="AB2855" s="167" t="s">
        <v>2407</v>
      </c>
      <c r="AC2855" s="167">
        <v>357</v>
      </c>
      <c r="AD2855" s="203">
        <v>43139</v>
      </c>
      <c r="AE2855" s="203">
        <v>43164</v>
      </c>
      <c r="AF2855" s="167" t="s">
        <v>3470</v>
      </c>
    </row>
    <row r="2856" spans="28:32" x14ac:dyDescent="0.25">
      <c r="AB2856" s="167" t="s">
        <v>2407</v>
      </c>
      <c r="AC2856" s="167">
        <v>364</v>
      </c>
      <c r="AD2856" s="203">
        <v>43168</v>
      </c>
      <c r="AE2856" s="203">
        <v>43179</v>
      </c>
      <c r="AF2856" s="167" t="s">
        <v>3470</v>
      </c>
    </row>
    <row r="2857" spans="28:32" x14ac:dyDescent="0.25">
      <c r="AB2857" s="167" t="s">
        <v>2407</v>
      </c>
      <c r="AC2857" s="167">
        <v>353</v>
      </c>
      <c r="AD2857" s="203">
        <v>43180</v>
      </c>
      <c r="AE2857" s="203">
        <v>0</v>
      </c>
      <c r="AF2857" s="167" t="s">
        <v>3469</v>
      </c>
    </row>
    <row r="2858" spans="28:32" x14ac:dyDescent="0.25">
      <c r="AB2858" s="167" t="s">
        <v>2407</v>
      </c>
      <c r="AC2858" s="167">
        <v>353</v>
      </c>
      <c r="AD2858" s="203">
        <v>43180</v>
      </c>
      <c r="AE2858" s="203">
        <v>0</v>
      </c>
      <c r="AF2858" s="167" t="s">
        <v>3469</v>
      </c>
    </row>
    <row r="2859" spans="28:32" x14ac:dyDescent="0.25">
      <c r="AB2859" s="167" t="s">
        <v>2409</v>
      </c>
      <c r="AC2859" s="167">
        <v>357</v>
      </c>
      <c r="AD2859" s="203">
        <v>43139</v>
      </c>
      <c r="AE2859" s="203">
        <v>43164</v>
      </c>
      <c r="AF2859" s="167" t="s">
        <v>3470</v>
      </c>
    </row>
    <row r="2860" spans="28:32" x14ac:dyDescent="0.25">
      <c r="AB2860" s="167" t="s">
        <v>2409</v>
      </c>
      <c r="AC2860" s="167">
        <v>353</v>
      </c>
      <c r="AD2860" s="203">
        <v>43180</v>
      </c>
      <c r="AE2860" s="203">
        <v>0</v>
      </c>
      <c r="AF2860" s="167" t="s">
        <v>3469</v>
      </c>
    </row>
    <row r="2861" spans="28:32" x14ac:dyDescent="0.25">
      <c r="AB2861" s="167" t="s">
        <v>2411</v>
      </c>
      <c r="AC2861" s="167">
        <v>327</v>
      </c>
      <c r="AD2861" s="203">
        <v>43074</v>
      </c>
      <c r="AE2861" s="203">
        <v>43131</v>
      </c>
      <c r="AF2861" s="167" t="s">
        <v>3470</v>
      </c>
    </row>
    <row r="2862" spans="28:32" x14ac:dyDescent="0.25">
      <c r="AB2862" s="167" t="s">
        <v>2411</v>
      </c>
      <c r="AC2862" s="167">
        <v>347</v>
      </c>
      <c r="AD2862" s="203">
        <v>43118</v>
      </c>
      <c r="AE2862" s="203">
        <v>43133</v>
      </c>
      <c r="AF2862" s="167" t="s">
        <v>3470</v>
      </c>
    </row>
    <row r="2863" spans="28:32" x14ac:dyDescent="0.25">
      <c r="AB2863" s="167" t="s">
        <v>2411</v>
      </c>
      <c r="AC2863" s="167">
        <v>340</v>
      </c>
      <c r="AD2863" s="203">
        <v>43133</v>
      </c>
      <c r="AE2863" s="203">
        <v>43168</v>
      </c>
      <c r="AF2863" s="167" t="s">
        <v>3470</v>
      </c>
    </row>
    <row r="2864" spans="28:32" x14ac:dyDescent="0.25">
      <c r="AB2864" s="167" t="s">
        <v>2411</v>
      </c>
      <c r="AC2864" s="167">
        <v>353</v>
      </c>
      <c r="AD2864" s="203">
        <v>43180</v>
      </c>
      <c r="AE2864" s="203">
        <v>0</v>
      </c>
      <c r="AF2864" s="167" t="s">
        <v>3469</v>
      </c>
    </row>
    <row r="2865" spans="28:32" x14ac:dyDescent="0.25">
      <c r="AB2865" s="167" t="s">
        <v>2412</v>
      </c>
      <c r="AC2865" s="167">
        <v>327</v>
      </c>
      <c r="AD2865" s="203">
        <v>43074</v>
      </c>
      <c r="AE2865" s="203">
        <v>43131</v>
      </c>
      <c r="AF2865" s="167" t="s">
        <v>3470</v>
      </c>
    </row>
    <row r="2866" spans="28:32" x14ac:dyDescent="0.25">
      <c r="AB2866" s="167" t="s">
        <v>2413</v>
      </c>
      <c r="AC2866" s="167">
        <v>323</v>
      </c>
      <c r="AD2866" s="203">
        <v>43074</v>
      </c>
      <c r="AE2866" s="203">
        <v>43111</v>
      </c>
      <c r="AF2866" s="167" t="s">
        <v>3470</v>
      </c>
    </row>
    <row r="2867" spans="28:32" x14ac:dyDescent="0.25">
      <c r="AB2867" s="167" t="s">
        <v>2413</v>
      </c>
      <c r="AC2867" s="167">
        <v>327</v>
      </c>
      <c r="AD2867" s="203">
        <v>43074</v>
      </c>
      <c r="AE2867" s="203">
        <v>43131</v>
      </c>
      <c r="AF2867" s="167" t="s">
        <v>3470</v>
      </c>
    </row>
    <row r="2868" spans="28:32" x14ac:dyDescent="0.25">
      <c r="AB2868" s="167" t="s">
        <v>2413</v>
      </c>
      <c r="AC2868" s="167">
        <v>327</v>
      </c>
      <c r="AD2868" s="203">
        <v>43074</v>
      </c>
      <c r="AE2868" s="203">
        <v>43131</v>
      </c>
      <c r="AF2868" s="167" t="s">
        <v>3470</v>
      </c>
    </row>
    <row r="2869" spans="28:32" x14ac:dyDescent="0.25">
      <c r="AB2869" s="167" t="s">
        <v>2413</v>
      </c>
      <c r="AC2869" s="167">
        <v>327</v>
      </c>
      <c r="AD2869" s="203">
        <v>43074</v>
      </c>
      <c r="AE2869" s="203">
        <v>43131</v>
      </c>
      <c r="AF2869" s="167" t="s">
        <v>3470</v>
      </c>
    </row>
    <row r="2870" spans="28:32" x14ac:dyDescent="0.25">
      <c r="AB2870" s="167" t="s">
        <v>2413</v>
      </c>
      <c r="AC2870" s="167">
        <v>327</v>
      </c>
      <c r="AD2870" s="203">
        <v>43074</v>
      </c>
      <c r="AE2870" s="203">
        <v>43131</v>
      </c>
      <c r="AF2870" s="167" t="s">
        <v>3470</v>
      </c>
    </row>
    <row r="2871" spans="28:32" x14ac:dyDescent="0.25">
      <c r="AB2871" s="167" t="s">
        <v>2413</v>
      </c>
      <c r="AC2871" s="167">
        <v>374</v>
      </c>
      <c r="AD2871" s="203">
        <v>43195</v>
      </c>
      <c r="AE2871" s="203">
        <v>0</v>
      </c>
      <c r="AF2871" s="167" t="s">
        <v>3469</v>
      </c>
    </row>
    <row r="2872" spans="28:32" x14ac:dyDescent="0.25">
      <c r="AB2872" s="167" t="s">
        <v>2415</v>
      </c>
      <c r="AC2872" s="167">
        <v>323</v>
      </c>
      <c r="AD2872" s="203">
        <v>43074</v>
      </c>
      <c r="AE2872" s="203">
        <v>43111</v>
      </c>
      <c r="AF2872" s="167" t="s">
        <v>3470</v>
      </c>
    </row>
    <row r="2873" spans="28:32" x14ac:dyDescent="0.25">
      <c r="AB2873" s="167" t="s">
        <v>2415</v>
      </c>
      <c r="AC2873" s="167">
        <v>323</v>
      </c>
      <c r="AD2873" s="203">
        <v>43074</v>
      </c>
      <c r="AE2873" s="203">
        <v>43111</v>
      </c>
      <c r="AF2873" s="167" t="s">
        <v>3470</v>
      </c>
    </row>
    <row r="2874" spans="28:32" x14ac:dyDescent="0.25">
      <c r="AB2874" s="167" t="s">
        <v>2415</v>
      </c>
      <c r="AC2874" s="167">
        <v>327</v>
      </c>
      <c r="AD2874" s="203">
        <v>43074</v>
      </c>
      <c r="AE2874" s="203">
        <v>43131</v>
      </c>
      <c r="AF2874" s="167" t="s">
        <v>3470</v>
      </c>
    </row>
    <row r="2875" spans="28:32" x14ac:dyDescent="0.25">
      <c r="AB2875" s="167" t="s">
        <v>2415</v>
      </c>
      <c r="AC2875" s="167">
        <v>340</v>
      </c>
      <c r="AD2875" s="203">
        <v>43133</v>
      </c>
      <c r="AE2875" s="203">
        <v>43168</v>
      </c>
      <c r="AF2875" s="167" t="s">
        <v>3470</v>
      </c>
    </row>
    <row r="2876" spans="28:32" x14ac:dyDescent="0.25">
      <c r="AB2876" s="167" t="s">
        <v>2415</v>
      </c>
      <c r="AC2876" s="167">
        <v>340</v>
      </c>
      <c r="AD2876" s="203">
        <v>43133</v>
      </c>
      <c r="AE2876" s="203">
        <v>43168</v>
      </c>
      <c r="AF2876" s="167" t="s">
        <v>3470</v>
      </c>
    </row>
    <row r="2877" spans="28:32" x14ac:dyDescent="0.25">
      <c r="AB2877" s="167" t="s">
        <v>2415</v>
      </c>
      <c r="AC2877" s="167">
        <v>357</v>
      </c>
      <c r="AD2877" s="203">
        <v>43139</v>
      </c>
      <c r="AE2877" s="203">
        <v>43164</v>
      </c>
      <c r="AF2877" s="167" t="s">
        <v>3470</v>
      </c>
    </row>
    <row r="2878" spans="28:32" x14ac:dyDescent="0.25">
      <c r="AB2878" s="167" t="s">
        <v>2415</v>
      </c>
      <c r="AC2878" s="167">
        <v>364</v>
      </c>
      <c r="AD2878" s="203">
        <v>43168</v>
      </c>
      <c r="AE2878" s="203">
        <v>43179</v>
      </c>
      <c r="AF2878" s="167" t="s">
        <v>3470</v>
      </c>
    </row>
    <row r="2879" spans="28:32" x14ac:dyDescent="0.25">
      <c r="AB2879" s="167" t="s">
        <v>2415</v>
      </c>
      <c r="AC2879" s="167">
        <v>353</v>
      </c>
      <c r="AD2879" s="203">
        <v>43180</v>
      </c>
      <c r="AE2879" s="203">
        <v>0</v>
      </c>
      <c r="AF2879" s="167" t="s">
        <v>3469</v>
      </c>
    </row>
    <row r="2880" spans="28:32" x14ac:dyDescent="0.25">
      <c r="AB2880" s="167" t="s">
        <v>2415</v>
      </c>
      <c r="AC2880" s="167">
        <v>353</v>
      </c>
      <c r="AD2880" s="203">
        <v>43180</v>
      </c>
      <c r="AE2880" s="203">
        <v>0</v>
      </c>
      <c r="AF2880" s="167" t="s">
        <v>3469</v>
      </c>
    </row>
    <row r="2881" spans="28:32" x14ac:dyDescent="0.25">
      <c r="AB2881" s="167" t="s">
        <v>2415</v>
      </c>
      <c r="AC2881" s="167">
        <v>353</v>
      </c>
      <c r="AD2881" s="203">
        <v>43180</v>
      </c>
      <c r="AE2881" s="203">
        <v>0</v>
      </c>
      <c r="AF2881" s="167" t="s">
        <v>3469</v>
      </c>
    </row>
    <row r="2882" spans="28:32" x14ac:dyDescent="0.25">
      <c r="AB2882" s="167" t="s">
        <v>2417</v>
      </c>
      <c r="AC2882" s="167">
        <v>347</v>
      </c>
      <c r="AD2882" s="203">
        <v>43118</v>
      </c>
      <c r="AE2882" s="203">
        <v>43133</v>
      </c>
      <c r="AF2882" s="167" t="s">
        <v>3470</v>
      </c>
    </row>
    <row r="2883" spans="28:32" x14ac:dyDescent="0.25">
      <c r="AB2883" s="167" t="s">
        <v>2417</v>
      </c>
      <c r="AC2883" s="167">
        <v>340</v>
      </c>
      <c r="AD2883" s="203">
        <v>43133</v>
      </c>
      <c r="AE2883" s="203">
        <v>43168</v>
      </c>
      <c r="AF2883" s="167" t="s">
        <v>3470</v>
      </c>
    </row>
    <row r="2884" spans="28:32" x14ac:dyDescent="0.25">
      <c r="AB2884" s="167" t="s">
        <v>2417</v>
      </c>
      <c r="AC2884" s="167">
        <v>357</v>
      </c>
      <c r="AD2884" s="203">
        <v>43139</v>
      </c>
      <c r="AE2884" s="203">
        <v>43164</v>
      </c>
      <c r="AF2884" s="167" t="s">
        <v>3470</v>
      </c>
    </row>
    <row r="2885" spans="28:32" x14ac:dyDescent="0.25">
      <c r="AB2885" s="167" t="s">
        <v>2417</v>
      </c>
      <c r="AC2885" s="167">
        <v>353</v>
      </c>
      <c r="AD2885" s="203">
        <v>43180</v>
      </c>
      <c r="AE2885" s="203">
        <v>0</v>
      </c>
      <c r="AF2885" s="167" t="s">
        <v>3469</v>
      </c>
    </row>
    <row r="2886" spans="28:32" x14ac:dyDescent="0.25">
      <c r="AB2886" s="167" t="s">
        <v>2419</v>
      </c>
      <c r="AC2886" s="167">
        <v>323</v>
      </c>
      <c r="AD2886" s="203">
        <v>43074</v>
      </c>
      <c r="AE2886" s="203">
        <v>43111</v>
      </c>
      <c r="AF2886" s="167" t="s">
        <v>3470</v>
      </c>
    </row>
    <row r="2887" spans="28:32" x14ac:dyDescent="0.25">
      <c r="AB2887" s="167" t="s">
        <v>2419</v>
      </c>
      <c r="AC2887" s="167">
        <v>364</v>
      </c>
      <c r="AD2887" s="203">
        <v>43168</v>
      </c>
      <c r="AE2887" s="203">
        <v>43179</v>
      </c>
      <c r="AF2887" s="167" t="s">
        <v>3470</v>
      </c>
    </row>
    <row r="2888" spans="28:32" x14ac:dyDescent="0.25">
      <c r="AB2888" s="167" t="s">
        <v>2419</v>
      </c>
      <c r="AC2888" s="167">
        <v>353</v>
      </c>
      <c r="AD2888" s="203">
        <v>43180</v>
      </c>
      <c r="AE2888" s="203">
        <v>0</v>
      </c>
      <c r="AF2888" s="167" t="s">
        <v>3469</v>
      </c>
    </row>
    <row r="2889" spans="28:32" x14ac:dyDescent="0.25">
      <c r="AB2889" s="167" t="s">
        <v>2421</v>
      </c>
      <c r="AC2889" s="167">
        <v>357</v>
      </c>
      <c r="AD2889" s="203">
        <v>43139</v>
      </c>
      <c r="AE2889" s="203">
        <v>43164</v>
      </c>
      <c r="AF2889" s="167" t="s">
        <v>3470</v>
      </c>
    </row>
    <row r="2890" spans="28:32" x14ac:dyDescent="0.25">
      <c r="AB2890" s="167" t="s">
        <v>2421</v>
      </c>
      <c r="AC2890" s="167">
        <v>353</v>
      </c>
      <c r="AD2890" s="203">
        <v>43180</v>
      </c>
      <c r="AE2890" s="203">
        <v>0</v>
      </c>
      <c r="AF2890" s="167" t="s">
        <v>3469</v>
      </c>
    </row>
    <row r="2891" spans="28:32" x14ac:dyDescent="0.25">
      <c r="AB2891" s="167" t="s">
        <v>2421</v>
      </c>
      <c r="AC2891" s="167">
        <v>353</v>
      </c>
      <c r="AD2891" s="203">
        <v>43180</v>
      </c>
      <c r="AE2891" s="203">
        <v>0</v>
      </c>
      <c r="AF2891" s="167" t="s">
        <v>3469</v>
      </c>
    </row>
    <row r="2892" spans="28:32" x14ac:dyDescent="0.25">
      <c r="AB2892" s="167" t="s">
        <v>2423</v>
      </c>
      <c r="AC2892" s="167">
        <v>340</v>
      </c>
      <c r="AD2892" s="203">
        <v>43133</v>
      </c>
      <c r="AE2892" s="203">
        <v>43168</v>
      </c>
      <c r="AF2892" s="167" t="s">
        <v>3470</v>
      </c>
    </row>
    <row r="2893" spans="28:32" x14ac:dyDescent="0.25">
      <c r="AB2893" s="167" t="s">
        <v>2423</v>
      </c>
      <c r="AC2893" s="167">
        <v>364</v>
      </c>
      <c r="AD2893" s="203">
        <v>43168</v>
      </c>
      <c r="AE2893" s="203">
        <v>43179</v>
      </c>
      <c r="AF2893" s="167" t="s">
        <v>3470</v>
      </c>
    </row>
    <row r="2894" spans="28:32" x14ac:dyDescent="0.25">
      <c r="AB2894" s="167" t="s">
        <v>2423</v>
      </c>
      <c r="AC2894" s="167">
        <v>353</v>
      </c>
      <c r="AD2894" s="203">
        <v>43180</v>
      </c>
      <c r="AE2894" s="203">
        <v>0</v>
      </c>
      <c r="AF2894" s="167" t="s">
        <v>3469</v>
      </c>
    </row>
    <row r="2895" spans="28:32" x14ac:dyDescent="0.25">
      <c r="AB2895" s="167" t="s">
        <v>2424</v>
      </c>
      <c r="AC2895" s="167">
        <v>323</v>
      </c>
      <c r="AD2895" s="203">
        <v>43074</v>
      </c>
      <c r="AE2895" s="203">
        <v>43111</v>
      </c>
      <c r="AF2895" s="167" t="s">
        <v>3470</v>
      </c>
    </row>
    <row r="2896" spans="28:32" x14ac:dyDescent="0.25">
      <c r="AB2896" s="167" t="s">
        <v>2424</v>
      </c>
      <c r="AC2896" s="167">
        <v>327</v>
      </c>
      <c r="AD2896" s="203">
        <v>43074</v>
      </c>
      <c r="AE2896" s="203">
        <v>43131</v>
      </c>
      <c r="AF2896" s="167" t="s">
        <v>3470</v>
      </c>
    </row>
    <row r="2897" spans="28:32" x14ac:dyDescent="0.25">
      <c r="AB2897" s="167" t="s">
        <v>2424</v>
      </c>
      <c r="AC2897" s="167">
        <v>347</v>
      </c>
      <c r="AD2897" s="203">
        <v>43118</v>
      </c>
      <c r="AE2897" s="203">
        <v>43133</v>
      </c>
      <c r="AF2897" s="167" t="s">
        <v>3470</v>
      </c>
    </row>
    <row r="2898" spans="28:32" x14ac:dyDescent="0.25">
      <c r="AB2898" s="167" t="s">
        <v>2424</v>
      </c>
      <c r="AC2898" s="167">
        <v>340</v>
      </c>
      <c r="AD2898" s="203">
        <v>43133</v>
      </c>
      <c r="AE2898" s="203">
        <v>43168</v>
      </c>
      <c r="AF2898" s="167" t="s">
        <v>3470</v>
      </c>
    </row>
    <row r="2899" spans="28:32" x14ac:dyDescent="0.25">
      <c r="AB2899" s="167" t="s">
        <v>2426</v>
      </c>
      <c r="AC2899" s="167">
        <v>347</v>
      </c>
      <c r="AD2899" s="203">
        <v>43118</v>
      </c>
      <c r="AE2899" s="203">
        <v>43133</v>
      </c>
      <c r="AF2899" s="167" t="s">
        <v>3470</v>
      </c>
    </row>
    <row r="2900" spans="28:32" x14ac:dyDescent="0.25">
      <c r="AB2900" s="167" t="s">
        <v>2426</v>
      </c>
      <c r="AC2900" s="167">
        <v>340</v>
      </c>
      <c r="AD2900" s="203">
        <v>43133</v>
      </c>
      <c r="AE2900" s="203">
        <v>43168</v>
      </c>
      <c r="AF2900" s="167" t="s">
        <v>3470</v>
      </c>
    </row>
    <row r="2901" spans="28:32" x14ac:dyDescent="0.25">
      <c r="AB2901" s="167" t="s">
        <v>2426</v>
      </c>
      <c r="AC2901" s="167">
        <v>364</v>
      </c>
      <c r="AD2901" s="203">
        <v>43168</v>
      </c>
      <c r="AE2901" s="203">
        <v>43179</v>
      </c>
      <c r="AF2901" s="167" t="s">
        <v>3470</v>
      </c>
    </row>
    <row r="2902" spans="28:32" x14ac:dyDescent="0.25">
      <c r="AB2902" s="167" t="s">
        <v>2426</v>
      </c>
      <c r="AC2902" s="167">
        <v>353</v>
      </c>
      <c r="AD2902" s="203">
        <v>43180</v>
      </c>
      <c r="AE2902" s="203">
        <v>0</v>
      </c>
      <c r="AF2902" s="167" t="s">
        <v>3469</v>
      </c>
    </row>
    <row r="2903" spans="28:32" x14ac:dyDescent="0.25">
      <c r="AB2903" s="167" t="s">
        <v>2427</v>
      </c>
      <c r="AC2903" s="167">
        <v>347</v>
      </c>
      <c r="AD2903" s="203">
        <v>43118</v>
      </c>
      <c r="AE2903" s="203">
        <v>43133</v>
      </c>
      <c r="AF2903" s="167" t="s">
        <v>3470</v>
      </c>
    </row>
    <row r="2904" spans="28:32" x14ac:dyDescent="0.25">
      <c r="AB2904" s="167" t="s">
        <v>2427</v>
      </c>
      <c r="AC2904" s="167">
        <v>340</v>
      </c>
      <c r="AD2904" s="203">
        <v>43133</v>
      </c>
      <c r="AE2904" s="203">
        <v>43168</v>
      </c>
      <c r="AF2904" s="167" t="s">
        <v>3470</v>
      </c>
    </row>
    <row r="2905" spans="28:32" x14ac:dyDescent="0.25">
      <c r="AB2905" s="167" t="s">
        <v>2427</v>
      </c>
      <c r="AC2905" s="167">
        <v>340</v>
      </c>
      <c r="AD2905" s="203">
        <v>43133</v>
      </c>
      <c r="AE2905" s="203">
        <v>43168</v>
      </c>
      <c r="AF2905" s="167" t="s">
        <v>3470</v>
      </c>
    </row>
    <row r="2906" spans="28:32" x14ac:dyDescent="0.25">
      <c r="AB2906" s="167" t="s">
        <v>2427</v>
      </c>
      <c r="AC2906" s="167">
        <v>364</v>
      </c>
      <c r="AD2906" s="203">
        <v>43168</v>
      </c>
      <c r="AE2906" s="203">
        <v>43179</v>
      </c>
      <c r="AF2906" s="167" t="s">
        <v>3470</v>
      </c>
    </row>
    <row r="2907" spans="28:32" x14ac:dyDescent="0.25">
      <c r="AB2907" s="167" t="s">
        <v>2429</v>
      </c>
      <c r="AC2907" s="167">
        <v>323</v>
      </c>
      <c r="AD2907" s="203">
        <v>43074</v>
      </c>
      <c r="AE2907" s="203">
        <v>43111</v>
      </c>
      <c r="AF2907" s="167" t="s">
        <v>3470</v>
      </c>
    </row>
    <row r="2908" spans="28:32" x14ac:dyDescent="0.25">
      <c r="AB2908" s="167" t="s">
        <v>2429</v>
      </c>
      <c r="AC2908" s="167">
        <v>327</v>
      </c>
      <c r="AD2908" s="203">
        <v>43074</v>
      </c>
      <c r="AE2908" s="203">
        <v>43131</v>
      </c>
      <c r="AF2908" s="167" t="s">
        <v>3470</v>
      </c>
    </row>
    <row r="2909" spans="28:32" x14ac:dyDescent="0.25">
      <c r="AB2909" s="167" t="s">
        <v>2429</v>
      </c>
      <c r="AC2909" s="167">
        <v>347</v>
      </c>
      <c r="AD2909" s="203">
        <v>43118</v>
      </c>
      <c r="AE2909" s="203">
        <v>43133</v>
      </c>
      <c r="AF2909" s="167" t="s">
        <v>3470</v>
      </c>
    </row>
    <row r="2910" spans="28:32" x14ac:dyDescent="0.25">
      <c r="AB2910" s="167" t="s">
        <v>2429</v>
      </c>
      <c r="AC2910" s="167">
        <v>340</v>
      </c>
      <c r="AD2910" s="203">
        <v>43133</v>
      </c>
      <c r="AE2910" s="203">
        <v>43168</v>
      </c>
      <c r="AF2910" s="167" t="s">
        <v>3470</v>
      </c>
    </row>
    <row r="2911" spans="28:32" x14ac:dyDescent="0.25">
      <c r="AB2911" s="167" t="s">
        <v>2429</v>
      </c>
      <c r="AC2911" s="167">
        <v>340</v>
      </c>
      <c r="AD2911" s="203">
        <v>43133</v>
      </c>
      <c r="AE2911" s="203">
        <v>43168</v>
      </c>
      <c r="AF2911" s="167" t="s">
        <v>3470</v>
      </c>
    </row>
    <row r="2912" spans="28:32" x14ac:dyDescent="0.25">
      <c r="AB2912" s="167" t="s">
        <v>2429</v>
      </c>
      <c r="AC2912" s="167">
        <v>357</v>
      </c>
      <c r="AD2912" s="203">
        <v>43139</v>
      </c>
      <c r="AE2912" s="203">
        <v>43164</v>
      </c>
      <c r="AF2912" s="167" t="s">
        <v>3470</v>
      </c>
    </row>
    <row r="2913" spans="28:32" x14ac:dyDescent="0.25">
      <c r="AB2913" s="167" t="s">
        <v>2429</v>
      </c>
      <c r="AC2913" s="167">
        <v>364</v>
      </c>
      <c r="AD2913" s="203">
        <v>43168</v>
      </c>
      <c r="AE2913" s="203">
        <v>43179</v>
      </c>
      <c r="AF2913" s="167" t="s">
        <v>3470</v>
      </c>
    </row>
    <row r="2914" spans="28:32" x14ac:dyDescent="0.25">
      <c r="AB2914" s="167" t="s">
        <v>2429</v>
      </c>
      <c r="AC2914" s="167">
        <v>353</v>
      </c>
      <c r="AD2914" s="203">
        <v>43180</v>
      </c>
      <c r="AE2914" s="203">
        <v>0</v>
      </c>
      <c r="AF2914" s="167" t="s">
        <v>3469</v>
      </c>
    </row>
    <row r="2915" spans="28:32" x14ac:dyDescent="0.25">
      <c r="AB2915" s="167" t="s">
        <v>2430</v>
      </c>
      <c r="AC2915" s="167">
        <v>364</v>
      </c>
      <c r="AD2915" s="203">
        <v>43168</v>
      </c>
      <c r="AE2915" s="203">
        <v>43179</v>
      </c>
      <c r="AF2915" s="167" t="s">
        <v>3470</v>
      </c>
    </row>
    <row r="2916" spans="28:32" x14ac:dyDescent="0.25">
      <c r="AB2916" s="167" t="s">
        <v>2430</v>
      </c>
      <c r="AC2916" s="167">
        <v>353</v>
      </c>
      <c r="AD2916" s="203">
        <v>43180</v>
      </c>
      <c r="AE2916" s="203">
        <v>0</v>
      </c>
      <c r="AF2916" s="167" t="s">
        <v>3469</v>
      </c>
    </row>
    <row r="2917" spans="28:32" x14ac:dyDescent="0.25">
      <c r="AB2917" s="167" t="s">
        <v>2431</v>
      </c>
      <c r="AC2917" s="167">
        <v>327</v>
      </c>
      <c r="AD2917" s="203">
        <v>43074</v>
      </c>
      <c r="AE2917" s="203">
        <v>43131</v>
      </c>
      <c r="AF2917" s="167" t="s">
        <v>3470</v>
      </c>
    </row>
    <row r="2918" spans="28:32" x14ac:dyDescent="0.25">
      <c r="AB2918" s="167" t="s">
        <v>2431</v>
      </c>
      <c r="AC2918" s="167">
        <v>347</v>
      </c>
      <c r="AD2918" s="203">
        <v>43118</v>
      </c>
      <c r="AE2918" s="203">
        <v>43133</v>
      </c>
      <c r="AF2918" s="167" t="s">
        <v>3470</v>
      </c>
    </row>
    <row r="2919" spans="28:32" x14ac:dyDescent="0.25">
      <c r="AB2919" s="167" t="s">
        <v>2431</v>
      </c>
      <c r="AC2919" s="167">
        <v>357</v>
      </c>
      <c r="AD2919" s="203">
        <v>43139</v>
      </c>
      <c r="AE2919" s="203">
        <v>43164</v>
      </c>
      <c r="AF2919" s="167" t="s">
        <v>3470</v>
      </c>
    </row>
    <row r="2920" spans="28:32" x14ac:dyDescent="0.25">
      <c r="AB2920" s="167" t="s">
        <v>2431</v>
      </c>
      <c r="AC2920" s="167">
        <v>364</v>
      </c>
      <c r="AD2920" s="203">
        <v>43168</v>
      </c>
      <c r="AE2920" s="203">
        <v>43179</v>
      </c>
      <c r="AF2920" s="167" t="s">
        <v>3470</v>
      </c>
    </row>
    <row r="2921" spans="28:32" x14ac:dyDescent="0.25">
      <c r="AB2921" s="167" t="s">
        <v>2431</v>
      </c>
      <c r="AC2921" s="167">
        <v>353</v>
      </c>
      <c r="AD2921" s="203">
        <v>43180</v>
      </c>
      <c r="AE2921" s="203">
        <v>0</v>
      </c>
      <c r="AF2921" s="167" t="s">
        <v>3469</v>
      </c>
    </row>
    <row r="2922" spans="28:32" x14ac:dyDescent="0.25">
      <c r="AB2922" s="167" t="s">
        <v>2433</v>
      </c>
      <c r="AC2922" s="167">
        <v>327</v>
      </c>
      <c r="AD2922" s="203">
        <v>43074</v>
      </c>
      <c r="AE2922" s="203">
        <v>43131</v>
      </c>
      <c r="AF2922" s="167" t="s">
        <v>3470</v>
      </c>
    </row>
    <row r="2923" spans="28:32" x14ac:dyDescent="0.25">
      <c r="AB2923" s="167" t="s">
        <v>2433</v>
      </c>
      <c r="AC2923" s="167">
        <v>347</v>
      </c>
      <c r="AD2923" s="203">
        <v>43118</v>
      </c>
      <c r="AE2923" s="203">
        <v>43133</v>
      </c>
      <c r="AF2923" s="167" t="s">
        <v>3470</v>
      </c>
    </row>
    <row r="2924" spans="28:32" x14ac:dyDescent="0.25">
      <c r="AB2924" s="167" t="s">
        <v>2433</v>
      </c>
      <c r="AC2924" s="167">
        <v>340</v>
      </c>
      <c r="AD2924" s="203">
        <v>43133</v>
      </c>
      <c r="AE2924" s="203">
        <v>43168</v>
      </c>
      <c r="AF2924" s="167" t="s">
        <v>3470</v>
      </c>
    </row>
    <row r="2925" spans="28:32" x14ac:dyDescent="0.25">
      <c r="AB2925" s="167" t="s">
        <v>2433</v>
      </c>
      <c r="AC2925" s="167">
        <v>357</v>
      </c>
      <c r="AD2925" s="203">
        <v>43139</v>
      </c>
      <c r="AE2925" s="203">
        <v>43164</v>
      </c>
      <c r="AF2925" s="167" t="s">
        <v>3470</v>
      </c>
    </row>
    <row r="2926" spans="28:32" x14ac:dyDescent="0.25">
      <c r="AB2926" s="167" t="s">
        <v>2433</v>
      </c>
      <c r="AC2926" s="167">
        <v>353</v>
      </c>
      <c r="AD2926" s="203">
        <v>43180</v>
      </c>
      <c r="AE2926" s="203">
        <v>0</v>
      </c>
      <c r="AF2926" s="167" t="s">
        <v>3469</v>
      </c>
    </row>
    <row r="2927" spans="28:32" x14ac:dyDescent="0.25">
      <c r="AB2927" s="167" t="s">
        <v>2434</v>
      </c>
      <c r="AC2927" s="167">
        <v>347</v>
      </c>
      <c r="AD2927" s="203">
        <v>43118</v>
      </c>
      <c r="AE2927" s="203">
        <v>43133</v>
      </c>
      <c r="AF2927" s="167" t="s">
        <v>3470</v>
      </c>
    </row>
    <row r="2928" spans="28:32" x14ac:dyDescent="0.25">
      <c r="AB2928" s="167" t="s">
        <v>2434</v>
      </c>
      <c r="AC2928" s="167">
        <v>340</v>
      </c>
      <c r="AD2928" s="203">
        <v>43133</v>
      </c>
      <c r="AE2928" s="203">
        <v>43168</v>
      </c>
      <c r="AF2928" s="167" t="s">
        <v>3470</v>
      </c>
    </row>
    <row r="2929" spans="28:32" x14ac:dyDescent="0.25">
      <c r="AB2929" s="167" t="s">
        <v>2434</v>
      </c>
      <c r="AC2929" s="167">
        <v>364</v>
      </c>
      <c r="AD2929" s="203">
        <v>43168</v>
      </c>
      <c r="AE2929" s="203">
        <v>43179</v>
      </c>
      <c r="AF2929" s="167" t="s">
        <v>3470</v>
      </c>
    </row>
    <row r="2930" spans="28:32" x14ac:dyDescent="0.25">
      <c r="AB2930" s="167" t="s">
        <v>2436</v>
      </c>
      <c r="AC2930" s="167">
        <v>364</v>
      </c>
      <c r="AD2930" s="203">
        <v>43168</v>
      </c>
      <c r="AE2930" s="203">
        <v>43179</v>
      </c>
      <c r="AF2930" s="167" t="s">
        <v>3470</v>
      </c>
    </row>
    <row r="2931" spans="28:32" x14ac:dyDescent="0.25">
      <c r="AB2931" s="167" t="s">
        <v>2436</v>
      </c>
      <c r="AC2931" s="167">
        <v>353</v>
      </c>
      <c r="AD2931" s="203">
        <v>43180</v>
      </c>
      <c r="AE2931" s="203">
        <v>0</v>
      </c>
      <c r="AF2931" s="167" t="s">
        <v>3469</v>
      </c>
    </row>
    <row r="2932" spans="28:32" x14ac:dyDescent="0.25">
      <c r="AB2932" s="167" t="s">
        <v>2438</v>
      </c>
      <c r="AC2932" s="167">
        <v>347</v>
      </c>
      <c r="AD2932" s="203">
        <v>43118</v>
      </c>
      <c r="AE2932" s="203">
        <v>43133</v>
      </c>
      <c r="AF2932" s="167" t="s">
        <v>3470</v>
      </c>
    </row>
    <row r="2933" spans="28:32" x14ac:dyDescent="0.25">
      <c r="AB2933" s="167" t="s">
        <v>2438</v>
      </c>
      <c r="AC2933" s="167">
        <v>340</v>
      </c>
      <c r="AD2933" s="203">
        <v>43133</v>
      </c>
      <c r="AE2933" s="203">
        <v>43168</v>
      </c>
      <c r="AF2933" s="167" t="s">
        <v>3470</v>
      </c>
    </row>
    <row r="2934" spans="28:32" x14ac:dyDescent="0.25">
      <c r="AB2934" s="167" t="s">
        <v>2438</v>
      </c>
      <c r="AC2934" s="167">
        <v>364</v>
      </c>
      <c r="AD2934" s="203">
        <v>43168</v>
      </c>
      <c r="AE2934" s="203">
        <v>43179</v>
      </c>
      <c r="AF2934" s="167" t="s">
        <v>3470</v>
      </c>
    </row>
    <row r="2935" spans="28:32" x14ac:dyDescent="0.25">
      <c r="AB2935" s="167" t="s">
        <v>2438</v>
      </c>
      <c r="AC2935" s="167">
        <v>374</v>
      </c>
      <c r="AD2935" s="203">
        <v>43195</v>
      </c>
      <c r="AE2935" s="203">
        <v>0</v>
      </c>
      <c r="AF2935" s="167" t="s">
        <v>3469</v>
      </c>
    </row>
    <row r="2936" spans="28:32" x14ac:dyDescent="0.25">
      <c r="AB2936" s="167" t="s">
        <v>2439</v>
      </c>
      <c r="AC2936" s="167">
        <v>340</v>
      </c>
      <c r="AD2936" s="203">
        <v>43133</v>
      </c>
      <c r="AE2936" s="203">
        <v>43168</v>
      </c>
      <c r="AF2936" s="167" t="s">
        <v>3470</v>
      </c>
    </row>
    <row r="2937" spans="28:32" x14ac:dyDescent="0.25">
      <c r="AB2937" s="167" t="s">
        <v>2439</v>
      </c>
      <c r="AC2937" s="167">
        <v>353</v>
      </c>
      <c r="AD2937" s="203">
        <v>43180</v>
      </c>
      <c r="AE2937" s="203">
        <v>0</v>
      </c>
      <c r="AF2937" s="167" t="s">
        <v>3469</v>
      </c>
    </row>
    <row r="2938" spans="28:32" x14ac:dyDescent="0.25">
      <c r="AB2938" s="167" t="s">
        <v>3491</v>
      </c>
      <c r="AC2938" s="167">
        <v>364</v>
      </c>
      <c r="AD2938" s="203">
        <v>43168</v>
      </c>
      <c r="AE2938" s="203">
        <v>43179</v>
      </c>
      <c r="AF2938" s="167" t="s">
        <v>3470</v>
      </c>
    </row>
    <row r="2939" spans="28:32" x14ac:dyDescent="0.25">
      <c r="AB2939" s="167" t="s">
        <v>2441</v>
      </c>
      <c r="AC2939" s="167">
        <v>323</v>
      </c>
      <c r="AD2939" s="203">
        <v>43074</v>
      </c>
      <c r="AE2939" s="203">
        <v>43111</v>
      </c>
      <c r="AF2939" s="167" t="s">
        <v>3470</v>
      </c>
    </row>
    <row r="2940" spans="28:32" x14ac:dyDescent="0.25">
      <c r="AB2940" s="167" t="s">
        <v>2441</v>
      </c>
      <c r="AC2940" s="167">
        <v>347</v>
      </c>
      <c r="AD2940" s="203">
        <v>43118</v>
      </c>
      <c r="AE2940" s="203">
        <v>43133</v>
      </c>
      <c r="AF2940" s="167" t="s">
        <v>3470</v>
      </c>
    </row>
    <row r="2941" spans="28:32" x14ac:dyDescent="0.25">
      <c r="AB2941" s="167" t="s">
        <v>2441</v>
      </c>
      <c r="AC2941" s="167">
        <v>340</v>
      </c>
      <c r="AD2941" s="203">
        <v>43133</v>
      </c>
      <c r="AE2941" s="203">
        <v>43168</v>
      </c>
      <c r="AF2941" s="167" t="s">
        <v>3470</v>
      </c>
    </row>
    <row r="2942" spans="28:32" x14ac:dyDescent="0.25">
      <c r="AB2942" s="167" t="s">
        <v>2441</v>
      </c>
      <c r="AC2942" s="167">
        <v>374</v>
      </c>
      <c r="AD2942" s="203">
        <v>43195</v>
      </c>
      <c r="AE2942" s="203">
        <v>0</v>
      </c>
      <c r="AF2942" s="167" t="s">
        <v>3469</v>
      </c>
    </row>
    <row r="2943" spans="28:32" x14ac:dyDescent="0.25">
      <c r="AB2943" s="167" t="s">
        <v>3492</v>
      </c>
      <c r="AC2943" s="167">
        <v>347</v>
      </c>
      <c r="AD2943" s="203">
        <v>43118</v>
      </c>
      <c r="AE2943" s="203">
        <v>43133</v>
      </c>
      <c r="AF2943" s="167" t="s">
        <v>3470</v>
      </c>
    </row>
    <row r="2944" spans="28:32" x14ac:dyDescent="0.25">
      <c r="AB2944" s="167" t="s">
        <v>3492</v>
      </c>
      <c r="AC2944" s="167">
        <v>340</v>
      </c>
      <c r="AD2944" s="203">
        <v>43133</v>
      </c>
      <c r="AE2944" s="203">
        <v>43168</v>
      </c>
      <c r="AF2944" s="167" t="s">
        <v>3470</v>
      </c>
    </row>
    <row r="2945" spans="28:32" x14ac:dyDescent="0.25">
      <c r="AB2945" s="167" t="s">
        <v>2442</v>
      </c>
      <c r="AC2945" s="167">
        <v>323</v>
      </c>
      <c r="AD2945" s="203">
        <v>43074</v>
      </c>
      <c r="AE2945" s="203">
        <v>43111</v>
      </c>
      <c r="AF2945" s="167" t="s">
        <v>3470</v>
      </c>
    </row>
    <row r="2946" spans="28:32" x14ac:dyDescent="0.25">
      <c r="AB2946" s="167" t="s">
        <v>2442</v>
      </c>
      <c r="AC2946" s="167">
        <v>347</v>
      </c>
      <c r="AD2946" s="203">
        <v>43118</v>
      </c>
      <c r="AE2946" s="203">
        <v>43133</v>
      </c>
      <c r="AF2946" s="167" t="s">
        <v>3470</v>
      </c>
    </row>
    <row r="2947" spans="28:32" x14ac:dyDescent="0.25">
      <c r="AB2947" s="167" t="s">
        <v>2442</v>
      </c>
      <c r="AC2947" s="167">
        <v>340</v>
      </c>
      <c r="AD2947" s="203">
        <v>43133</v>
      </c>
      <c r="AE2947" s="203">
        <v>43168</v>
      </c>
      <c r="AF2947" s="167" t="s">
        <v>3470</v>
      </c>
    </row>
    <row r="2948" spans="28:32" x14ac:dyDescent="0.25">
      <c r="AB2948" s="167" t="s">
        <v>2442</v>
      </c>
      <c r="AC2948" s="167">
        <v>340</v>
      </c>
      <c r="AD2948" s="203">
        <v>43133</v>
      </c>
      <c r="AE2948" s="203">
        <v>43168</v>
      </c>
      <c r="AF2948" s="167" t="s">
        <v>3470</v>
      </c>
    </row>
    <row r="2949" spans="28:32" x14ac:dyDescent="0.25">
      <c r="AB2949" s="167" t="s">
        <v>2442</v>
      </c>
      <c r="AC2949" s="167">
        <v>364</v>
      </c>
      <c r="AD2949" s="203">
        <v>43168</v>
      </c>
      <c r="AE2949" s="203">
        <v>43179</v>
      </c>
      <c r="AF2949" s="167" t="s">
        <v>3470</v>
      </c>
    </row>
    <row r="2950" spans="28:32" x14ac:dyDescent="0.25">
      <c r="AB2950" s="167" t="s">
        <v>2442</v>
      </c>
      <c r="AC2950" s="167">
        <v>374</v>
      </c>
      <c r="AD2950" s="203">
        <v>43195</v>
      </c>
      <c r="AE2950" s="203">
        <v>0</v>
      </c>
      <c r="AF2950" s="167" t="s">
        <v>3469</v>
      </c>
    </row>
    <row r="2951" spans="28:32" x14ac:dyDescent="0.25">
      <c r="AB2951" s="167" t="s">
        <v>2443</v>
      </c>
      <c r="AC2951" s="167">
        <v>323</v>
      </c>
      <c r="AD2951" s="203">
        <v>43074</v>
      </c>
      <c r="AE2951" s="203">
        <v>43111</v>
      </c>
      <c r="AF2951" s="167" t="s">
        <v>3470</v>
      </c>
    </row>
    <row r="2952" spans="28:32" x14ac:dyDescent="0.25">
      <c r="AB2952" s="167" t="s">
        <v>2443</v>
      </c>
      <c r="AC2952" s="167">
        <v>357</v>
      </c>
      <c r="AD2952" s="203">
        <v>43139</v>
      </c>
      <c r="AE2952" s="203">
        <v>43164</v>
      </c>
      <c r="AF2952" s="167" t="s">
        <v>3470</v>
      </c>
    </row>
    <row r="2953" spans="28:32" x14ac:dyDescent="0.25">
      <c r="AB2953" s="167" t="s">
        <v>2443</v>
      </c>
      <c r="AC2953" s="167">
        <v>364</v>
      </c>
      <c r="AD2953" s="203">
        <v>43168</v>
      </c>
      <c r="AE2953" s="203">
        <v>43179</v>
      </c>
      <c r="AF2953" s="167" t="s">
        <v>3470</v>
      </c>
    </row>
    <row r="2954" spans="28:32" x14ac:dyDescent="0.25">
      <c r="AB2954" s="167" t="s">
        <v>2443</v>
      </c>
      <c r="AC2954" s="167">
        <v>353</v>
      </c>
      <c r="AD2954" s="203">
        <v>43180</v>
      </c>
      <c r="AE2954" s="203">
        <v>0</v>
      </c>
      <c r="AF2954" s="167" t="s">
        <v>3469</v>
      </c>
    </row>
    <row r="2955" spans="28:32" x14ac:dyDescent="0.25">
      <c r="AB2955" s="167" t="s">
        <v>2445</v>
      </c>
      <c r="AC2955" s="167">
        <v>323</v>
      </c>
      <c r="AD2955" s="203">
        <v>43074</v>
      </c>
      <c r="AE2955" s="203">
        <v>43111</v>
      </c>
      <c r="AF2955" s="167" t="s">
        <v>3470</v>
      </c>
    </row>
    <row r="2956" spans="28:32" x14ac:dyDescent="0.25">
      <c r="AB2956" s="167" t="s">
        <v>2445</v>
      </c>
      <c r="AC2956" s="167">
        <v>340</v>
      </c>
      <c r="AD2956" s="203">
        <v>43133</v>
      </c>
      <c r="AE2956" s="203">
        <v>43168</v>
      </c>
      <c r="AF2956" s="167" t="s">
        <v>3470</v>
      </c>
    </row>
    <row r="2957" spans="28:32" x14ac:dyDescent="0.25">
      <c r="AB2957" s="167" t="s">
        <v>2445</v>
      </c>
      <c r="AC2957" s="167">
        <v>357</v>
      </c>
      <c r="AD2957" s="203">
        <v>43139</v>
      </c>
      <c r="AE2957" s="203">
        <v>43164</v>
      </c>
      <c r="AF2957" s="167" t="s">
        <v>3470</v>
      </c>
    </row>
    <row r="2958" spans="28:32" x14ac:dyDescent="0.25">
      <c r="AB2958" s="167" t="s">
        <v>2445</v>
      </c>
      <c r="AC2958" s="167">
        <v>364</v>
      </c>
      <c r="AD2958" s="203">
        <v>43168</v>
      </c>
      <c r="AE2958" s="203">
        <v>43179</v>
      </c>
      <c r="AF2958" s="167" t="s">
        <v>3470</v>
      </c>
    </row>
    <row r="2959" spans="28:32" x14ac:dyDescent="0.25">
      <c r="AB2959" s="167" t="s">
        <v>2445</v>
      </c>
      <c r="AC2959" s="167">
        <v>353</v>
      </c>
      <c r="AD2959" s="203">
        <v>43180</v>
      </c>
      <c r="AE2959" s="203">
        <v>0</v>
      </c>
      <c r="AF2959" s="167" t="s">
        <v>3469</v>
      </c>
    </row>
    <row r="2960" spans="28:32" x14ac:dyDescent="0.25">
      <c r="AB2960" s="167" t="s">
        <v>2445</v>
      </c>
      <c r="AC2960" s="167">
        <v>353</v>
      </c>
      <c r="AD2960" s="203">
        <v>43180</v>
      </c>
      <c r="AE2960" s="203">
        <v>0</v>
      </c>
      <c r="AF2960" s="167" t="s">
        <v>3469</v>
      </c>
    </row>
    <row r="2961" spans="28:32" x14ac:dyDescent="0.25">
      <c r="AB2961" s="167" t="s">
        <v>2447</v>
      </c>
      <c r="AC2961" s="167">
        <v>327</v>
      </c>
      <c r="AD2961" s="203">
        <v>43074</v>
      </c>
      <c r="AE2961" s="203">
        <v>43131</v>
      </c>
      <c r="AF2961" s="167" t="s">
        <v>3470</v>
      </c>
    </row>
    <row r="2962" spans="28:32" x14ac:dyDescent="0.25">
      <c r="AB2962" s="167" t="s">
        <v>2447</v>
      </c>
      <c r="AC2962" s="167">
        <v>347</v>
      </c>
      <c r="AD2962" s="203">
        <v>43118</v>
      </c>
      <c r="AE2962" s="203">
        <v>43133</v>
      </c>
      <c r="AF2962" s="167" t="s">
        <v>3470</v>
      </c>
    </row>
    <row r="2963" spans="28:32" x14ac:dyDescent="0.25">
      <c r="AB2963" s="167" t="s">
        <v>2447</v>
      </c>
      <c r="AC2963" s="167">
        <v>340</v>
      </c>
      <c r="AD2963" s="203">
        <v>43133</v>
      </c>
      <c r="AE2963" s="203">
        <v>43168</v>
      </c>
      <c r="AF2963" s="167" t="s">
        <v>3470</v>
      </c>
    </row>
    <row r="2964" spans="28:32" x14ac:dyDescent="0.25">
      <c r="AB2964" s="167" t="s">
        <v>2447</v>
      </c>
      <c r="AC2964" s="167">
        <v>340</v>
      </c>
      <c r="AD2964" s="203">
        <v>43133</v>
      </c>
      <c r="AE2964" s="203">
        <v>43168</v>
      </c>
      <c r="AF2964" s="167" t="s">
        <v>3470</v>
      </c>
    </row>
    <row r="2965" spans="28:32" x14ac:dyDescent="0.25">
      <c r="AB2965" s="167" t="s">
        <v>2447</v>
      </c>
      <c r="AC2965" s="167">
        <v>364</v>
      </c>
      <c r="AD2965" s="203">
        <v>43168</v>
      </c>
      <c r="AE2965" s="203">
        <v>43179</v>
      </c>
      <c r="AF2965" s="167" t="s">
        <v>3470</v>
      </c>
    </row>
    <row r="2966" spans="28:32" x14ac:dyDescent="0.25">
      <c r="AB2966" s="167" t="s">
        <v>2447</v>
      </c>
      <c r="AC2966" s="167">
        <v>353</v>
      </c>
      <c r="AD2966" s="203">
        <v>43180</v>
      </c>
      <c r="AE2966" s="203">
        <v>0</v>
      </c>
      <c r="AF2966" s="167" t="s">
        <v>3469</v>
      </c>
    </row>
    <row r="2967" spans="28:32" x14ac:dyDescent="0.25">
      <c r="AB2967" s="167" t="s">
        <v>2448</v>
      </c>
      <c r="AC2967" s="167">
        <v>340</v>
      </c>
      <c r="AD2967" s="203">
        <v>43133</v>
      </c>
      <c r="AE2967" s="203">
        <v>43168</v>
      </c>
      <c r="AF2967" s="167" t="s">
        <v>3470</v>
      </c>
    </row>
    <row r="2968" spans="28:32" x14ac:dyDescent="0.25">
      <c r="AB2968" s="167" t="s">
        <v>2449</v>
      </c>
      <c r="AC2968" s="167">
        <v>347</v>
      </c>
      <c r="AD2968" s="203">
        <v>43118</v>
      </c>
      <c r="AE2968" s="203">
        <v>43133</v>
      </c>
      <c r="AF2968" s="167" t="s">
        <v>3470</v>
      </c>
    </row>
    <row r="2969" spans="28:32" x14ac:dyDescent="0.25">
      <c r="AB2969" s="167" t="s">
        <v>2449</v>
      </c>
      <c r="AC2969" s="167">
        <v>340</v>
      </c>
      <c r="AD2969" s="203">
        <v>43133</v>
      </c>
      <c r="AE2969" s="203">
        <v>43168</v>
      </c>
      <c r="AF2969" s="167" t="s">
        <v>3470</v>
      </c>
    </row>
    <row r="2970" spans="28:32" x14ac:dyDescent="0.25">
      <c r="AB2970" s="167" t="s">
        <v>2449</v>
      </c>
      <c r="AC2970" s="167">
        <v>374</v>
      </c>
      <c r="AD2970" s="203">
        <v>43195</v>
      </c>
      <c r="AE2970" s="203">
        <v>0</v>
      </c>
      <c r="AF2970" s="167" t="s">
        <v>3469</v>
      </c>
    </row>
    <row r="2971" spans="28:32" x14ac:dyDescent="0.25">
      <c r="AB2971" s="167" t="s">
        <v>2451</v>
      </c>
      <c r="AC2971" s="167">
        <v>323</v>
      </c>
      <c r="AD2971" s="203">
        <v>43074</v>
      </c>
      <c r="AE2971" s="203">
        <v>43111</v>
      </c>
      <c r="AF2971" s="167" t="s">
        <v>3470</v>
      </c>
    </row>
    <row r="2972" spans="28:32" x14ac:dyDescent="0.25">
      <c r="AB2972" s="167" t="s">
        <v>2451</v>
      </c>
      <c r="AC2972" s="167">
        <v>364</v>
      </c>
      <c r="AD2972" s="203">
        <v>43168</v>
      </c>
      <c r="AE2972" s="203">
        <v>43179</v>
      </c>
      <c r="AF2972" s="167" t="s">
        <v>3470</v>
      </c>
    </row>
    <row r="2973" spans="28:32" x14ac:dyDescent="0.25">
      <c r="AB2973" s="167" t="s">
        <v>2451</v>
      </c>
      <c r="AC2973" s="167">
        <v>353</v>
      </c>
      <c r="AD2973" s="203">
        <v>43180</v>
      </c>
      <c r="AE2973" s="203">
        <v>0</v>
      </c>
      <c r="AF2973" s="167" t="s">
        <v>3469</v>
      </c>
    </row>
    <row r="2974" spans="28:32" x14ac:dyDescent="0.25">
      <c r="AB2974" s="167" t="s">
        <v>2452</v>
      </c>
      <c r="AC2974" s="167">
        <v>327</v>
      </c>
      <c r="AD2974" s="203">
        <v>43074</v>
      </c>
      <c r="AE2974" s="203">
        <v>43131</v>
      </c>
      <c r="AF2974" s="167" t="s">
        <v>3470</v>
      </c>
    </row>
    <row r="2975" spans="28:32" x14ac:dyDescent="0.25">
      <c r="AB2975" s="167" t="s">
        <v>2454</v>
      </c>
      <c r="AC2975" s="167">
        <v>347</v>
      </c>
      <c r="AD2975" s="203">
        <v>43118</v>
      </c>
      <c r="AE2975" s="203">
        <v>43133</v>
      </c>
      <c r="AF2975" s="167" t="s">
        <v>3470</v>
      </c>
    </row>
    <row r="2976" spans="28:32" x14ac:dyDescent="0.25">
      <c r="AB2976" s="167" t="s">
        <v>2454</v>
      </c>
      <c r="AC2976" s="167">
        <v>340</v>
      </c>
      <c r="AD2976" s="203">
        <v>43133</v>
      </c>
      <c r="AE2976" s="203">
        <v>43168</v>
      </c>
      <c r="AF2976" s="167" t="s">
        <v>3470</v>
      </c>
    </row>
    <row r="2977" spans="28:32" x14ac:dyDescent="0.25">
      <c r="AB2977" s="167" t="s">
        <v>2454</v>
      </c>
      <c r="AC2977" s="167">
        <v>364</v>
      </c>
      <c r="AD2977" s="203">
        <v>43168</v>
      </c>
      <c r="AE2977" s="203">
        <v>43179</v>
      </c>
      <c r="AF2977" s="167" t="s">
        <v>3470</v>
      </c>
    </row>
    <row r="2978" spans="28:32" x14ac:dyDescent="0.25">
      <c r="AB2978" s="167" t="s">
        <v>2454</v>
      </c>
      <c r="AC2978" s="167">
        <v>353</v>
      </c>
      <c r="AD2978" s="203">
        <v>43180</v>
      </c>
      <c r="AE2978" s="203">
        <v>0</v>
      </c>
      <c r="AF2978" s="167" t="s">
        <v>3469</v>
      </c>
    </row>
    <row r="2979" spans="28:32" x14ac:dyDescent="0.25">
      <c r="AB2979" s="167" t="s">
        <v>2454</v>
      </c>
      <c r="AC2979" s="167">
        <v>353</v>
      </c>
      <c r="AD2979" s="203">
        <v>43180</v>
      </c>
      <c r="AE2979" s="203">
        <v>0</v>
      </c>
      <c r="AF2979" s="167" t="s">
        <v>3469</v>
      </c>
    </row>
    <row r="2980" spans="28:32" x14ac:dyDescent="0.25">
      <c r="AB2980" s="167" t="s">
        <v>2454</v>
      </c>
      <c r="AC2980" s="167">
        <v>353</v>
      </c>
      <c r="AD2980" s="203">
        <v>43180</v>
      </c>
      <c r="AE2980" s="203">
        <v>0</v>
      </c>
      <c r="AF2980" s="167" t="s">
        <v>3469</v>
      </c>
    </row>
    <row r="2981" spans="28:32" x14ac:dyDescent="0.25">
      <c r="AB2981" s="167" t="s">
        <v>2454</v>
      </c>
      <c r="AC2981" s="167">
        <v>353</v>
      </c>
      <c r="AD2981" s="203">
        <v>43180</v>
      </c>
      <c r="AE2981" s="203">
        <v>0</v>
      </c>
      <c r="AF2981" s="167" t="s">
        <v>3469</v>
      </c>
    </row>
    <row r="2982" spans="28:32" x14ac:dyDescent="0.25">
      <c r="AB2982" s="167" t="s">
        <v>2454</v>
      </c>
      <c r="AC2982" s="167">
        <v>353</v>
      </c>
      <c r="AD2982" s="203">
        <v>43180</v>
      </c>
      <c r="AE2982" s="203">
        <v>0</v>
      </c>
      <c r="AF2982" s="167" t="s">
        <v>3469</v>
      </c>
    </row>
    <row r="2983" spans="28:32" x14ac:dyDescent="0.25">
      <c r="AB2983" s="167" t="s">
        <v>2456</v>
      </c>
      <c r="AC2983" s="167">
        <v>323</v>
      </c>
      <c r="AD2983" s="203">
        <v>43074</v>
      </c>
      <c r="AE2983" s="203">
        <v>43111</v>
      </c>
      <c r="AF2983" s="167" t="s">
        <v>3470</v>
      </c>
    </row>
    <row r="2984" spans="28:32" x14ac:dyDescent="0.25">
      <c r="AB2984" s="167" t="s">
        <v>2456</v>
      </c>
      <c r="AC2984" s="167">
        <v>364</v>
      </c>
      <c r="AD2984" s="203">
        <v>43168</v>
      </c>
      <c r="AE2984" s="203">
        <v>43179</v>
      </c>
      <c r="AF2984" s="167" t="s">
        <v>3470</v>
      </c>
    </row>
    <row r="2985" spans="28:32" x14ac:dyDescent="0.25">
      <c r="AB2985" s="167" t="s">
        <v>2456</v>
      </c>
      <c r="AC2985" s="167">
        <v>353</v>
      </c>
      <c r="AD2985" s="203">
        <v>43180</v>
      </c>
      <c r="AE2985" s="203">
        <v>0</v>
      </c>
      <c r="AF2985" s="167" t="s">
        <v>3469</v>
      </c>
    </row>
    <row r="2986" spans="28:32" x14ac:dyDescent="0.25">
      <c r="AB2986" s="167" t="s">
        <v>2458</v>
      </c>
      <c r="AC2986" s="167">
        <v>353</v>
      </c>
      <c r="AD2986" s="203">
        <v>43180</v>
      </c>
      <c r="AE2986" s="203">
        <v>0</v>
      </c>
      <c r="AF2986" s="167" t="s">
        <v>3469</v>
      </c>
    </row>
    <row r="2987" spans="28:32" x14ac:dyDescent="0.25">
      <c r="AB2987" s="167" t="s">
        <v>2460</v>
      </c>
      <c r="AC2987" s="167">
        <v>347</v>
      </c>
      <c r="AD2987" s="203">
        <v>43118</v>
      </c>
      <c r="AE2987" s="203">
        <v>43133</v>
      </c>
      <c r="AF2987" s="167" t="s">
        <v>3470</v>
      </c>
    </row>
    <row r="2988" spans="28:32" x14ac:dyDescent="0.25">
      <c r="AB2988" s="167" t="s">
        <v>2460</v>
      </c>
      <c r="AC2988" s="167">
        <v>340</v>
      </c>
      <c r="AD2988" s="203">
        <v>43133</v>
      </c>
      <c r="AE2988" s="203">
        <v>43168</v>
      </c>
      <c r="AF2988" s="167" t="s">
        <v>3470</v>
      </c>
    </row>
    <row r="2989" spans="28:32" x14ac:dyDescent="0.25">
      <c r="AB2989" s="167" t="s">
        <v>2460</v>
      </c>
      <c r="AC2989" s="167">
        <v>340</v>
      </c>
      <c r="AD2989" s="203">
        <v>43133</v>
      </c>
      <c r="AE2989" s="203">
        <v>43168</v>
      </c>
      <c r="AF2989" s="167" t="s">
        <v>3470</v>
      </c>
    </row>
    <row r="2990" spans="28:32" x14ac:dyDescent="0.25">
      <c r="AB2990" s="167" t="s">
        <v>2460</v>
      </c>
      <c r="AC2990" s="167">
        <v>357</v>
      </c>
      <c r="AD2990" s="203">
        <v>43139</v>
      </c>
      <c r="AE2990" s="203">
        <v>43164</v>
      </c>
      <c r="AF2990" s="167" t="s">
        <v>3470</v>
      </c>
    </row>
    <row r="2991" spans="28:32" x14ac:dyDescent="0.25">
      <c r="AB2991" s="167" t="s">
        <v>2460</v>
      </c>
      <c r="AC2991" s="167">
        <v>353</v>
      </c>
      <c r="AD2991" s="203">
        <v>43180</v>
      </c>
      <c r="AE2991" s="203">
        <v>0</v>
      </c>
      <c r="AF2991" s="167" t="s">
        <v>3469</v>
      </c>
    </row>
    <row r="2992" spans="28:32" x14ac:dyDescent="0.25">
      <c r="AB2992" s="167" t="s">
        <v>2460</v>
      </c>
      <c r="AC2992" s="167">
        <v>353</v>
      </c>
      <c r="AD2992" s="203">
        <v>43180</v>
      </c>
      <c r="AE2992" s="203">
        <v>0</v>
      </c>
      <c r="AF2992" s="167" t="s">
        <v>3469</v>
      </c>
    </row>
    <row r="2993" spans="28:32" x14ac:dyDescent="0.25">
      <c r="AB2993" s="167" t="s">
        <v>2462</v>
      </c>
      <c r="AC2993" s="167">
        <v>374</v>
      </c>
      <c r="AD2993" s="203">
        <v>43195</v>
      </c>
      <c r="AE2993" s="203">
        <v>0</v>
      </c>
      <c r="AF2993" s="167" t="s">
        <v>3469</v>
      </c>
    </row>
    <row r="2994" spans="28:32" x14ac:dyDescent="0.25">
      <c r="AB2994" s="167" t="s">
        <v>2464</v>
      </c>
      <c r="AC2994" s="167">
        <v>347</v>
      </c>
      <c r="AD2994" s="203">
        <v>43118</v>
      </c>
      <c r="AE2994" s="203">
        <v>43133</v>
      </c>
      <c r="AF2994" s="167" t="s">
        <v>3470</v>
      </c>
    </row>
    <row r="2995" spans="28:32" x14ac:dyDescent="0.25">
      <c r="AB2995" s="167" t="s">
        <v>2464</v>
      </c>
      <c r="AC2995" s="167">
        <v>353</v>
      </c>
      <c r="AD2995" s="203">
        <v>43180</v>
      </c>
      <c r="AE2995" s="203">
        <v>0</v>
      </c>
      <c r="AF2995" s="167" t="s">
        <v>3469</v>
      </c>
    </row>
    <row r="2996" spans="28:32" x14ac:dyDescent="0.25">
      <c r="AB2996" s="167" t="s">
        <v>2464</v>
      </c>
      <c r="AC2996" s="167">
        <v>353</v>
      </c>
      <c r="AD2996" s="203">
        <v>43180</v>
      </c>
      <c r="AE2996" s="203">
        <v>0</v>
      </c>
      <c r="AF2996" s="167" t="s">
        <v>3469</v>
      </c>
    </row>
    <row r="2997" spans="28:32" x14ac:dyDescent="0.25">
      <c r="AB2997" s="167" t="s">
        <v>2464</v>
      </c>
      <c r="AC2997" s="167">
        <v>353</v>
      </c>
      <c r="AD2997" s="203">
        <v>43180</v>
      </c>
      <c r="AE2997" s="203">
        <v>0</v>
      </c>
      <c r="AF2997" s="167" t="s">
        <v>3469</v>
      </c>
    </row>
    <row r="2998" spans="28:32" x14ac:dyDescent="0.25">
      <c r="AB2998" s="167" t="s">
        <v>2464</v>
      </c>
      <c r="AC2998" s="167">
        <v>353</v>
      </c>
      <c r="AD2998" s="203">
        <v>43180</v>
      </c>
      <c r="AE2998" s="203">
        <v>0</v>
      </c>
      <c r="AF2998" s="167" t="s">
        <v>3469</v>
      </c>
    </row>
    <row r="2999" spans="28:32" x14ac:dyDescent="0.25">
      <c r="AB2999" s="167" t="s">
        <v>2464</v>
      </c>
      <c r="AC2999" s="167">
        <v>353</v>
      </c>
      <c r="AD2999" s="203">
        <v>43180</v>
      </c>
      <c r="AE2999" s="203">
        <v>0</v>
      </c>
      <c r="AF2999" s="167" t="s">
        <v>3469</v>
      </c>
    </row>
    <row r="3000" spans="28:32" x14ac:dyDescent="0.25">
      <c r="AB3000" s="167" t="s">
        <v>2464</v>
      </c>
      <c r="AC3000" s="167">
        <v>353</v>
      </c>
      <c r="AD3000" s="203">
        <v>43180</v>
      </c>
      <c r="AE3000" s="203">
        <v>0</v>
      </c>
      <c r="AF3000" s="167" t="s">
        <v>3469</v>
      </c>
    </row>
    <row r="3001" spans="28:32" x14ac:dyDescent="0.25">
      <c r="AB3001" s="167" t="s">
        <v>2465</v>
      </c>
      <c r="AC3001" s="167">
        <v>327</v>
      </c>
      <c r="AD3001" s="203">
        <v>43074</v>
      </c>
      <c r="AE3001" s="203">
        <v>43131</v>
      </c>
      <c r="AF3001" s="167" t="s">
        <v>3470</v>
      </c>
    </row>
    <row r="3002" spans="28:32" x14ac:dyDescent="0.25">
      <c r="AB3002" s="167" t="s">
        <v>3493</v>
      </c>
      <c r="AC3002" s="167">
        <v>347</v>
      </c>
      <c r="AD3002" s="203">
        <v>43118</v>
      </c>
      <c r="AE3002" s="203">
        <v>43133</v>
      </c>
      <c r="AF3002" s="167" t="s">
        <v>3470</v>
      </c>
    </row>
    <row r="3003" spans="28:32" x14ac:dyDescent="0.25">
      <c r="AB3003" s="167" t="s">
        <v>3493</v>
      </c>
      <c r="AC3003" s="167">
        <v>340</v>
      </c>
      <c r="AD3003" s="203">
        <v>43133</v>
      </c>
      <c r="AE3003" s="203">
        <v>43168</v>
      </c>
      <c r="AF3003" s="167" t="s">
        <v>3470</v>
      </c>
    </row>
    <row r="3004" spans="28:32" x14ac:dyDescent="0.25">
      <c r="AB3004" s="167" t="s">
        <v>2467</v>
      </c>
      <c r="AC3004" s="167">
        <v>364</v>
      </c>
      <c r="AD3004" s="203">
        <v>43168</v>
      </c>
      <c r="AE3004" s="203">
        <v>43179</v>
      </c>
      <c r="AF3004" s="167" t="s">
        <v>3470</v>
      </c>
    </row>
    <row r="3005" spans="28:32" x14ac:dyDescent="0.25">
      <c r="AB3005" s="167" t="s">
        <v>2467</v>
      </c>
      <c r="AC3005" s="167">
        <v>353</v>
      </c>
      <c r="AD3005" s="203">
        <v>43180</v>
      </c>
      <c r="AE3005" s="203">
        <v>0</v>
      </c>
      <c r="AF3005" s="167" t="s">
        <v>3469</v>
      </c>
    </row>
    <row r="3006" spans="28:32" x14ac:dyDescent="0.25">
      <c r="AB3006" s="167" t="s">
        <v>2468</v>
      </c>
      <c r="AC3006" s="167">
        <v>327</v>
      </c>
      <c r="AD3006" s="203">
        <v>43074</v>
      </c>
      <c r="AE3006" s="203">
        <v>43131</v>
      </c>
      <c r="AF3006" s="167" t="s">
        <v>3470</v>
      </c>
    </row>
    <row r="3007" spans="28:32" x14ac:dyDescent="0.25">
      <c r="AB3007" s="167" t="s">
        <v>2468</v>
      </c>
      <c r="AC3007" s="167">
        <v>340</v>
      </c>
      <c r="AD3007" s="203">
        <v>43133</v>
      </c>
      <c r="AE3007" s="203">
        <v>43168</v>
      </c>
      <c r="AF3007" s="167" t="s">
        <v>3470</v>
      </c>
    </row>
    <row r="3008" spans="28:32" x14ac:dyDescent="0.25">
      <c r="AB3008" s="167" t="s">
        <v>2469</v>
      </c>
      <c r="AC3008" s="167">
        <v>340</v>
      </c>
      <c r="AD3008" s="203">
        <v>43133</v>
      </c>
      <c r="AE3008" s="203">
        <v>43168</v>
      </c>
      <c r="AF3008" s="167" t="s">
        <v>3470</v>
      </c>
    </row>
    <row r="3009" spans="28:32" x14ac:dyDescent="0.25">
      <c r="AB3009" s="167" t="s">
        <v>2469</v>
      </c>
      <c r="AC3009" s="167">
        <v>364</v>
      </c>
      <c r="AD3009" s="203">
        <v>43168</v>
      </c>
      <c r="AE3009" s="203">
        <v>43179</v>
      </c>
      <c r="AF3009" s="167" t="s">
        <v>3470</v>
      </c>
    </row>
    <row r="3010" spans="28:32" x14ac:dyDescent="0.25">
      <c r="AB3010" s="167" t="s">
        <v>2469</v>
      </c>
      <c r="AC3010" s="167">
        <v>353</v>
      </c>
      <c r="AD3010" s="203">
        <v>43180</v>
      </c>
      <c r="AE3010" s="203">
        <v>0</v>
      </c>
      <c r="AF3010" s="167" t="s">
        <v>3469</v>
      </c>
    </row>
    <row r="3011" spans="28:32" x14ac:dyDescent="0.25">
      <c r="AB3011" s="167" t="s">
        <v>2471</v>
      </c>
      <c r="AC3011" s="167">
        <v>364</v>
      </c>
      <c r="AD3011" s="203">
        <v>43168</v>
      </c>
      <c r="AE3011" s="203">
        <v>43179</v>
      </c>
      <c r="AF3011" s="167" t="s">
        <v>3470</v>
      </c>
    </row>
    <row r="3012" spans="28:32" x14ac:dyDescent="0.25">
      <c r="AB3012" s="167" t="s">
        <v>2471</v>
      </c>
      <c r="AC3012" s="167">
        <v>353</v>
      </c>
      <c r="AD3012" s="203">
        <v>43180</v>
      </c>
      <c r="AE3012" s="203">
        <v>0</v>
      </c>
      <c r="AF3012" s="167" t="s">
        <v>3469</v>
      </c>
    </row>
    <row r="3013" spans="28:32" x14ac:dyDescent="0.25">
      <c r="AB3013" s="167" t="s">
        <v>2473</v>
      </c>
      <c r="AC3013" s="167">
        <v>327</v>
      </c>
      <c r="AD3013" s="203">
        <v>43074</v>
      </c>
      <c r="AE3013" s="203">
        <v>43131</v>
      </c>
      <c r="AF3013" s="167" t="s">
        <v>3470</v>
      </c>
    </row>
    <row r="3014" spans="28:32" x14ac:dyDescent="0.25">
      <c r="AB3014" s="167" t="s">
        <v>2473</v>
      </c>
      <c r="AC3014" s="167">
        <v>347</v>
      </c>
      <c r="AD3014" s="203">
        <v>43118</v>
      </c>
      <c r="AE3014" s="203">
        <v>43133</v>
      </c>
      <c r="AF3014" s="167" t="s">
        <v>3470</v>
      </c>
    </row>
    <row r="3015" spans="28:32" x14ac:dyDescent="0.25">
      <c r="AB3015" s="167" t="s">
        <v>2473</v>
      </c>
      <c r="AC3015" s="167">
        <v>340</v>
      </c>
      <c r="AD3015" s="203">
        <v>43133</v>
      </c>
      <c r="AE3015" s="203">
        <v>43168</v>
      </c>
      <c r="AF3015" s="167" t="s">
        <v>3470</v>
      </c>
    </row>
    <row r="3016" spans="28:32" x14ac:dyDescent="0.25">
      <c r="AB3016" s="167" t="s">
        <v>2473</v>
      </c>
      <c r="AC3016" s="167">
        <v>353</v>
      </c>
      <c r="AD3016" s="203">
        <v>43180</v>
      </c>
      <c r="AE3016" s="203">
        <v>0</v>
      </c>
      <c r="AF3016" s="167" t="s">
        <v>3469</v>
      </c>
    </row>
    <row r="3017" spans="28:32" x14ac:dyDescent="0.25">
      <c r="AB3017" s="167" t="s">
        <v>2473</v>
      </c>
      <c r="AC3017" s="167">
        <v>353</v>
      </c>
      <c r="AD3017" s="203">
        <v>43180</v>
      </c>
      <c r="AE3017" s="203">
        <v>0</v>
      </c>
      <c r="AF3017" s="167" t="s">
        <v>3469</v>
      </c>
    </row>
    <row r="3018" spans="28:32" x14ac:dyDescent="0.25">
      <c r="AB3018" s="167" t="s">
        <v>2474</v>
      </c>
      <c r="AC3018" s="167">
        <v>347</v>
      </c>
      <c r="AD3018" s="203">
        <v>43118</v>
      </c>
      <c r="AE3018" s="203">
        <v>43133</v>
      </c>
      <c r="AF3018" s="167" t="s">
        <v>3470</v>
      </c>
    </row>
    <row r="3019" spans="28:32" x14ac:dyDescent="0.25">
      <c r="AB3019" s="167" t="s">
        <v>2474</v>
      </c>
      <c r="AC3019" s="167">
        <v>340</v>
      </c>
      <c r="AD3019" s="203">
        <v>43133</v>
      </c>
      <c r="AE3019" s="203">
        <v>43168</v>
      </c>
      <c r="AF3019" s="167" t="s">
        <v>3470</v>
      </c>
    </row>
    <row r="3020" spans="28:32" x14ac:dyDescent="0.25">
      <c r="AB3020" s="167" t="s">
        <v>2476</v>
      </c>
      <c r="AC3020" s="167">
        <v>323</v>
      </c>
      <c r="AD3020" s="203">
        <v>43074</v>
      </c>
      <c r="AE3020" s="203">
        <v>43111</v>
      </c>
      <c r="AF3020" s="167" t="s">
        <v>3470</v>
      </c>
    </row>
    <row r="3021" spans="28:32" x14ac:dyDescent="0.25">
      <c r="AB3021" s="167" t="s">
        <v>2476</v>
      </c>
      <c r="AC3021" s="167">
        <v>327</v>
      </c>
      <c r="AD3021" s="203">
        <v>43074</v>
      </c>
      <c r="AE3021" s="203">
        <v>43131</v>
      </c>
      <c r="AF3021" s="167" t="s">
        <v>3470</v>
      </c>
    </row>
    <row r="3022" spans="28:32" x14ac:dyDescent="0.25">
      <c r="AB3022" s="167" t="s">
        <v>2476</v>
      </c>
      <c r="AC3022" s="167">
        <v>347</v>
      </c>
      <c r="AD3022" s="203">
        <v>43118</v>
      </c>
      <c r="AE3022" s="203">
        <v>43133</v>
      </c>
      <c r="AF3022" s="167" t="s">
        <v>3470</v>
      </c>
    </row>
    <row r="3023" spans="28:32" x14ac:dyDescent="0.25">
      <c r="AB3023" s="167" t="s">
        <v>2476</v>
      </c>
      <c r="AC3023" s="167">
        <v>340</v>
      </c>
      <c r="AD3023" s="203">
        <v>43133</v>
      </c>
      <c r="AE3023" s="203">
        <v>43168</v>
      </c>
      <c r="AF3023" s="167" t="s">
        <v>3470</v>
      </c>
    </row>
    <row r="3024" spans="28:32" x14ac:dyDescent="0.25">
      <c r="AB3024" s="167" t="s">
        <v>2476</v>
      </c>
      <c r="AC3024" s="167">
        <v>340</v>
      </c>
      <c r="AD3024" s="203">
        <v>43133</v>
      </c>
      <c r="AE3024" s="203">
        <v>43168</v>
      </c>
      <c r="AF3024" s="167" t="s">
        <v>3470</v>
      </c>
    </row>
    <row r="3025" spans="28:32" x14ac:dyDescent="0.25">
      <c r="AB3025" s="167" t="s">
        <v>2476</v>
      </c>
      <c r="AC3025" s="167">
        <v>357</v>
      </c>
      <c r="AD3025" s="203">
        <v>43139</v>
      </c>
      <c r="AE3025" s="203">
        <v>43164</v>
      </c>
      <c r="AF3025" s="167" t="s">
        <v>3470</v>
      </c>
    </row>
    <row r="3026" spans="28:32" x14ac:dyDescent="0.25">
      <c r="AB3026" s="167" t="s">
        <v>2476</v>
      </c>
      <c r="AC3026" s="167">
        <v>364</v>
      </c>
      <c r="AD3026" s="203">
        <v>43168</v>
      </c>
      <c r="AE3026" s="203">
        <v>43179</v>
      </c>
      <c r="AF3026" s="167" t="s">
        <v>3470</v>
      </c>
    </row>
    <row r="3027" spans="28:32" x14ac:dyDescent="0.25">
      <c r="AB3027" s="167" t="s">
        <v>2476</v>
      </c>
      <c r="AC3027" s="167">
        <v>353</v>
      </c>
      <c r="AD3027" s="203">
        <v>43180</v>
      </c>
      <c r="AE3027" s="203">
        <v>0</v>
      </c>
      <c r="AF3027" s="167" t="s">
        <v>3469</v>
      </c>
    </row>
    <row r="3028" spans="28:32" x14ac:dyDescent="0.25">
      <c r="AB3028" s="167" t="s">
        <v>2476</v>
      </c>
      <c r="AC3028" s="167">
        <v>353</v>
      </c>
      <c r="AD3028" s="203">
        <v>43180</v>
      </c>
      <c r="AE3028" s="203">
        <v>0</v>
      </c>
      <c r="AF3028" s="167" t="s">
        <v>3469</v>
      </c>
    </row>
    <row r="3029" spans="28:32" x14ac:dyDescent="0.25">
      <c r="AB3029" s="167" t="s">
        <v>2476</v>
      </c>
      <c r="AC3029" s="167">
        <v>353</v>
      </c>
      <c r="AD3029" s="203">
        <v>43180</v>
      </c>
      <c r="AE3029" s="203">
        <v>0</v>
      </c>
      <c r="AF3029" s="167" t="s">
        <v>3469</v>
      </c>
    </row>
    <row r="3030" spans="28:32" x14ac:dyDescent="0.25">
      <c r="AB3030" s="167" t="s">
        <v>2478</v>
      </c>
      <c r="AC3030" s="167">
        <v>327</v>
      </c>
      <c r="AD3030" s="203">
        <v>43074</v>
      </c>
      <c r="AE3030" s="203">
        <v>43131</v>
      </c>
      <c r="AF3030" s="167" t="s">
        <v>3470</v>
      </c>
    </row>
    <row r="3031" spans="28:32" x14ac:dyDescent="0.25">
      <c r="AB3031" s="167" t="s">
        <v>2478</v>
      </c>
      <c r="AC3031" s="167">
        <v>347</v>
      </c>
      <c r="AD3031" s="203">
        <v>43118</v>
      </c>
      <c r="AE3031" s="203">
        <v>43133</v>
      </c>
      <c r="AF3031" s="167" t="s">
        <v>3470</v>
      </c>
    </row>
    <row r="3032" spans="28:32" x14ac:dyDescent="0.25">
      <c r="AB3032" s="167" t="s">
        <v>2478</v>
      </c>
      <c r="AC3032" s="167">
        <v>340</v>
      </c>
      <c r="AD3032" s="203">
        <v>43133</v>
      </c>
      <c r="AE3032" s="203">
        <v>43168</v>
      </c>
      <c r="AF3032" s="167" t="s">
        <v>3470</v>
      </c>
    </row>
    <row r="3033" spans="28:32" x14ac:dyDescent="0.25">
      <c r="AB3033" s="167" t="s">
        <v>2478</v>
      </c>
      <c r="AC3033" s="167">
        <v>340</v>
      </c>
      <c r="AD3033" s="203">
        <v>43133</v>
      </c>
      <c r="AE3033" s="203">
        <v>43168</v>
      </c>
      <c r="AF3033" s="167" t="s">
        <v>3470</v>
      </c>
    </row>
    <row r="3034" spans="28:32" x14ac:dyDescent="0.25">
      <c r="AB3034" s="167" t="s">
        <v>2478</v>
      </c>
      <c r="AC3034" s="167">
        <v>364</v>
      </c>
      <c r="AD3034" s="203">
        <v>43168</v>
      </c>
      <c r="AE3034" s="203">
        <v>43179</v>
      </c>
      <c r="AF3034" s="167" t="s">
        <v>3470</v>
      </c>
    </row>
    <row r="3035" spans="28:32" x14ac:dyDescent="0.25">
      <c r="AB3035" s="167" t="s">
        <v>2478</v>
      </c>
      <c r="AC3035" s="167">
        <v>353</v>
      </c>
      <c r="AD3035" s="203">
        <v>43180</v>
      </c>
      <c r="AE3035" s="203">
        <v>0</v>
      </c>
      <c r="AF3035" s="167" t="s">
        <v>3469</v>
      </c>
    </row>
    <row r="3036" spans="28:32" x14ac:dyDescent="0.25">
      <c r="AB3036" s="167" t="s">
        <v>2478</v>
      </c>
      <c r="AC3036" s="167">
        <v>353</v>
      </c>
      <c r="AD3036" s="203">
        <v>43180</v>
      </c>
      <c r="AE3036" s="203">
        <v>0</v>
      </c>
      <c r="AF3036" s="167" t="s">
        <v>3469</v>
      </c>
    </row>
    <row r="3037" spans="28:32" x14ac:dyDescent="0.25">
      <c r="AB3037" s="167" t="s">
        <v>2478</v>
      </c>
      <c r="AC3037" s="167">
        <v>353</v>
      </c>
      <c r="AD3037" s="203">
        <v>43180</v>
      </c>
      <c r="AE3037" s="203">
        <v>0</v>
      </c>
      <c r="AF3037" s="167" t="s">
        <v>3469</v>
      </c>
    </row>
    <row r="3038" spans="28:32" x14ac:dyDescent="0.25">
      <c r="AB3038" s="167" t="s">
        <v>2478</v>
      </c>
      <c r="AC3038" s="167">
        <v>353</v>
      </c>
      <c r="AD3038" s="203">
        <v>43180</v>
      </c>
      <c r="AE3038" s="203">
        <v>0</v>
      </c>
      <c r="AF3038" s="167" t="s">
        <v>3469</v>
      </c>
    </row>
    <row r="3039" spans="28:32" x14ac:dyDescent="0.25">
      <c r="AB3039" s="167" t="s">
        <v>2480</v>
      </c>
      <c r="AC3039" s="167">
        <v>364</v>
      </c>
      <c r="AD3039" s="203">
        <v>43168</v>
      </c>
      <c r="AE3039" s="203">
        <v>43179</v>
      </c>
      <c r="AF3039" s="167" t="s">
        <v>3470</v>
      </c>
    </row>
    <row r="3040" spans="28:32" x14ac:dyDescent="0.25">
      <c r="AB3040" s="167" t="s">
        <v>2480</v>
      </c>
      <c r="AC3040" s="167">
        <v>353</v>
      </c>
      <c r="AD3040" s="203">
        <v>43180</v>
      </c>
      <c r="AE3040" s="203">
        <v>0</v>
      </c>
      <c r="AF3040" s="167" t="s">
        <v>3469</v>
      </c>
    </row>
    <row r="3041" spans="28:32" x14ac:dyDescent="0.25">
      <c r="AB3041" s="167" t="s">
        <v>2482</v>
      </c>
      <c r="AC3041" s="167">
        <v>323</v>
      </c>
      <c r="AD3041" s="203">
        <v>43074</v>
      </c>
      <c r="AE3041" s="203">
        <v>43111</v>
      </c>
      <c r="AF3041" s="167" t="s">
        <v>3470</v>
      </c>
    </row>
    <row r="3042" spans="28:32" x14ac:dyDescent="0.25">
      <c r="AB3042" s="167" t="s">
        <v>2482</v>
      </c>
      <c r="AC3042" s="167">
        <v>327</v>
      </c>
      <c r="AD3042" s="203">
        <v>43074</v>
      </c>
      <c r="AE3042" s="203">
        <v>43131</v>
      </c>
      <c r="AF3042" s="167" t="s">
        <v>3470</v>
      </c>
    </row>
    <row r="3043" spans="28:32" x14ac:dyDescent="0.25">
      <c r="AB3043" s="167" t="s">
        <v>2482</v>
      </c>
      <c r="AC3043" s="167">
        <v>347</v>
      </c>
      <c r="AD3043" s="203">
        <v>43118</v>
      </c>
      <c r="AE3043" s="203">
        <v>43133</v>
      </c>
      <c r="AF3043" s="167" t="s">
        <v>3470</v>
      </c>
    </row>
    <row r="3044" spans="28:32" x14ac:dyDescent="0.25">
      <c r="AB3044" s="167" t="s">
        <v>2482</v>
      </c>
      <c r="AC3044" s="167">
        <v>340</v>
      </c>
      <c r="AD3044" s="203">
        <v>43133</v>
      </c>
      <c r="AE3044" s="203">
        <v>43168</v>
      </c>
      <c r="AF3044" s="167" t="s">
        <v>3470</v>
      </c>
    </row>
    <row r="3045" spans="28:32" x14ac:dyDescent="0.25">
      <c r="AB3045" s="167" t="s">
        <v>2482</v>
      </c>
      <c r="AC3045" s="167">
        <v>340</v>
      </c>
      <c r="AD3045" s="203">
        <v>43133</v>
      </c>
      <c r="AE3045" s="203">
        <v>43168</v>
      </c>
      <c r="AF3045" s="167" t="s">
        <v>3470</v>
      </c>
    </row>
    <row r="3046" spans="28:32" x14ac:dyDescent="0.25">
      <c r="AB3046" s="167" t="s">
        <v>2482</v>
      </c>
      <c r="AC3046" s="167">
        <v>357</v>
      </c>
      <c r="AD3046" s="203">
        <v>43139</v>
      </c>
      <c r="AE3046" s="203">
        <v>43164</v>
      </c>
      <c r="AF3046" s="167" t="s">
        <v>3470</v>
      </c>
    </row>
    <row r="3047" spans="28:32" x14ac:dyDescent="0.25">
      <c r="AB3047" s="167" t="s">
        <v>2482</v>
      </c>
      <c r="AC3047" s="167">
        <v>353</v>
      </c>
      <c r="AD3047" s="203">
        <v>43180</v>
      </c>
      <c r="AE3047" s="203">
        <v>0</v>
      </c>
      <c r="AF3047" s="167" t="s">
        <v>3469</v>
      </c>
    </row>
    <row r="3048" spans="28:32" x14ac:dyDescent="0.25">
      <c r="AB3048" s="167" t="s">
        <v>2484</v>
      </c>
      <c r="AC3048" s="167">
        <v>347</v>
      </c>
      <c r="AD3048" s="203">
        <v>43118</v>
      </c>
      <c r="AE3048" s="203">
        <v>43133</v>
      </c>
      <c r="AF3048" s="167" t="s">
        <v>3470</v>
      </c>
    </row>
    <row r="3049" spans="28:32" x14ac:dyDescent="0.25">
      <c r="AB3049" s="167" t="s">
        <v>2484</v>
      </c>
      <c r="AC3049" s="167">
        <v>353</v>
      </c>
      <c r="AD3049" s="203">
        <v>43180</v>
      </c>
      <c r="AE3049" s="203">
        <v>0</v>
      </c>
      <c r="AF3049" s="167" t="s">
        <v>3469</v>
      </c>
    </row>
    <row r="3050" spans="28:32" x14ac:dyDescent="0.25">
      <c r="AB3050" s="167" t="s">
        <v>2484</v>
      </c>
      <c r="AC3050" s="167">
        <v>353</v>
      </c>
      <c r="AD3050" s="203">
        <v>43180</v>
      </c>
      <c r="AE3050" s="203">
        <v>0</v>
      </c>
      <c r="AF3050" s="167" t="s">
        <v>3469</v>
      </c>
    </row>
    <row r="3051" spans="28:32" x14ac:dyDescent="0.25">
      <c r="AB3051" s="167" t="s">
        <v>2485</v>
      </c>
      <c r="AC3051" s="167">
        <v>327</v>
      </c>
      <c r="AD3051" s="203">
        <v>43074</v>
      </c>
      <c r="AE3051" s="203">
        <v>43131</v>
      </c>
      <c r="AF3051" s="167" t="s">
        <v>3470</v>
      </c>
    </row>
    <row r="3052" spans="28:32" x14ac:dyDescent="0.25">
      <c r="AB3052" s="167" t="s">
        <v>2485</v>
      </c>
      <c r="AC3052" s="167">
        <v>347</v>
      </c>
      <c r="AD3052" s="203">
        <v>43118</v>
      </c>
      <c r="AE3052" s="203">
        <v>43133</v>
      </c>
      <c r="AF3052" s="167" t="s">
        <v>3470</v>
      </c>
    </row>
    <row r="3053" spans="28:32" x14ac:dyDescent="0.25">
      <c r="AB3053" s="167" t="s">
        <v>2485</v>
      </c>
      <c r="AC3053" s="167">
        <v>340</v>
      </c>
      <c r="AD3053" s="203">
        <v>43133</v>
      </c>
      <c r="AE3053" s="203">
        <v>43168</v>
      </c>
      <c r="AF3053" s="167" t="s">
        <v>3470</v>
      </c>
    </row>
    <row r="3054" spans="28:32" x14ac:dyDescent="0.25">
      <c r="AB3054" s="167" t="s">
        <v>2485</v>
      </c>
      <c r="AC3054" s="167">
        <v>357</v>
      </c>
      <c r="AD3054" s="203">
        <v>43139</v>
      </c>
      <c r="AE3054" s="203">
        <v>43164</v>
      </c>
      <c r="AF3054" s="167" t="s">
        <v>3470</v>
      </c>
    </row>
    <row r="3055" spans="28:32" x14ac:dyDescent="0.25">
      <c r="AB3055" s="167" t="s">
        <v>2485</v>
      </c>
      <c r="AC3055" s="167">
        <v>364</v>
      </c>
      <c r="AD3055" s="203">
        <v>43168</v>
      </c>
      <c r="AE3055" s="203">
        <v>43179</v>
      </c>
      <c r="AF3055" s="167" t="s">
        <v>3470</v>
      </c>
    </row>
    <row r="3056" spans="28:32" x14ac:dyDescent="0.25">
      <c r="AB3056" s="167" t="s">
        <v>2485</v>
      </c>
      <c r="AC3056" s="167">
        <v>353</v>
      </c>
      <c r="AD3056" s="203">
        <v>43180</v>
      </c>
      <c r="AE3056" s="203">
        <v>0</v>
      </c>
      <c r="AF3056" s="167" t="s">
        <v>3469</v>
      </c>
    </row>
    <row r="3057" spans="28:32" x14ac:dyDescent="0.25">
      <c r="AB3057" s="167" t="s">
        <v>2487</v>
      </c>
      <c r="AC3057" s="167">
        <v>323</v>
      </c>
      <c r="AD3057" s="203">
        <v>43074</v>
      </c>
      <c r="AE3057" s="203">
        <v>43111</v>
      </c>
      <c r="AF3057" s="167" t="s">
        <v>3470</v>
      </c>
    </row>
    <row r="3058" spans="28:32" x14ac:dyDescent="0.25">
      <c r="AB3058" s="167" t="s">
        <v>2487</v>
      </c>
      <c r="AC3058" s="167">
        <v>323</v>
      </c>
      <c r="AD3058" s="203">
        <v>43074</v>
      </c>
      <c r="AE3058" s="203">
        <v>43111</v>
      </c>
      <c r="AF3058" s="167" t="s">
        <v>3470</v>
      </c>
    </row>
    <row r="3059" spans="28:32" x14ac:dyDescent="0.25">
      <c r="AB3059" s="167" t="s">
        <v>2487</v>
      </c>
      <c r="AC3059" s="167">
        <v>327</v>
      </c>
      <c r="AD3059" s="203">
        <v>43074</v>
      </c>
      <c r="AE3059" s="203">
        <v>43131</v>
      </c>
      <c r="AF3059" s="167" t="s">
        <v>3470</v>
      </c>
    </row>
    <row r="3060" spans="28:32" x14ac:dyDescent="0.25">
      <c r="AB3060" s="167" t="s">
        <v>2487</v>
      </c>
      <c r="AC3060" s="167">
        <v>335</v>
      </c>
      <c r="AD3060" s="203">
        <v>43133</v>
      </c>
      <c r="AE3060" s="203">
        <v>43147</v>
      </c>
      <c r="AF3060" s="167" t="s">
        <v>3470</v>
      </c>
    </row>
    <row r="3061" spans="28:32" x14ac:dyDescent="0.25">
      <c r="AB3061" s="167" t="s">
        <v>2487</v>
      </c>
      <c r="AC3061" s="167">
        <v>374</v>
      </c>
      <c r="AD3061" s="203">
        <v>43195</v>
      </c>
      <c r="AE3061" s="203">
        <v>0</v>
      </c>
      <c r="AF3061" s="167" t="s">
        <v>3469</v>
      </c>
    </row>
    <row r="3062" spans="28:32" x14ac:dyDescent="0.25">
      <c r="AB3062" s="167" t="s">
        <v>2489</v>
      </c>
      <c r="AC3062" s="167">
        <v>327</v>
      </c>
      <c r="AD3062" s="203">
        <v>43074</v>
      </c>
      <c r="AE3062" s="203">
        <v>43131</v>
      </c>
      <c r="AF3062" s="167" t="s">
        <v>3470</v>
      </c>
    </row>
    <row r="3063" spans="28:32" x14ac:dyDescent="0.25">
      <c r="AB3063" s="167" t="s">
        <v>2489</v>
      </c>
      <c r="AC3063" s="167">
        <v>335</v>
      </c>
      <c r="AD3063" s="203">
        <v>43133</v>
      </c>
      <c r="AE3063" s="203">
        <v>43147</v>
      </c>
      <c r="AF3063" s="167" t="s">
        <v>3470</v>
      </c>
    </row>
    <row r="3064" spans="28:32" x14ac:dyDescent="0.25">
      <c r="AB3064" s="167" t="s">
        <v>2489</v>
      </c>
      <c r="AC3064" s="167">
        <v>357</v>
      </c>
      <c r="AD3064" s="203">
        <v>43139</v>
      </c>
      <c r="AE3064" s="203">
        <v>43164</v>
      </c>
      <c r="AF3064" s="167" t="s">
        <v>3470</v>
      </c>
    </row>
    <row r="3065" spans="28:32" x14ac:dyDescent="0.25">
      <c r="AB3065" s="167" t="s">
        <v>2489</v>
      </c>
      <c r="AC3065" s="167">
        <v>364</v>
      </c>
      <c r="AD3065" s="203">
        <v>43168</v>
      </c>
      <c r="AE3065" s="203">
        <v>43179</v>
      </c>
      <c r="AF3065" s="167" t="s">
        <v>3470</v>
      </c>
    </row>
    <row r="3066" spans="28:32" x14ac:dyDescent="0.25">
      <c r="AB3066" s="167" t="s">
        <v>2489</v>
      </c>
      <c r="AC3066" s="167">
        <v>353</v>
      </c>
      <c r="AD3066" s="203">
        <v>43180</v>
      </c>
      <c r="AE3066" s="203">
        <v>0</v>
      </c>
      <c r="AF3066" s="167" t="s">
        <v>3469</v>
      </c>
    </row>
    <row r="3067" spans="28:32" x14ac:dyDescent="0.25">
      <c r="AB3067" s="167" t="s">
        <v>2489</v>
      </c>
      <c r="AC3067" s="167">
        <v>353</v>
      </c>
      <c r="AD3067" s="203">
        <v>43180</v>
      </c>
      <c r="AE3067" s="203">
        <v>0</v>
      </c>
      <c r="AF3067" s="167" t="s">
        <v>3469</v>
      </c>
    </row>
    <row r="3068" spans="28:32" x14ac:dyDescent="0.25">
      <c r="AB3068" s="167" t="s">
        <v>2489</v>
      </c>
      <c r="AC3068" s="167">
        <v>353</v>
      </c>
      <c r="AD3068" s="203">
        <v>43180</v>
      </c>
      <c r="AE3068" s="203">
        <v>0</v>
      </c>
      <c r="AF3068" s="167" t="s">
        <v>3469</v>
      </c>
    </row>
    <row r="3069" spans="28:32" x14ac:dyDescent="0.25">
      <c r="AB3069" s="167" t="s">
        <v>2489</v>
      </c>
      <c r="AC3069" s="167">
        <v>353</v>
      </c>
      <c r="AD3069" s="203">
        <v>43180</v>
      </c>
      <c r="AE3069" s="203">
        <v>0</v>
      </c>
      <c r="AF3069" s="167" t="s">
        <v>3469</v>
      </c>
    </row>
    <row r="3070" spans="28:32" x14ac:dyDescent="0.25">
      <c r="AB3070" s="167" t="s">
        <v>2489</v>
      </c>
      <c r="AC3070" s="167">
        <v>353</v>
      </c>
      <c r="AD3070" s="203">
        <v>43180</v>
      </c>
      <c r="AE3070" s="203">
        <v>0</v>
      </c>
      <c r="AF3070" s="167" t="s">
        <v>3469</v>
      </c>
    </row>
    <row r="3071" spans="28:32" x14ac:dyDescent="0.25">
      <c r="AB3071" s="167" t="s">
        <v>2489</v>
      </c>
      <c r="AC3071" s="167">
        <v>353</v>
      </c>
      <c r="AD3071" s="203">
        <v>43180</v>
      </c>
      <c r="AE3071" s="203">
        <v>0</v>
      </c>
      <c r="AF3071" s="167" t="s">
        <v>3469</v>
      </c>
    </row>
    <row r="3072" spans="28:32" x14ac:dyDescent="0.25">
      <c r="AB3072" s="167" t="s">
        <v>2489</v>
      </c>
      <c r="AC3072" s="167">
        <v>353</v>
      </c>
      <c r="AD3072" s="203">
        <v>43180</v>
      </c>
      <c r="AE3072" s="203">
        <v>0</v>
      </c>
      <c r="AF3072" s="167" t="s">
        <v>3469</v>
      </c>
    </row>
    <row r="3073" spans="28:32" x14ac:dyDescent="0.25">
      <c r="AB3073" s="167" t="s">
        <v>2491</v>
      </c>
      <c r="AC3073" s="167">
        <v>347</v>
      </c>
      <c r="AD3073" s="203">
        <v>43118</v>
      </c>
      <c r="AE3073" s="203">
        <v>43133</v>
      </c>
      <c r="AF3073" s="167" t="s">
        <v>3470</v>
      </c>
    </row>
    <row r="3074" spans="28:32" x14ac:dyDescent="0.25">
      <c r="AB3074" s="167" t="s">
        <v>2491</v>
      </c>
      <c r="AC3074" s="167">
        <v>340</v>
      </c>
      <c r="AD3074" s="203">
        <v>43133</v>
      </c>
      <c r="AE3074" s="203">
        <v>43168</v>
      </c>
      <c r="AF3074" s="167" t="s">
        <v>3470</v>
      </c>
    </row>
    <row r="3075" spans="28:32" x14ac:dyDescent="0.25">
      <c r="AB3075" s="167" t="s">
        <v>2491</v>
      </c>
      <c r="AC3075" s="167">
        <v>340</v>
      </c>
      <c r="AD3075" s="203">
        <v>43133</v>
      </c>
      <c r="AE3075" s="203">
        <v>43168</v>
      </c>
      <c r="AF3075" s="167" t="s">
        <v>3470</v>
      </c>
    </row>
    <row r="3076" spans="28:32" x14ac:dyDescent="0.25">
      <c r="AB3076" s="167" t="s">
        <v>2491</v>
      </c>
      <c r="AC3076" s="167">
        <v>357</v>
      </c>
      <c r="AD3076" s="203">
        <v>43139</v>
      </c>
      <c r="AE3076" s="203">
        <v>43164</v>
      </c>
      <c r="AF3076" s="167" t="s">
        <v>3470</v>
      </c>
    </row>
    <row r="3077" spans="28:32" x14ac:dyDescent="0.25">
      <c r="AB3077" s="167" t="s">
        <v>2491</v>
      </c>
      <c r="AC3077" s="167">
        <v>353</v>
      </c>
      <c r="AD3077" s="203">
        <v>43180</v>
      </c>
      <c r="AE3077" s="203">
        <v>0</v>
      </c>
      <c r="AF3077" s="167" t="s">
        <v>3469</v>
      </c>
    </row>
    <row r="3078" spans="28:32" x14ac:dyDescent="0.25">
      <c r="AB3078" s="167" t="s">
        <v>2493</v>
      </c>
      <c r="AC3078" s="167">
        <v>323</v>
      </c>
      <c r="AD3078" s="203">
        <v>43074</v>
      </c>
      <c r="AE3078" s="203">
        <v>43111</v>
      </c>
      <c r="AF3078" s="167" t="s">
        <v>3470</v>
      </c>
    </row>
    <row r="3079" spans="28:32" x14ac:dyDescent="0.25">
      <c r="AB3079" s="167" t="s">
        <v>2493</v>
      </c>
      <c r="AC3079" s="167">
        <v>347</v>
      </c>
      <c r="AD3079" s="203">
        <v>43118</v>
      </c>
      <c r="AE3079" s="203">
        <v>43133</v>
      </c>
      <c r="AF3079" s="167" t="s">
        <v>3470</v>
      </c>
    </row>
    <row r="3080" spans="28:32" x14ac:dyDescent="0.25">
      <c r="AB3080" s="167" t="s">
        <v>2493</v>
      </c>
      <c r="AC3080" s="167">
        <v>340</v>
      </c>
      <c r="AD3080" s="203">
        <v>43133</v>
      </c>
      <c r="AE3080" s="203">
        <v>43168</v>
      </c>
      <c r="AF3080" s="167" t="s">
        <v>3470</v>
      </c>
    </row>
    <row r="3081" spans="28:32" x14ac:dyDescent="0.25">
      <c r="AB3081" s="167" t="s">
        <v>2493</v>
      </c>
      <c r="AC3081" s="167">
        <v>374</v>
      </c>
      <c r="AD3081" s="203">
        <v>43195</v>
      </c>
      <c r="AE3081" s="203">
        <v>0</v>
      </c>
      <c r="AF3081" s="167" t="s">
        <v>3469</v>
      </c>
    </row>
    <row r="3082" spans="28:32" x14ac:dyDescent="0.25">
      <c r="AB3082" s="167" t="s">
        <v>2494</v>
      </c>
      <c r="AC3082" s="167">
        <v>323</v>
      </c>
      <c r="AD3082" s="203">
        <v>43074</v>
      </c>
      <c r="AE3082" s="203">
        <v>43111</v>
      </c>
      <c r="AF3082" s="167" t="s">
        <v>3470</v>
      </c>
    </row>
    <row r="3083" spans="28:32" x14ac:dyDescent="0.25">
      <c r="AB3083" s="167" t="s">
        <v>2496</v>
      </c>
      <c r="AC3083" s="167">
        <v>353</v>
      </c>
      <c r="AD3083" s="203">
        <v>43180</v>
      </c>
      <c r="AE3083" s="203">
        <v>0</v>
      </c>
      <c r="AF3083" s="167" t="s">
        <v>3469</v>
      </c>
    </row>
    <row r="3084" spans="28:32" x14ac:dyDescent="0.25">
      <c r="AB3084" s="167" t="s">
        <v>2496</v>
      </c>
      <c r="AC3084" s="167">
        <v>353</v>
      </c>
      <c r="AD3084" s="203">
        <v>43180</v>
      </c>
      <c r="AE3084" s="203">
        <v>0</v>
      </c>
      <c r="AF3084" s="167" t="s">
        <v>3469</v>
      </c>
    </row>
    <row r="3085" spans="28:32" x14ac:dyDescent="0.25">
      <c r="AB3085" s="167" t="s">
        <v>2497</v>
      </c>
      <c r="AC3085" s="167">
        <v>347</v>
      </c>
      <c r="AD3085" s="203">
        <v>43118</v>
      </c>
      <c r="AE3085" s="203">
        <v>43133</v>
      </c>
      <c r="AF3085" s="167" t="s">
        <v>3470</v>
      </c>
    </row>
    <row r="3086" spans="28:32" x14ac:dyDescent="0.25">
      <c r="AB3086" s="167" t="s">
        <v>2497</v>
      </c>
      <c r="AC3086" s="167">
        <v>340</v>
      </c>
      <c r="AD3086" s="203">
        <v>43133</v>
      </c>
      <c r="AE3086" s="203">
        <v>43168</v>
      </c>
      <c r="AF3086" s="167" t="s">
        <v>3470</v>
      </c>
    </row>
    <row r="3087" spans="28:32" x14ac:dyDescent="0.25">
      <c r="AB3087" s="167" t="s">
        <v>2499</v>
      </c>
      <c r="AC3087" s="167">
        <v>323</v>
      </c>
      <c r="AD3087" s="203">
        <v>43074</v>
      </c>
      <c r="AE3087" s="203">
        <v>43111</v>
      </c>
      <c r="AF3087" s="167" t="s">
        <v>3470</v>
      </c>
    </row>
    <row r="3088" spans="28:32" x14ac:dyDescent="0.25">
      <c r="AB3088" s="167" t="s">
        <v>2499</v>
      </c>
      <c r="AC3088" s="167">
        <v>335</v>
      </c>
      <c r="AD3088" s="203">
        <v>43133</v>
      </c>
      <c r="AE3088" s="203">
        <v>43147</v>
      </c>
      <c r="AF3088" s="167" t="s">
        <v>3470</v>
      </c>
    </row>
    <row r="3089" spans="28:32" x14ac:dyDescent="0.25">
      <c r="AB3089" s="167" t="s">
        <v>2499</v>
      </c>
      <c r="AC3089" s="167">
        <v>340</v>
      </c>
      <c r="AD3089" s="203">
        <v>43133</v>
      </c>
      <c r="AE3089" s="203">
        <v>43168</v>
      </c>
      <c r="AF3089" s="167" t="s">
        <v>3470</v>
      </c>
    </row>
    <row r="3090" spans="28:32" x14ac:dyDescent="0.25">
      <c r="AB3090" s="167" t="s">
        <v>2499</v>
      </c>
      <c r="AC3090" s="167">
        <v>374</v>
      </c>
      <c r="AD3090" s="203">
        <v>43195</v>
      </c>
      <c r="AE3090" s="203">
        <v>0</v>
      </c>
      <c r="AF3090" s="167" t="s">
        <v>3469</v>
      </c>
    </row>
    <row r="3091" spans="28:32" x14ac:dyDescent="0.25">
      <c r="AB3091" s="167" t="s">
        <v>2501</v>
      </c>
      <c r="AC3091" s="167">
        <v>323</v>
      </c>
      <c r="AD3091" s="203">
        <v>43074</v>
      </c>
      <c r="AE3091" s="203">
        <v>43111</v>
      </c>
      <c r="AF3091" s="167" t="s">
        <v>3470</v>
      </c>
    </row>
    <row r="3092" spans="28:32" x14ac:dyDescent="0.25">
      <c r="AB3092" s="167" t="s">
        <v>2501</v>
      </c>
      <c r="AC3092" s="167">
        <v>353</v>
      </c>
      <c r="AD3092" s="203">
        <v>43180</v>
      </c>
      <c r="AE3092" s="203">
        <v>0</v>
      </c>
      <c r="AF3092" s="167" t="s">
        <v>3469</v>
      </c>
    </row>
    <row r="3093" spans="28:32" x14ac:dyDescent="0.25">
      <c r="AB3093" s="167" t="s">
        <v>2503</v>
      </c>
      <c r="AC3093" s="167">
        <v>323</v>
      </c>
      <c r="AD3093" s="203">
        <v>43074</v>
      </c>
      <c r="AE3093" s="203">
        <v>43111</v>
      </c>
      <c r="AF3093" s="167" t="s">
        <v>3470</v>
      </c>
    </row>
    <row r="3094" spans="28:32" x14ac:dyDescent="0.25">
      <c r="AB3094" s="167" t="s">
        <v>2503</v>
      </c>
      <c r="AC3094" s="167">
        <v>347</v>
      </c>
      <c r="AD3094" s="203">
        <v>43118</v>
      </c>
      <c r="AE3094" s="203">
        <v>43133</v>
      </c>
      <c r="AF3094" s="167" t="s">
        <v>3470</v>
      </c>
    </row>
    <row r="3095" spans="28:32" x14ac:dyDescent="0.25">
      <c r="AB3095" s="167" t="s">
        <v>2503</v>
      </c>
      <c r="AC3095" s="167">
        <v>340</v>
      </c>
      <c r="AD3095" s="203">
        <v>43133</v>
      </c>
      <c r="AE3095" s="203">
        <v>43168</v>
      </c>
      <c r="AF3095" s="167" t="s">
        <v>3470</v>
      </c>
    </row>
    <row r="3096" spans="28:32" x14ac:dyDescent="0.25">
      <c r="AB3096" s="167" t="s">
        <v>2503</v>
      </c>
      <c r="AC3096" s="167">
        <v>340</v>
      </c>
      <c r="AD3096" s="203">
        <v>43133</v>
      </c>
      <c r="AE3096" s="203">
        <v>43168</v>
      </c>
      <c r="AF3096" s="167" t="s">
        <v>3470</v>
      </c>
    </row>
    <row r="3097" spans="28:32" x14ac:dyDescent="0.25">
      <c r="AB3097" s="167" t="s">
        <v>2503</v>
      </c>
      <c r="AC3097" s="167">
        <v>357</v>
      </c>
      <c r="AD3097" s="203">
        <v>43139</v>
      </c>
      <c r="AE3097" s="203">
        <v>43164</v>
      </c>
      <c r="AF3097" s="167" t="s">
        <v>3470</v>
      </c>
    </row>
    <row r="3098" spans="28:32" x14ac:dyDescent="0.25">
      <c r="AB3098" s="167" t="s">
        <v>2503</v>
      </c>
      <c r="AC3098" s="167">
        <v>353</v>
      </c>
      <c r="AD3098" s="203">
        <v>43180</v>
      </c>
      <c r="AE3098" s="203">
        <v>0</v>
      </c>
      <c r="AF3098" s="167" t="s">
        <v>3469</v>
      </c>
    </row>
    <row r="3099" spans="28:32" x14ac:dyDescent="0.25">
      <c r="AB3099" s="167" t="s">
        <v>2503</v>
      </c>
      <c r="AC3099" s="167">
        <v>353</v>
      </c>
      <c r="AD3099" s="203">
        <v>43180</v>
      </c>
      <c r="AE3099" s="203">
        <v>0</v>
      </c>
      <c r="AF3099" s="167" t="s">
        <v>3469</v>
      </c>
    </row>
    <row r="3100" spans="28:32" x14ac:dyDescent="0.25">
      <c r="AB3100" s="167" t="s">
        <v>2505</v>
      </c>
      <c r="AC3100" s="167">
        <v>323</v>
      </c>
      <c r="AD3100" s="203">
        <v>43074</v>
      </c>
      <c r="AE3100" s="203">
        <v>43111</v>
      </c>
      <c r="AF3100" s="167" t="s">
        <v>3470</v>
      </c>
    </row>
    <row r="3101" spans="28:32" x14ac:dyDescent="0.25">
      <c r="AB3101" s="167" t="s">
        <v>2505</v>
      </c>
      <c r="AC3101" s="167">
        <v>327</v>
      </c>
      <c r="AD3101" s="203">
        <v>43074</v>
      </c>
      <c r="AE3101" s="203">
        <v>43131</v>
      </c>
      <c r="AF3101" s="167" t="s">
        <v>3470</v>
      </c>
    </row>
    <row r="3102" spans="28:32" x14ac:dyDescent="0.25">
      <c r="AB3102" s="167" t="s">
        <v>2505</v>
      </c>
      <c r="AC3102" s="167">
        <v>357</v>
      </c>
      <c r="AD3102" s="203">
        <v>43139</v>
      </c>
      <c r="AE3102" s="203">
        <v>43164</v>
      </c>
      <c r="AF3102" s="167" t="s">
        <v>3470</v>
      </c>
    </row>
    <row r="3103" spans="28:32" x14ac:dyDescent="0.25">
      <c r="AB3103" s="167" t="s">
        <v>2505</v>
      </c>
      <c r="AC3103" s="167">
        <v>364</v>
      </c>
      <c r="AD3103" s="203">
        <v>43168</v>
      </c>
      <c r="AE3103" s="203">
        <v>43179</v>
      </c>
      <c r="AF3103" s="167" t="s">
        <v>3470</v>
      </c>
    </row>
    <row r="3104" spans="28:32" x14ac:dyDescent="0.25">
      <c r="AB3104" s="167" t="s">
        <v>2505</v>
      </c>
      <c r="AC3104" s="167">
        <v>353</v>
      </c>
      <c r="AD3104" s="203">
        <v>43180</v>
      </c>
      <c r="AE3104" s="203">
        <v>0</v>
      </c>
      <c r="AF3104" s="167" t="s">
        <v>3469</v>
      </c>
    </row>
    <row r="3105" spans="28:32" x14ac:dyDescent="0.25">
      <c r="AB3105" s="167" t="s">
        <v>2505</v>
      </c>
      <c r="AC3105" s="167">
        <v>353</v>
      </c>
      <c r="AD3105" s="203">
        <v>43180</v>
      </c>
      <c r="AE3105" s="203">
        <v>0</v>
      </c>
      <c r="AF3105" s="167" t="s">
        <v>3469</v>
      </c>
    </row>
    <row r="3106" spans="28:32" x14ac:dyDescent="0.25">
      <c r="AB3106" s="167" t="s">
        <v>2507</v>
      </c>
      <c r="AC3106" s="167">
        <v>353</v>
      </c>
      <c r="AD3106" s="203">
        <v>43180</v>
      </c>
      <c r="AE3106" s="203">
        <v>0</v>
      </c>
      <c r="AF3106" s="167" t="s">
        <v>3469</v>
      </c>
    </row>
    <row r="3107" spans="28:32" x14ac:dyDescent="0.25">
      <c r="AB3107" s="167" t="s">
        <v>2509</v>
      </c>
      <c r="AC3107" s="167">
        <v>353</v>
      </c>
      <c r="AD3107" s="203">
        <v>43180</v>
      </c>
      <c r="AE3107" s="203">
        <v>0</v>
      </c>
      <c r="AF3107" s="167" t="s">
        <v>3469</v>
      </c>
    </row>
    <row r="3108" spans="28:32" x14ac:dyDescent="0.25">
      <c r="AB3108" s="167" t="s">
        <v>2511</v>
      </c>
      <c r="AC3108" s="167">
        <v>327</v>
      </c>
      <c r="AD3108" s="203">
        <v>43074</v>
      </c>
      <c r="AE3108" s="203">
        <v>43131</v>
      </c>
      <c r="AF3108" s="167" t="s">
        <v>3470</v>
      </c>
    </row>
    <row r="3109" spans="28:32" x14ac:dyDescent="0.25">
      <c r="AB3109" s="167" t="s">
        <v>2511</v>
      </c>
      <c r="AC3109" s="167">
        <v>347</v>
      </c>
      <c r="AD3109" s="203">
        <v>43118</v>
      </c>
      <c r="AE3109" s="203">
        <v>43133</v>
      </c>
      <c r="AF3109" s="167" t="s">
        <v>3470</v>
      </c>
    </row>
    <row r="3110" spans="28:32" x14ac:dyDescent="0.25">
      <c r="AB3110" s="167" t="s">
        <v>2511</v>
      </c>
      <c r="AC3110" s="167">
        <v>340</v>
      </c>
      <c r="AD3110" s="203">
        <v>43133</v>
      </c>
      <c r="AE3110" s="203">
        <v>43168</v>
      </c>
      <c r="AF3110" s="167" t="s">
        <v>3470</v>
      </c>
    </row>
    <row r="3111" spans="28:32" x14ac:dyDescent="0.25">
      <c r="AB3111" s="167" t="s">
        <v>2511</v>
      </c>
      <c r="AC3111" s="167">
        <v>374</v>
      </c>
      <c r="AD3111" s="203">
        <v>43195</v>
      </c>
      <c r="AE3111" s="203">
        <v>0</v>
      </c>
      <c r="AF3111" s="167" t="s">
        <v>3469</v>
      </c>
    </row>
    <row r="3112" spans="28:32" x14ac:dyDescent="0.25">
      <c r="AB3112" s="167" t="s">
        <v>2513</v>
      </c>
      <c r="AC3112" s="167">
        <v>327</v>
      </c>
      <c r="AD3112" s="203">
        <v>43074</v>
      </c>
      <c r="AE3112" s="203">
        <v>43131</v>
      </c>
      <c r="AF3112" s="167" t="s">
        <v>3470</v>
      </c>
    </row>
    <row r="3113" spans="28:32" x14ac:dyDescent="0.25">
      <c r="AB3113" s="167" t="s">
        <v>2513</v>
      </c>
      <c r="AC3113" s="167">
        <v>347</v>
      </c>
      <c r="AD3113" s="203">
        <v>43118</v>
      </c>
      <c r="AE3113" s="203">
        <v>43133</v>
      </c>
      <c r="AF3113" s="167" t="s">
        <v>3470</v>
      </c>
    </row>
    <row r="3114" spans="28:32" x14ac:dyDescent="0.25">
      <c r="AB3114" s="167" t="s">
        <v>2513</v>
      </c>
      <c r="AC3114" s="167">
        <v>340</v>
      </c>
      <c r="AD3114" s="203">
        <v>43133</v>
      </c>
      <c r="AE3114" s="203">
        <v>43168</v>
      </c>
      <c r="AF3114" s="167" t="s">
        <v>3470</v>
      </c>
    </row>
    <row r="3115" spans="28:32" x14ac:dyDescent="0.25">
      <c r="AB3115" s="167" t="s">
        <v>2513</v>
      </c>
      <c r="AC3115" s="167">
        <v>364</v>
      </c>
      <c r="AD3115" s="203">
        <v>43168</v>
      </c>
      <c r="AE3115" s="203">
        <v>43179</v>
      </c>
      <c r="AF3115" s="167" t="s">
        <v>3470</v>
      </c>
    </row>
    <row r="3116" spans="28:32" x14ac:dyDescent="0.25">
      <c r="AB3116" s="167" t="s">
        <v>2513</v>
      </c>
      <c r="AC3116" s="167">
        <v>353</v>
      </c>
      <c r="AD3116" s="203">
        <v>43180</v>
      </c>
      <c r="AE3116" s="203">
        <v>0</v>
      </c>
      <c r="AF3116" s="167" t="s">
        <v>3469</v>
      </c>
    </row>
    <row r="3117" spans="28:32" x14ac:dyDescent="0.25">
      <c r="AB3117" s="167" t="s">
        <v>2513</v>
      </c>
      <c r="AC3117" s="167">
        <v>353</v>
      </c>
      <c r="AD3117" s="203">
        <v>43180</v>
      </c>
      <c r="AE3117" s="203">
        <v>0</v>
      </c>
      <c r="AF3117" s="167" t="s">
        <v>3469</v>
      </c>
    </row>
    <row r="3118" spans="28:32" x14ac:dyDescent="0.25">
      <c r="AB3118" s="167" t="s">
        <v>2514</v>
      </c>
      <c r="AC3118" s="167">
        <v>323</v>
      </c>
      <c r="AD3118" s="203">
        <v>43074</v>
      </c>
      <c r="AE3118" s="203">
        <v>43111</v>
      </c>
      <c r="AF3118" s="167" t="s">
        <v>3470</v>
      </c>
    </row>
    <row r="3119" spans="28:32" x14ac:dyDescent="0.25">
      <c r="AB3119" s="167" t="s">
        <v>2514</v>
      </c>
      <c r="AC3119" s="167">
        <v>340</v>
      </c>
      <c r="AD3119" s="203">
        <v>43133</v>
      </c>
      <c r="AE3119" s="203">
        <v>43168</v>
      </c>
      <c r="AF3119" s="167" t="s">
        <v>3470</v>
      </c>
    </row>
    <row r="3120" spans="28:32" x14ac:dyDescent="0.25">
      <c r="AB3120" s="167" t="s">
        <v>2516</v>
      </c>
      <c r="AC3120" s="167">
        <v>327</v>
      </c>
      <c r="AD3120" s="203">
        <v>43074</v>
      </c>
      <c r="AE3120" s="203">
        <v>43131</v>
      </c>
      <c r="AF3120" s="167" t="s">
        <v>3470</v>
      </c>
    </row>
    <row r="3121" spans="28:32" x14ac:dyDescent="0.25">
      <c r="AB3121" s="167" t="s">
        <v>2516</v>
      </c>
      <c r="AC3121" s="167">
        <v>335</v>
      </c>
      <c r="AD3121" s="203">
        <v>43133</v>
      </c>
      <c r="AE3121" s="203">
        <v>43147</v>
      </c>
      <c r="AF3121" s="167" t="s">
        <v>3470</v>
      </c>
    </row>
    <row r="3122" spans="28:32" x14ac:dyDescent="0.25">
      <c r="AB3122" s="167" t="s">
        <v>2516</v>
      </c>
      <c r="AC3122" s="167">
        <v>340</v>
      </c>
      <c r="AD3122" s="203">
        <v>43133</v>
      </c>
      <c r="AE3122" s="203">
        <v>43168</v>
      </c>
      <c r="AF3122" s="167" t="s">
        <v>3470</v>
      </c>
    </row>
    <row r="3123" spans="28:32" x14ac:dyDescent="0.25">
      <c r="AB3123" s="167" t="s">
        <v>2516</v>
      </c>
      <c r="AC3123" s="167">
        <v>374</v>
      </c>
      <c r="AD3123" s="203">
        <v>43195</v>
      </c>
      <c r="AE3123" s="203">
        <v>0</v>
      </c>
      <c r="AF3123" s="167" t="s">
        <v>3469</v>
      </c>
    </row>
    <row r="3124" spans="28:32" x14ac:dyDescent="0.25">
      <c r="AB3124" s="167" t="s">
        <v>2518</v>
      </c>
      <c r="AC3124" s="167">
        <v>323</v>
      </c>
      <c r="AD3124" s="203">
        <v>43074</v>
      </c>
      <c r="AE3124" s="203">
        <v>43111</v>
      </c>
      <c r="AF3124" s="167" t="s">
        <v>3470</v>
      </c>
    </row>
    <row r="3125" spans="28:32" x14ac:dyDescent="0.25">
      <c r="AB3125" s="167" t="s">
        <v>2518</v>
      </c>
      <c r="AC3125" s="167">
        <v>353</v>
      </c>
      <c r="AD3125" s="203">
        <v>43180</v>
      </c>
      <c r="AE3125" s="203">
        <v>0</v>
      </c>
      <c r="AF3125" s="167" t="s">
        <v>3469</v>
      </c>
    </row>
    <row r="3126" spans="28:32" x14ac:dyDescent="0.25">
      <c r="AB3126" s="167" t="s">
        <v>2520</v>
      </c>
      <c r="AC3126" s="167">
        <v>347</v>
      </c>
      <c r="AD3126" s="203">
        <v>43118</v>
      </c>
      <c r="AE3126" s="203">
        <v>43133</v>
      </c>
      <c r="AF3126" s="167" t="s">
        <v>3470</v>
      </c>
    </row>
    <row r="3127" spans="28:32" x14ac:dyDescent="0.25">
      <c r="AB3127" s="167" t="s">
        <v>2520</v>
      </c>
      <c r="AC3127" s="167">
        <v>364</v>
      </c>
      <c r="AD3127" s="203">
        <v>43168</v>
      </c>
      <c r="AE3127" s="203">
        <v>43179</v>
      </c>
      <c r="AF3127" s="167" t="s">
        <v>3470</v>
      </c>
    </row>
    <row r="3128" spans="28:32" x14ac:dyDescent="0.25">
      <c r="AB3128" s="167" t="s">
        <v>2520</v>
      </c>
      <c r="AC3128" s="167">
        <v>353</v>
      </c>
      <c r="AD3128" s="203">
        <v>43180</v>
      </c>
      <c r="AE3128" s="203">
        <v>0</v>
      </c>
      <c r="AF3128" s="167" t="s">
        <v>3469</v>
      </c>
    </row>
    <row r="3129" spans="28:32" x14ac:dyDescent="0.25">
      <c r="AB3129" s="167" t="s">
        <v>2522</v>
      </c>
      <c r="AC3129" s="167">
        <v>327</v>
      </c>
      <c r="AD3129" s="203">
        <v>43074</v>
      </c>
      <c r="AE3129" s="203">
        <v>43131</v>
      </c>
      <c r="AF3129" s="167" t="s">
        <v>3470</v>
      </c>
    </row>
    <row r="3130" spans="28:32" x14ac:dyDescent="0.25">
      <c r="AB3130" s="167" t="s">
        <v>2522</v>
      </c>
      <c r="AC3130" s="167">
        <v>364</v>
      </c>
      <c r="AD3130" s="203">
        <v>43168</v>
      </c>
      <c r="AE3130" s="203">
        <v>43179</v>
      </c>
      <c r="AF3130" s="167" t="s">
        <v>3470</v>
      </c>
    </row>
    <row r="3131" spans="28:32" x14ac:dyDescent="0.25">
      <c r="AB3131" s="167" t="s">
        <v>2522</v>
      </c>
      <c r="AC3131" s="167">
        <v>353</v>
      </c>
      <c r="AD3131" s="203">
        <v>43180</v>
      </c>
      <c r="AE3131" s="203">
        <v>0</v>
      </c>
      <c r="AF3131" s="167" t="s">
        <v>3469</v>
      </c>
    </row>
    <row r="3132" spans="28:32" x14ac:dyDescent="0.25">
      <c r="AB3132" s="167" t="s">
        <v>2524</v>
      </c>
      <c r="AC3132" s="167">
        <v>327</v>
      </c>
      <c r="AD3132" s="203">
        <v>43074</v>
      </c>
      <c r="AE3132" s="203">
        <v>43131</v>
      </c>
      <c r="AF3132" s="167" t="s">
        <v>3470</v>
      </c>
    </row>
    <row r="3133" spans="28:32" x14ac:dyDescent="0.25">
      <c r="AB3133" s="167" t="s">
        <v>2524</v>
      </c>
      <c r="AC3133" s="167">
        <v>347</v>
      </c>
      <c r="AD3133" s="203">
        <v>43118</v>
      </c>
      <c r="AE3133" s="203">
        <v>43133</v>
      </c>
      <c r="AF3133" s="167" t="s">
        <v>3470</v>
      </c>
    </row>
    <row r="3134" spans="28:32" x14ac:dyDescent="0.25">
      <c r="AB3134" s="167" t="s">
        <v>2524</v>
      </c>
      <c r="AC3134" s="167">
        <v>340</v>
      </c>
      <c r="AD3134" s="203">
        <v>43133</v>
      </c>
      <c r="AE3134" s="203">
        <v>43168</v>
      </c>
      <c r="AF3134" s="167" t="s">
        <v>3470</v>
      </c>
    </row>
    <row r="3135" spans="28:32" x14ac:dyDescent="0.25">
      <c r="AB3135" s="167" t="s">
        <v>2524</v>
      </c>
      <c r="AC3135" s="167">
        <v>374</v>
      </c>
      <c r="AD3135" s="203">
        <v>43195</v>
      </c>
      <c r="AE3135" s="203">
        <v>0</v>
      </c>
      <c r="AF3135" s="167" t="s">
        <v>3469</v>
      </c>
    </row>
    <row r="3136" spans="28:32" x14ac:dyDescent="0.25">
      <c r="AB3136" s="167" t="s">
        <v>2525</v>
      </c>
      <c r="AC3136" s="167">
        <v>323</v>
      </c>
      <c r="AD3136" s="203">
        <v>43074</v>
      </c>
      <c r="AE3136" s="203">
        <v>43111</v>
      </c>
      <c r="AF3136" s="167" t="s">
        <v>3470</v>
      </c>
    </row>
    <row r="3137" spans="28:32" x14ac:dyDescent="0.25">
      <c r="AB3137" s="167" t="s">
        <v>2525</v>
      </c>
      <c r="AC3137" s="167">
        <v>347</v>
      </c>
      <c r="AD3137" s="203">
        <v>43118</v>
      </c>
      <c r="AE3137" s="203">
        <v>43133</v>
      </c>
      <c r="AF3137" s="167" t="s">
        <v>3470</v>
      </c>
    </row>
    <row r="3138" spans="28:32" x14ac:dyDescent="0.25">
      <c r="AB3138" s="167" t="s">
        <v>2525</v>
      </c>
      <c r="AC3138" s="167">
        <v>340</v>
      </c>
      <c r="AD3138" s="203">
        <v>43133</v>
      </c>
      <c r="AE3138" s="203">
        <v>43168</v>
      </c>
      <c r="AF3138" s="167" t="s">
        <v>3470</v>
      </c>
    </row>
    <row r="3139" spans="28:32" x14ac:dyDescent="0.25">
      <c r="AB3139" s="167" t="s">
        <v>2525</v>
      </c>
      <c r="AC3139" s="167">
        <v>340</v>
      </c>
      <c r="AD3139" s="203">
        <v>43133</v>
      </c>
      <c r="AE3139" s="203">
        <v>43168</v>
      </c>
      <c r="AF3139" s="167" t="s">
        <v>3470</v>
      </c>
    </row>
    <row r="3140" spans="28:32" x14ac:dyDescent="0.25">
      <c r="AB3140" s="167" t="s">
        <v>3425</v>
      </c>
      <c r="AC3140" s="167">
        <v>357</v>
      </c>
      <c r="AD3140" s="203">
        <v>43139</v>
      </c>
      <c r="AE3140" s="203">
        <v>43164</v>
      </c>
      <c r="AF3140" s="167" t="s">
        <v>3470</v>
      </c>
    </row>
    <row r="3141" spans="28:32" x14ac:dyDescent="0.25">
      <c r="AB3141" s="167" t="s">
        <v>3425</v>
      </c>
      <c r="AC3141" s="167">
        <v>364</v>
      </c>
      <c r="AD3141" s="203">
        <v>43168</v>
      </c>
      <c r="AE3141" s="203">
        <v>43179</v>
      </c>
      <c r="AF3141" s="167" t="s">
        <v>3470</v>
      </c>
    </row>
    <row r="3142" spans="28:32" x14ac:dyDescent="0.25">
      <c r="AB3142" s="167" t="s">
        <v>3425</v>
      </c>
      <c r="AC3142" s="167">
        <v>353</v>
      </c>
      <c r="AD3142" s="203">
        <v>43180</v>
      </c>
      <c r="AE3142" s="203">
        <v>0</v>
      </c>
      <c r="AF3142" s="167" t="s">
        <v>3469</v>
      </c>
    </row>
    <row r="3143" spans="28:32" x14ac:dyDescent="0.25">
      <c r="AB3143" s="167" t="s">
        <v>2527</v>
      </c>
      <c r="AC3143" s="167">
        <v>323</v>
      </c>
      <c r="AD3143" s="203">
        <v>43074</v>
      </c>
      <c r="AE3143" s="203">
        <v>43111</v>
      </c>
      <c r="AF3143" s="167" t="s">
        <v>3470</v>
      </c>
    </row>
    <row r="3144" spans="28:32" x14ac:dyDescent="0.25">
      <c r="AB3144" s="167" t="s">
        <v>2527</v>
      </c>
      <c r="AC3144" s="167">
        <v>327</v>
      </c>
      <c r="AD3144" s="203">
        <v>43074</v>
      </c>
      <c r="AE3144" s="203">
        <v>43131</v>
      </c>
      <c r="AF3144" s="167" t="s">
        <v>3470</v>
      </c>
    </row>
    <row r="3145" spans="28:32" x14ac:dyDescent="0.25">
      <c r="AB3145" s="167" t="s">
        <v>2527</v>
      </c>
      <c r="AC3145" s="167">
        <v>347</v>
      </c>
      <c r="AD3145" s="203">
        <v>43118</v>
      </c>
      <c r="AE3145" s="203">
        <v>43133</v>
      </c>
      <c r="AF3145" s="167" t="s">
        <v>3470</v>
      </c>
    </row>
    <row r="3146" spans="28:32" x14ac:dyDescent="0.25">
      <c r="AB3146" s="167" t="s">
        <v>2527</v>
      </c>
      <c r="AC3146" s="167">
        <v>340</v>
      </c>
      <c r="AD3146" s="203">
        <v>43133</v>
      </c>
      <c r="AE3146" s="203">
        <v>43168</v>
      </c>
      <c r="AF3146" s="167" t="s">
        <v>3470</v>
      </c>
    </row>
    <row r="3147" spans="28:32" x14ac:dyDescent="0.25">
      <c r="AB3147" s="167" t="s">
        <v>2527</v>
      </c>
      <c r="AC3147" s="167">
        <v>340</v>
      </c>
      <c r="AD3147" s="203">
        <v>43133</v>
      </c>
      <c r="AE3147" s="203">
        <v>43168</v>
      </c>
      <c r="AF3147" s="167" t="s">
        <v>3470</v>
      </c>
    </row>
    <row r="3148" spans="28:32" x14ac:dyDescent="0.25">
      <c r="AB3148" s="167" t="s">
        <v>2527</v>
      </c>
      <c r="AC3148" s="167">
        <v>357</v>
      </c>
      <c r="AD3148" s="203">
        <v>43139</v>
      </c>
      <c r="AE3148" s="203">
        <v>43164</v>
      </c>
      <c r="AF3148" s="167" t="s">
        <v>3470</v>
      </c>
    </row>
    <row r="3149" spans="28:32" x14ac:dyDescent="0.25">
      <c r="AB3149" s="167" t="s">
        <v>2527</v>
      </c>
      <c r="AC3149" s="167">
        <v>353</v>
      </c>
      <c r="AD3149" s="203">
        <v>43180</v>
      </c>
      <c r="AE3149" s="203">
        <v>0</v>
      </c>
      <c r="AF3149" s="167" t="s">
        <v>3469</v>
      </c>
    </row>
    <row r="3150" spans="28:32" x14ac:dyDescent="0.25">
      <c r="AB3150" s="167" t="s">
        <v>2528</v>
      </c>
      <c r="AC3150" s="167">
        <v>327</v>
      </c>
      <c r="AD3150" s="203">
        <v>43074</v>
      </c>
      <c r="AE3150" s="203">
        <v>43131</v>
      </c>
      <c r="AF3150" s="167" t="s">
        <v>3470</v>
      </c>
    </row>
    <row r="3151" spans="28:32" x14ac:dyDescent="0.25">
      <c r="AB3151" s="167" t="s">
        <v>2528</v>
      </c>
      <c r="AC3151" s="167">
        <v>347</v>
      </c>
      <c r="AD3151" s="203">
        <v>43118</v>
      </c>
      <c r="AE3151" s="203">
        <v>43133</v>
      </c>
      <c r="AF3151" s="167" t="s">
        <v>3470</v>
      </c>
    </row>
    <row r="3152" spans="28:32" x14ac:dyDescent="0.25">
      <c r="AB3152" s="167" t="s">
        <v>2528</v>
      </c>
      <c r="AC3152" s="167">
        <v>340</v>
      </c>
      <c r="AD3152" s="203">
        <v>43133</v>
      </c>
      <c r="AE3152" s="203">
        <v>43168</v>
      </c>
      <c r="AF3152" s="167" t="s">
        <v>3470</v>
      </c>
    </row>
    <row r="3153" spans="28:32" x14ac:dyDescent="0.25">
      <c r="AB3153" s="167" t="s">
        <v>2528</v>
      </c>
      <c r="AC3153" s="167">
        <v>340</v>
      </c>
      <c r="AD3153" s="203">
        <v>43133</v>
      </c>
      <c r="AE3153" s="203">
        <v>43168</v>
      </c>
      <c r="AF3153" s="167" t="s">
        <v>3470</v>
      </c>
    </row>
    <row r="3154" spans="28:32" x14ac:dyDescent="0.25">
      <c r="AB3154" s="167" t="s">
        <v>2528</v>
      </c>
      <c r="AC3154" s="167">
        <v>357</v>
      </c>
      <c r="AD3154" s="203">
        <v>43139</v>
      </c>
      <c r="AE3154" s="203">
        <v>43164</v>
      </c>
      <c r="AF3154" s="167" t="s">
        <v>3470</v>
      </c>
    </row>
    <row r="3155" spans="28:32" x14ac:dyDescent="0.25">
      <c r="AB3155" s="167" t="s">
        <v>2528</v>
      </c>
      <c r="AC3155" s="167">
        <v>364</v>
      </c>
      <c r="AD3155" s="203">
        <v>43168</v>
      </c>
      <c r="AE3155" s="203">
        <v>43179</v>
      </c>
      <c r="AF3155" s="167" t="s">
        <v>3470</v>
      </c>
    </row>
    <row r="3156" spans="28:32" x14ac:dyDescent="0.25">
      <c r="AB3156" s="167" t="s">
        <v>2528</v>
      </c>
      <c r="AC3156" s="167">
        <v>353</v>
      </c>
      <c r="AD3156" s="203">
        <v>43180</v>
      </c>
      <c r="AE3156" s="203">
        <v>0</v>
      </c>
      <c r="AF3156" s="167" t="s">
        <v>3469</v>
      </c>
    </row>
    <row r="3157" spans="28:32" x14ac:dyDescent="0.25">
      <c r="AB3157" s="167" t="s">
        <v>2529</v>
      </c>
      <c r="AC3157" s="167">
        <v>364</v>
      </c>
      <c r="AD3157" s="203">
        <v>43168</v>
      </c>
      <c r="AE3157" s="203">
        <v>43179</v>
      </c>
      <c r="AF3157" s="167" t="s">
        <v>3470</v>
      </c>
    </row>
    <row r="3158" spans="28:32" x14ac:dyDescent="0.25">
      <c r="AB3158" s="167" t="s">
        <v>2529</v>
      </c>
      <c r="AC3158" s="167">
        <v>353</v>
      </c>
      <c r="AD3158" s="203">
        <v>43180</v>
      </c>
      <c r="AE3158" s="203">
        <v>0</v>
      </c>
      <c r="AF3158" s="167" t="s">
        <v>3469</v>
      </c>
    </row>
    <row r="3159" spans="28:32" x14ac:dyDescent="0.25">
      <c r="AB3159" s="167" t="s">
        <v>2531</v>
      </c>
      <c r="AC3159" s="167">
        <v>353</v>
      </c>
      <c r="AD3159" s="203">
        <v>43180</v>
      </c>
      <c r="AE3159" s="203">
        <v>0</v>
      </c>
      <c r="AF3159" s="167" t="s">
        <v>3469</v>
      </c>
    </row>
    <row r="3160" spans="28:32" x14ac:dyDescent="0.25">
      <c r="AB3160" s="167" t="s">
        <v>2531</v>
      </c>
      <c r="AC3160" s="167">
        <v>353</v>
      </c>
      <c r="AD3160" s="203">
        <v>43180</v>
      </c>
      <c r="AE3160" s="203">
        <v>0</v>
      </c>
      <c r="AF3160" s="167" t="s">
        <v>3469</v>
      </c>
    </row>
    <row r="3161" spans="28:32" x14ac:dyDescent="0.25">
      <c r="AB3161" s="167" t="s">
        <v>2531</v>
      </c>
      <c r="AC3161" s="167">
        <v>353</v>
      </c>
      <c r="AD3161" s="203">
        <v>43180</v>
      </c>
      <c r="AE3161" s="203">
        <v>0</v>
      </c>
      <c r="AF3161" s="167" t="s">
        <v>3469</v>
      </c>
    </row>
    <row r="3162" spans="28:32" x14ac:dyDescent="0.25">
      <c r="AB3162" s="167" t="s">
        <v>2532</v>
      </c>
      <c r="AC3162" s="167">
        <v>323</v>
      </c>
      <c r="AD3162" s="203">
        <v>43074</v>
      </c>
      <c r="AE3162" s="203">
        <v>43111</v>
      </c>
      <c r="AF3162" s="167" t="s">
        <v>3470</v>
      </c>
    </row>
    <row r="3163" spans="28:32" x14ac:dyDescent="0.25">
      <c r="AB3163" s="167" t="s">
        <v>2532</v>
      </c>
      <c r="AC3163" s="167">
        <v>340</v>
      </c>
      <c r="AD3163" s="203">
        <v>43133</v>
      </c>
      <c r="AE3163" s="203">
        <v>43168</v>
      </c>
      <c r="AF3163" s="167" t="s">
        <v>3470</v>
      </c>
    </row>
    <row r="3164" spans="28:32" x14ac:dyDescent="0.25">
      <c r="AB3164" s="167" t="s">
        <v>2533</v>
      </c>
      <c r="AC3164" s="167">
        <v>327</v>
      </c>
      <c r="AD3164" s="203">
        <v>43074</v>
      </c>
      <c r="AE3164" s="203">
        <v>43131</v>
      </c>
      <c r="AF3164" s="167" t="s">
        <v>3470</v>
      </c>
    </row>
    <row r="3165" spans="28:32" x14ac:dyDescent="0.25">
      <c r="AB3165" s="167" t="s">
        <v>2534</v>
      </c>
      <c r="AC3165" s="167">
        <v>347</v>
      </c>
      <c r="AD3165" s="203">
        <v>43118</v>
      </c>
      <c r="AE3165" s="203">
        <v>43133</v>
      </c>
      <c r="AF3165" s="167" t="s">
        <v>3470</v>
      </c>
    </row>
    <row r="3166" spans="28:32" x14ac:dyDescent="0.25">
      <c r="AB3166" s="167" t="s">
        <v>2534</v>
      </c>
      <c r="AC3166" s="167">
        <v>340</v>
      </c>
      <c r="AD3166" s="203">
        <v>43133</v>
      </c>
      <c r="AE3166" s="203">
        <v>43168</v>
      </c>
      <c r="AF3166" s="167" t="s">
        <v>3470</v>
      </c>
    </row>
    <row r="3167" spans="28:32" x14ac:dyDescent="0.25">
      <c r="AB3167" s="167" t="s">
        <v>2535</v>
      </c>
      <c r="AC3167" s="167">
        <v>347</v>
      </c>
      <c r="AD3167" s="203">
        <v>43118</v>
      </c>
      <c r="AE3167" s="203">
        <v>43133</v>
      </c>
      <c r="AF3167" s="167" t="s">
        <v>3470</v>
      </c>
    </row>
    <row r="3168" spans="28:32" x14ac:dyDescent="0.25">
      <c r="AB3168" s="167" t="s">
        <v>2535</v>
      </c>
      <c r="AC3168" s="167">
        <v>340</v>
      </c>
      <c r="AD3168" s="203">
        <v>43133</v>
      </c>
      <c r="AE3168" s="203">
        <v>43168</v>
      </c>
      <c r="AF3168" s="167" t="s">
        <v>3470</v>
      </c>
    </row>
    <row r="3169" spans="28:32" x14ac:dyDescent="0.25">
      <c r="AB3169" s="167" t="s">
        <v>2537</v>
      </c>
      <c r="AC3169" s="167">
        <v>340</v>
      </c>
      <c r="AD3169" s="203">
        <v>43133</v>
      </c>
      <c r="AE3169" s="203">
        <v>43168</v>
      </c>
      <c r="AF3169" s="167" t="s">
        <v>3470</v>
      </c>
    </row>
    <row r="3170" spans="28:32" x14ac:dyDescent="0.25">
      <c r="AB3170" s="167" t="s">
        <v>2537</v>
      </c>
      <c r="AC3170" s="167">
        <v>364</v>
      </c>
      <c r="AD3170" s="203">
        <v>43168</v>
      </c>
      <c r="AE3170" s="203">
        <v>43179</v>
      </c>
      <c r="AF3170" s="167" t="s">
        <v>3470</v>
      </c>
    </row>
    <row r="3171" spans="28:32" x14ac:dyDescent="0.25">
      <c r="AB3171" s="167" t="s">
        <v>2537</v>
      </c>
      <c r="AC3171" s="167">
        <v>353</v>
      </c>
      <c r="AD3171" s="203">
        <v>43180</v>
      </c>
      <c r="AE3171" s="203">
        <v>0</v>
      </c>
      <c r="AF3171" s="167" t="s">
        <v>3469</v>
      </c>
    </row>
    <row r="3172" spans="28:32" x14ac:dyDescent="0.25">
      <c r="AB3172" s="167" t="s">
        <v>2539</v>
      </c>
      <c r="AC3172" s="167">
        <v>364</v>
      </c>
      <c r="AD3172" s="203">
        <v>43168</v>
      </c>
      <c r="AE3172" s="203">
        <v>43179</v>
      </c>
      <c r="AF3172" s="167" t="s">
        <v>3470</v>
      </c>
    </row>
    <row r="3173" spans="28:32" x14ac:dyDescent="0.25">
      <c r="AB3173" s="167" t="s">
        <v>2539</v>
      </c>
      <c r="AC3173" s="167">
        <v>353</v>
      </c>
      <c r="AD3173" s="203">
        <v>43180</v>
      </c>
      <c r="AE3173" s="203">
        <v>0</v>
      </c>
      <c r="AF3173" s="167" t="s">
        <v>3469</v>
      </c>
    </row>
    <row r="3174" spans="28:32" x14ac:dyDescent="0.25">
      <c r="AB3174" s="167" t="s">
        <v>2539</v>
      </c>
      <c r="AC3174" s="167">
        <v>353</v>
      </c>
      <c r="AD3174" s="203">
        <v>43180</v>
      </c>
      <c r="AE3174" s="203">
        <v>0</v>
      </c>
      <c r="AF3174" s="167" t="s">
        <v>3469</v>
      </c>
    </row>
    <row r="3175" spans="28:32" x14ac:dyDescent="0.25">
      <c r="AB3175" s="167" t="s">
        <v>2540</v>
      </c>
      <c r="AC3175" s="167">
        <v>328</v>
      </c>
      <c r="AD3175" s="203">
        <v>43089</v>
      </c>
      <c r="AE3175" s="203">
        <v>43122</v>
      </c>
      <c r="AF3175" s="167" t="s">
        <v>3470</v>
      </c>
    </row>
    <row r="3176" spans="28:32" x14ac:dyDescent="0.25">
      <c r="AB3176" s="167" t="s">
        <v>3494</v>
      </c>
      <c r="AC3176" s="167">
        <v>328</v>
      </c>
      <c r="AD3176" s="203">
        <v>43089</v>
      </c>
      <c r="AE3176" s="203">
        <v>43122</v>
      </c>
      <c r="AF3176" s="167" t="s">
        <v>3470</v>
      </c>
    </row>
    <row r="3177" spans="28:32" x14ac:dyDescent="0.25">
      <c r="AB3177" s="167" t="s">
        <v>2541</v>
      </c>
      <c r="AC3177" s="167">
        <v>328</v>
      </c>
      <c r="AD3177" s="203">
        <v>43089</v>
      </c>
      <c r="AE3177" s="203">
        <v>43122</v>
      </c>
      <c r="AF3177" s="167" t="s">
        <v>3470</v>
      </c>
    </row>
    <row r="3178" spans="28:32" x14ac:dyDescent="0.25">
      <c r="AB3178" s="167" t="s">
        <v>2542</v>
      </c>
      <c r="AC3178" s="167">
        <v>328</v>
      </c>
      <c r="AD3178" s="203">
        <v>43089</v>
      </c>
      <c r="AE3178" s="203">
        <v>43122</v>
      </c>
      <c r="AF3178" s="167" t="s">
        <v>3470</v>
      </c>
    </row>
    <row r="3179" spans="28:32" x14ac:dyDescent="0.25">
      <c r="AB3179" s="167" t="s">
        <v>2543</v>
      </c>
      <c r="AC3179" s="167">
        <v>353</v>
      </c>
      <c r="AD3179" s="203">
        <v>43180</v>
      </c>
      <c r="AE3179" s="203">
        <v>0</v>
      </c>
      <c r="AF3179" s="167" t="s">
        <v>3469</v>
      </c>
    </row>
    <row r="3180" spans="28:32" x14ac:dyDescent="0.25">
      <c r="AB3180" s="167" t="s">
        <v>3495</v>
      </c>
      <c r="AC3180" s="167">
        <v>328</v>
      </c>
      <c r="AD3180" s="203">
        <v>43089</v>
      </c>
      <c r="AE3180" s="203">
        <v>43122</v>
      </c>
      <c r="AF3180" s="167" t="s">
        <v>3470</v>
      </c>
    </row>
    <row r="3181" spans="28:32" x14ac:dyDescent="0.25">
      <c r="AB3181" s="167" t="s">
        <v>3496</v>
      </c>
      <c r="AC3181" s="167">
        <v>328</v>
      </c>
      <c r="AD3181" s="203">
        <v>43089</v>
      </c>
      <c r="AE3181" s="203">
        <v>43122</v>
      </c>
      <c r="AF3181" s="167" t="s">
        <v>3470</v>
      </c>
    </row>
    <row r="3182" spans="28:32" x14ac:dyDescent="0.25">
      <c r="AB3182" s="167" t="s">
        <v>3497</v>
      </c>
      <c r="AC3182" s="167">
        <v>328</v>
      </c>
      <c r="AD3182" s="203">
        <v>43089</v>
      </c>
      <c r="AE3182" s="203">
        <v>43122</v>
      </c>
      <c r="AF3182" s="167" t="s">
        <v>3470</v>
      </c>
    </row>
    <row r="3183" spans="28:32" x14ac:dyDescent="0.25">
      <c r="AB3183" s="167" t="s">
        <v>2544</v>
      </c>
      <c r="AC3183" s="167">
        <v>328</v>
      </c>
      <c r="AD3183" s="203">
        <v>43089</v>
      </c>
      <c r="AE3183" s="203">
        <v>43122</v>
      </c>
      <c r="AF3183" s="167" t="s">
        <v>3470</v>
      </c>
    </row>
    <row r="3184" spans="28:32" x14ac:dyDescent="0.25">
      <c r="AB3184" s="167" t="s">
        <v>3498</v>
      </c>
      <c r="AC3184" s="167">
        <v>328</v>
      </c>
      <c r="AD3184" s="203">
        <v>43089</v>
      </c>
      <c r="AE3184" s="203">
        <v>43122</v>
      </c>
      <c r="AF3184" s="167" t="s">
        <v>3470</v>
      </c>
    </row>
    <row r="3185" spans="28:32" x14ac:dyDescent="0.25">
      <c r="AB3185" s="167" t="s">
        <v>2545</v>
      </c>
      <c r="AC3185" s="167">
        <v>328</v>
      </c>
      <c r="AD3185" s="203">
        <v>43089</v>
      </c>
      <c r="AE3185" s="203">
        <v>43122</v>
      </c>
      <c r="AF3185" s="167" t="s">
        <v>3470</v>
      </c>
    </row>
    <row r="3186" spans="28:32" x14ac:dyDescent="0.25">
      <c r="AB3186" s="167" t="s">
        <v>3499</v>
      </c>
      <c r="AC3186" s="167">
        <v>328</v>
      </c>
      <c r="AD3186" s="203">
        <v>43089</v>
      </c>
      <c r="AE3186" s="203">
        <v>43122</v>
      </c>
      <c r="AF3186" s="167" t="s">
        <v>3470</v>
      </c>
    </row>
    <row r="3187" spans="28:32" x14ac:dyDescent="0.25">
      <c r="AB3187" s="167" t="s">
        <v>3500</v>
      </c>
      <c r="AC3187" s="167">
        <v>328</v>
      </c>
      <c r="AD3187" s="203">
        <v>43089</v>
      </c>
      <c r="AE3187" s="203">
        <v>43122</v>
      </c>
      <c r="AF3187" s="167" t="s">
        <v>3470</v>
      </c>
    </row>
    <row r="3188" spans="28:32" x14ac:dyDescent="0.25">
      <c r="AB3188" s="167" t="s">
        <v>2547</v>
      </c>
      <c r="AC3188" s="167">
        <v>327</v>
      </c>
      <c r="AD3188" s="203">
        <v>43074</v>
      </c>
      <c r="AE3188" s="203">
        <v>43131</v>
      </c>
      <c r="AF3188" s="167" t="s">
        <v>3470</v>
      </c>
    </row>
    <row r="3189" spans="28:32" x14ac:dyDescent="0.25">
      <c r="AB3189" s="167" t="s">
        <v>2547</v>
      </c>
      <c r="AC3189" s="167">
        <v>347</v>
      </c>
      <c r="AD3189" s="203">
        <v>43118</v>
      </c>
      <c r="AE3189" s="203">
        <v>43133</v>
      </c>
      <c r="AF3189" s="167" t="s">
        <v>3470</v>
      </c>
    </row>
    <row r="3190" spans="28:32" x14ac:dyDescent="0.25">
      <c r="AB3190" s="167" t="s">
        <v>2547</v>
      </c>
      <c r="AC3190" s="167">
        <v>340</v>
      </c>
      <c r="AD3190" s="203">
        <v>43133</v>
      </c>
      <c r="AE3190" s="203">
        <v>43168</v>
      </c>
      <c r="AF3190" s="167" t="s">
        <v>3470</v>
      </c>
    </row>
    <row r="3191" spans="28:32" x14ac:dyDescent="0.25">
      <c r="AB3191" s="167" t="s">
        <v>2547</v>
      </c>
      <c r="AC3191" s="167">
        <v>340</v>
      </c>
      <c r="AD3191" s="203">
        <v>43133</v>
      </c>
      <c r="AE3191" s="203">
        <v>43168</v>
      </c>
      <c r="AF3191" s="167" t="s">
        <v>3470</v>
      </c>
    </row>
    <row r="3192" spans="28:32" x14ac:dyDescent="0.25">
      <c r="AB3192" s="167" t="s">
        <v>2547</v>
      </c>
      <c r="AC3192" s="167">
        <v>357</v>
      </c>
      <c r="AD3192" s="203">
        <v>43139</v>
      </c>
      <c r="AE3192" s="203">
        <v>43164</v>
      </c>
      <c r="AF3192" s="167" t="s">
        <v>3470</v>
      </c>
    </row>
    <row r="3193" spans="28:32" x14ac:dyDescent="0.25">
      <c r="AB3193" s="167" t="s">
        <v>2547</v>
      </c>
      <c r="AC3193" s="167">
        <v>353</v>
      </c>
      <c r="AD3193" s="203">
        <v>43180</v>
      </c>
      <c r="AE3193" s="203">
        <v>0</v>
      </c>
      <c r="AF3193" s="167" t="s">
        <v>3469</v>
      </c>
    </row>
    <row r="3194" spans="28:32" x14ac:dyDescent="0.25">
      <c r="AB3194" s="167" t="s">
        <v>2548</v>
      </c>
      <c r="AC3194" s="167">
        <v>347</v>
      </c>
      <c r="AD3194" s="203">
        <v>43118</v>
      </c>
      <c r="AE3194" s="203">
        <v>43133</v>
      </c>
      <c r="AF3194" s="167" t="s">
        <v>3470</v>
      </c>
    </row>
    <row r="3195" spans="28:32" x14ac:dyDescent="0.25">
      <c r="AB3195" s="167" t="s">
        <v>2548</v>
      </c>
      <c r="AC3195" s="167">
        <v>340</v>
      </c>
      <c r="AD3195" s="203">
        <v>43133</v>
      </c>
      <c r="AE3195" s="203">
        <v>43168</v>
      </c>
      <c r="AF3195" s="167" t="s">
        <v>3470</v>
      </c>
    </row>
    <row r="3196" spans="28:32" x14ac:dyDescent="0.25">
      <c r="AB3196" s="167" t="s">
        <v>2550</v>
      </c>
      <c r="AC3196" s="167">
        <v>335</v>
      </c>
      <c r="AD3196" s="203">
        <v>43133</v>
      </c>
      <c r="AE3196" s="203">
        <v>43147</v>
      </c>
      <c r="AF3196" s="167" t="s">
        <v>3470</v>
      </c>
    </row>
    <row r="3197" spans="28:32" x14ac:dyDescent="0.25">
      <c r="AB3197" s="167" t="s">
        <v>2550</v>
      </c>
      <c r="AC3197" s="167">
        <v>364</v>
      </c>
      <c r="AD3197" s="203">
        <v>43168</v>
      </c>
      <c r="AE3197" s="203">
        <v>43179</v>
      </c>
      <c r="AF3197" s="167" t="s">
        <v>3470</v>
      </c>
    </row>
    <row r="3198" spans="28:32" x14ac:dyDescent="0.25">
      <c r="AB3198" s="167" t="s">
        <v>2550</v>
      </c>
      <c r="AC3198" s="167">
        <v>353</v>
      </c>
      <c r="AD3198" s="203">
        <v>43180</v>
      </c>
      <c r="AE3198" s="203">
        <v>0</v>
      </c>
      <c r="AF3198" s="167" t="s">
        <v>3469</v>
      </c>
    </row>
    <row r="3199" spans="28:32" x14ac:dyDescent="0.25">
      <c r="AB3199" s="167" t="s">
        <v>2550</v>
      </c>
      <c r="AC3199" s="167">
        <v>353</v>
      </c>
      <c r="AD3199" s="203">
        <v>43180</v>
      </c>
      <c r="AE3199" s="203">
        <v>0</v>
      </c>
      <c r="AF3199" s="167" t="s">
        <v>3469</v>
      </c>
    </row>
    <row r="3200" spans="28:32" x14ac:dyDescent="0.25">
      <c r="AB3200" s="167" t="s">
        <v>2550</v>
      </c>
      <c r="AC3200" s="167">
        <v>353</v>
      </c>
      <c r="AD3200" s="203">
        <v>43180</v>
      </c>
      <c r="AE3200" s="203">
        <v>0</v>
      </c>
      <c r="AF3200" s="167" t="s">
        <v>3469</v>
      </c>
    </row>
    <row r="3201" spans="28:32" x14ac:dyDescent="0.25">
      <c r="AB3201" s="167" t="s">
        <v>2552</v>
      </c>
      <c r="AC3201" s="167">
        <v>347</v>
      </c>
      <c r="AD3201" s="203">
        <v>43118</v>
      </c>
      <c r="AE3201" s="203">
        <v>43133</v>
      </c>
      <c r="AF3201" s="167" t="s">
        <v>3470</v>
      </c>
    </row>
    <row r="3202" spans="28:32" x14ac:dyDescent="0.25">
      <c r="AB3202" s="167" t="s">
        <v>2552</v>
      </c>
      <c r="AC3202" s="167">
        <v>340</v>
      </c>
      <c r="AD3202" s="203">
        <v>43133</v>
      </c>
      <c r="AE3202" s="203">
        <v>43168</v>
      </c>
      <c r="AF3202" s="167" t="s">
        <v>3470</v>
      </c>
    </row>
    <row r="3203" spans="28:32" x14ac:dyDescent="0.25">
      <c r="AB3203" s="167" t="s">
        <v>2552</v>
      </c>
      <c r="AC3203" s="167">
        <v>364</v>
      </c>
      <c r="AD3203" s="203">
        <v>43168</v>
      </c>
      <c r="AE3203" s="203">
        <v>43179</v>
      </c>
      <c r="AF3203" s="167" t="s">
        <v>3470</v>
      </c>
    </row>
    <row r="3204" spans="28:32" x14ac:dyDescent="0.25">
      <c r="AB3204" s="167" t="s">
        <v>2552</v>
      </c>
      <c r="AC3204" s="167">
        <v>353</v>
      </c>
      <c r="AD3204" s="203">
        <v>43180</v>
      </c>
      <c r="AE3204" s="203">
        <v>0</v>
      </c>
      <c r="AF3204" s="167" t="s">
        <v>3469</v>
      </c>
    </row>
    <row r="3205" spans="28:32" x14ac:dyDescent="0.25">
      <c r="AB3205" s="167" t="s">
        <v>2554</v>
      </c>
      <c r="AC3205" s="167">
        <v>347</v>
      </c>
      <c r="AD3205" s="203">
        <v>43118</v>
      </c>
      <c r="AE3205" s="203">
        <v>43133</v>
      </c>
      <c r="AF3205" s="167" t="s">
        <v>3470</v>
      </c>
    </row>
    <row r="3206" spans="28:32" x14ac:dyDescent="0.25">
      <c r="AB3206" s="167" t="s">
        <v>2554</v>
      </c>
      <c r="AC3206" s="167">
        <v>340</v>
      </c>
      <c r="AD3206" s="203">
        <v>43133</v>
      </c>
      <c r="AE3206" s="203">
        <v>43168</v>
      </c>
      <c r="AF3206" s="167" t="s">
        <v>3470</v>
      </c>
    </row>
    <row r="3207" spans="28:32" x14ac:dyDescent="0.25">
      <c r="AB3207" s="167" t="s">
        <v>2554</v>
      </c>
      <c r="AC3207" s="167">
        <v>340</v>
      </c>
      <c r="AD3207" s="203">
        <v>43133</v>
      </c>
      <c r="AE3207" s="203">
        <v>43168</v>
      </c>
      <c r="AF3207" s="167" t="s">
        <v>3470</v>
      </c>
    </row>
    <row r="3208" spans="28:32" x14ac:dyDescent="0.25">
      <c r="AB3208" s="167" t="s">
        <v>2554</v>
      </c>
      <c r="AC3208" s="167">
        <v>374</v>
      </c>
      <c r="AD3208" s="203">
        <v>43195</v>
      </c>
      <c r="AE3208" s="203">
        <v>0</v>
      </c>
      <c r="AF3208" s="167" t="s">
        <v>3469</v>
      </c>
    </row>
    <row r="3209" spans="28:32" x14ac:dyDescent="0.25">
      <c r="AB3209" s="167" t="s">
        <v>2556</v>
      </c>
      <c r="AC3209" s="167">
        <v>327</v>
      </c>
      <c r="AD3209" s="203">
        <v>43074</v>
      </c>
      <c r="AE3209" s="203">
        <v>43131</v>
      </c>
      <c r="AF3209" s="167" t="s">
        <v>3470</v>
      </c>
    </row>
    <row r="3210" spans="28:32" x14ac:dyDescent="0.25">
      <c r="AB3210" s="167" t="s">
        <v>2556</v>
      </c>
      <c r="AC3210" s="167">
        <v>353</v>
      </c>
      <c r="AD3210" s="203">
        <v>43180</v>
      </c>
      <c r="AE3210" s="203">
        <v>0</v>
      </c>
      <c r="AF3210" s="167" t="s">
        <v>3469</v>
      </c>
    </row>
    <row r="3211" spans="28:32" x14ac:dyDescent="0.25">
      <c r="AB3211" s="167" t="s">
        <v>2557</v>
      </c>
      <c r="AC3211" s="167">
        <v>357</v>
      </c>
      <c r="AD3211" s="203">
        <v>43139</v>
      </c>
      <c r="AE3211" s="203">
        <v>43164</v>
      </c>
      <c r="AF3211" s="167" t="s">
        <v>3470</v>
      </c>
    </row>
    <row r="3212" spans="28:32" x14ac:dyDescent="0.25">
      <c r="AB3212" s="167" t="s">
        <v>2557</v>
      </c>
      <c r="AC3212" s="167">
        <v>353</v>
      </c>
      <c r="AD3212" s="203">
        <v>43180</v>
      </c>
      <c r="AE3212" s="203">
        <v>0</v>
      </c>
      <c r="AF3212" s="167" t="s">
        <v>3469</v>
      </c>
    </row>
    <row r="3213" spans="28:32" x14ac:dyDescent="0.25">
      <c r="AB3213" s="167" t="s">
        <v>2557</v>
      </c>
      <c r="AC3213" s="167">
        <v>353</v>
      </c>
      <c r="AD3213" s="203">
        <v>43180</v>
      </c>
      <c r="AE3213" s="203">
        <v>0</v>
      </c>
      <c r="AF3213" s="167" t="s">
        <v>3469</v>
      </c>
    </row>
    <row r="3214" spans="28:32" x14ac:dyDescent="0.25">
      <c r="AB3214" s="167" t="s">
        <v>2559</v>
      </c>
      <c r="AC3214" s="167">
        <v>347</v>
      </c>
      <c r="AD3214" s="203">
        <v>43118</v>
      </c>
      <c r="AE3214" s="203">
        <v>43133</v>
      </c>
      <c r="AF3214" s="167" t="s">
        <v>3470</v>
      </c>
    </row>
    <row r="3215" spans="28:32" x14ac:dyDescent="0.25">
      <c r="AB3215" s="167" t="s">
        <v>2559</v>
      </c>
      <c r="AC3215" s="167">
        <v>340</v>
      </c>
      <c r="AD3215" s="203">
        <v>43133</v>
      </c>
      <c r="AE3215" s="203">
        <v>43168</v>
      </c>
      <c r="AF3215" s="167" t="s">
        <v>3470</v>
      </c>
    </row>
    <row r="3216" spans="28:32" x14ac:dyDescent="0.25">
      <c r="AB3216" s="167" t="s">
        <v>2559</v>
      </c>
      <c r="AC3216" s="167">
        <v>340</v>
      </c>
      <c r="AD3216" s="203">
        <v>43133</v>
      </c>
      <c r="AE3216" s="203">
        <v>43168</v>
      </c>
      <c r="AF3216" s="167" t="s">
        <v>3470</v>
      </c>
    </row>
    <row r="3217" spans="28:32" x14ac:dyDescent="0.25">
      <c r="AB3217" s="167" t="s">
        <v>2559</v>
      </c>
      <c r="AC3217" s="167">
        <v>357</v>
      </c>
      <c r="AD3217" s="203">
        <v>43139</v>
      </c>
      <c r="AE3217" s="203">
        <v>43164</v>
      </c>
      <c r="AF3217" s="167" t="s">
        <v>3470</v>
      </c>
    </row>
    <row r="3218" spans="28:32" x14ac:dyDescent="0.25">
      <c r="AB3218" s="167" t="s">
        <v>2559</v>
      </c>
      <c r="AC3218" s="167">
        <v>364</v>
      </c>
      <c r="AD3218" s="203">
        <v>43168</v>
      </c>
      <c r="AE3218" s="203">
        <v>43179</v>
      </c>
      <c r="AF3218" s="167" t="s">
        <v>3470</v>
      </c>
    </row>
    <row r="3219" spans="28:32" x14ac:dyDescent="0.25">
      <c r="AB3219" s="167" t="s">
        <v>2559</v>
      </c>
      <c r="AC3219" s="167">
        <v>353</v>
      </c>
      <c r="AD3219" s="203">
        <v>43180</v>
      </c>
      <c r="AE3219" s="203">
        <v>0</v>
      </c>
      <c r="AF3219" s="167" t="s">
        <v>3469</v>
      </c>
    </row>
    <row r="3220" spans="28:32" x14ac:dyDescent="0.25">
      <c r="AB3220" s="167" t="s">
        <v>2559</v>
      </c>
      <c r="AC3220" s="167">
        <v>353</v>
      </c>
      <c r="AD3220" s="203">
        <v>43180</v>
      </c>
      <c r="AE3220" s="203">
        <v>0</v>
      </c>
      <c r="AF3220" s="167" t="s">
        <v>3469</v>
      </c>
    </row>
    <row r="3221" spans="28:32" x14ac:dyDescent="0.25">
      <c r="AB3221" s="167" t="s">
        <v>2559</v>
      </c>
      <c r="AC3221" s="167">
        <v>353</v>
      </c>
      <c r="AD3221" s="203">
        <v>43180</v>
      </c>
      <c r="AE3221" s="203">
        <v>0</v>
      </c>
      <c r="AF3221" s="167" t="s">
        <v>3469</v>
      </c>
    </row>
    <row r="3222" spans="28:32" x14ac:dyDescent="0.25">
      <c r="AB3222" s="167" t="s">
        <v>2559</v>
      </c>
      <c r="AC3222" s="167">
        <v>353</v>
      </c>
      <c r="AD3222" s="203">
        <v>43180</v>
      </c>
      <c r="AE3222" s="203">
        <v>0</v>
      </c>
      <c r="AF3222" s="167" t="s">
        <v>3469</v>
      </c>
    </row>
    <row r="3223" spans="28:32" x14ac:dyDescent="0.25">
      <c r="AB3223" s="167" t="s">
        <v>2559</v>
      </c>
      <c r="AC3223" s="167">
        <v>353</v>
      </c>
      <c r="AD3223" s="203">
        <v>43180</v>
      </c>
      <c r="AE3223" s="203">
        <v>0</v>
      </c>
      <c r="AF3223" s="167" t="s">
        <v>3469</v>
      </c>
    </row>
    <row r="3224" spans="28:32" x14ac:dyDescent="0.25">
      <c r="AB3224" s="167" t="s">
        <v>2561</v>
      </c>
      <c r="AC3224" s="167">
        <v>347</v>
      </c>
      <c r="AD3224" s="203">
        <v>43118</v>
      </c>
      <c r="AE3224" s="203">
        <v>43133</v>
      </c>
      <c r="AF3224" s="167" t="s">
        <v>3470</v>
      </c>
    </row>
    <row r="3225" spans="28:32" x14ac:dyDescent="0.25">
      <c r="AB3225" s="167" t="s">
        <v>2561</v>
      </c>
      <c r="AC3225" s="167">
        <v>353</v>
      </c>
      <c r="AD3225" s="203">
        <v>43180</v>
      </c>
      <c r="AE3225" s="203">
        <v>0</v>
      </c>
      <c r="AF3225" s="167" t="s">
        <v>3469</v>
      </c>
    </row>
    <row r="3226" spans="28:32" x14ac:dyDescent="0.25">
      <c r="AB3226" s="167" t="s">
        <v>2563</v>
      </c>
      <c r="AC3226" s="167">
        <v>347</v>
      </c>
      <c r="AD3226" s="203">
        <v>43118</v>
      </c>
      <c r="AE3226" s="203">
        <v>43133</v>
      </c>
      <c r="AF3226" s="167" t="s">
        <v>3470</v>
      </c>
    </row>
    <row r="3227" spans="28:32" x14ac:dyDescent="0.25">
      <c r="AB3227" s="167" t="s">
        <v>2563</v>
      </c>
      <c r="AC3227" s="167">
        <v>340</v>
      </c>
      <c r="AD3227" s="203">
        <v>43133</v>
      </c>
      <c r="AE3227" s="203">
        <v>43168</v>
      </c>
      <c r="AF3227" s="167" t="s">
        <v>3470</v>
      </c>
    </row>
    <row r="3228" spans="28:32" x14ac:dyDescent="0.25">
      <c r="AB3228" s="167" t="s">
        <v>2563</v>
      </c>
      <c r="AC3228" s="167">
        <v>357</v>
      </c>
      <c r="AD3228" s="203">
        <v>43139</v>
      </c>
      <c r="AE3228" s="203">
        <v>43164</v>
      </c>
      <c r="AF3228" s="167" t="s">
        <v>3470</v>
      </c>
    </row>
    <row r="3229" spans="28:32" x14ac:dyDescent="0.25">
      <c r="AB3229" s="167" t="s">
        <v>2563</v>
      </c>
      <c r="AC3229" s="167">
        <v>364</v>
      </c>
      <c r="AD3229" s="203">
        <v>43168</v>
      </c>
      <c r="AE3229" s="203">
        <v>43179</v>
      </c>
      <c r="AF3229" s="167" t="s">
        <v>3470</v>
      </c>
    </row>
    <row r="3230" spans="28:32" x14ac:dyDescent="0.25">
      <c r="AB3230" s="167" t="s">
        <v>2563</v>
      </c>
      <c r="AC3230" s="167">
        <v>353</v>
      </c>
      <c r="AD3230" s="203">
        <v>43180</v>
      </c>
      <c r="AE3230" s="203">
        <v>0</v>
      </c>
      <c r="AF3230" s="167" t="s">
        <v>3469</v>
      </c>
    </row>
    <row r="3231" spans="28:32" x14ac:dyDescent="0.25">
      <c r="AB3231" s="167" t="s">
        <v>2563</v>
      </c>
      <c r="AC3231" s="167">
        <v>353</v>
      </c>
      <c r="AD3231" s="203">
        <v>43180</v>
      </c>
      <c r="AE3231" s="203">
        <v>0</v>
      </c>
      <c r="AF3231" s="167" t="s">
        <v>3469</v>
      </c>
    </row>
    <row r="3232" spans="28:32" x14ac:dyDescent="0.25">
      <c r="AB3232" s="167" t="s">
        <v>2565</v>
      </c>
      <c r="AC3232" s="167">
        <v>327</v>
      </c>
      <c r="AD3232" s="203">
        <v>43074</v>
      </c>
      <c r="AE3232" s="203">
        <v>43131</v>
      </c>
      <c r="AF3232" s="167" t="s">
        <v>3470</v>
      </c>
    </row>
    <row r="3233" spans="28:32" x14ac:dyDescent="0.25">
      <c r="AB3233" s="167" t="s">
        <v>2565</v>
      </c>
      <c r="AC3233" s="167">
        <v>364</v>
      </c>
      <c r="AD3233" s="203">
        <v>43168</v>
      </c>
      <c r="AE3233" s="203">
        <v>43179</v>
      </c>
      <c r="AF3233" s="167" t="s">
        <v>3470</v>
      </c>
    </row>
    <row r="3234" spans="28:32" x14ac:dyDescent="0.25">
      <c r="AB3234" s="167" t="s">
        <v>2565</v>
      </c>
      <c r="AC3234" s="167">
        <v>353</v>
      </c>
      <c r="AD3234" s="203">
        <v>43180</v>
      </c>
      <c r="AE3234" s="203">
        <v>0</v>
      </c>
      <c r="AF3234" s="167" t="s">
        <v>3469</v>
      </c>
    </row>
    <row r="3235" spans="28:32" x14ac:dyDescent="0.25">
      <c r="AB3235" s="167" t="s">
        <v>2567</v>
      </c>
      <c r="AC3235" s="167">
        <v>323</v>
      </c>
      <c r="AD3235" s="203">
        <v>43074</v>
      </c>
      <c r="AE3235" s="203">
        <v>43111</v>
      </c>
      <c r="AF3235" s="167" t="s">
        <v>3470</v>
      </c>
    </row>
    <row r="3236" spans="28:32" x14ac:dyDescent="0.25">
      <c r="AB3236" s="167" t="s">
        <v>2567</v>
      </c>
      <c r="AC3236" s="167">
        <v>374</v>
      </c>
      <c r="AD3236" s="203">
        <v>43195</v>
      </c>
      <c r="AE3236" s="203">
        <v>0</v>
      </c>
      <c r="AF3236" s="167" t="s">
        <v>3469</v>
      </c>
    </row>
    <row r="3237" spans="28:32" x14ac:dyDescent="0.25">
      <c r="AB3237" s="167" t="s">
        <v>2569</v>
      </c>
      <c r="AC3237" s="167">
        <v>323</v>
      </c>
      <c r="AD3237" s="203">
        <v>43074</v>
      </c>
      <c r="AE3237" s="203">
        <v>43111</v>
      </c>
      <c r="AF3237" s="167" t="s">
        <v>3470</v>
      </c>
    </row>
    <row r="3238" spans="28:32" x14ac:dyDescent="0.25">
      <c r="AB3238" s="167" t="s">
        <v>2569</v>
      </c>
      <c r="AC3238" s="167">
        <v>327</v>
      </c>
      <c r="AD3238" s="203">
        <v>43074</v>
      </c>
      <c r="AE3238" s="203">
        <v>43131</v>
      </c>
      <c r="AF3238" s="167" t="s">
        <v>3470</v>
      </c>
    </row>
    <row r="3239" spans="28:32" x14ac:dyDescent="0.25">
      <c r="AB3239" s="167" t="s">
        <v>2569</v>
      </c>
      <c r="AC3239" s="167">
        <v>364</v>
      </c>
      <c r="AD3239" s="203">
        <v>43168</v>
      </c>
      <c r="AE3239" s="203">
        <v>43179</v>
      </c>
      <c r="AF3239" s="167" t="s">
        <v>3470</v>
      </c>
    </row>
    <row r="3240" spans="28:32" x14ac:dyDescent="0.25">
      <c r="AB3240" s="167" t="s">
        <v>2569</v>
      </c>
      <c r="AC3240" s="167">
        <v>353</v>
      </c>
      <c r="AD3240" s="203">
        <v>43180</v>
      </c>
      <c r="AE3240" s="203">
        <v>0</v>
      </c>
      <c r="AF3240" s="167" t="s">
        <v>3469</v>
      </c>
    </row>
    <row r="3241" spans="28:32" x14ac:dyDescent="0.25">
      <c r="AB3241" s="167" t="s">
        <v>2570</v>
      </c>
      <c r="AC3241" s="167">
        <v>347</v>
      </c>
      <c r="AD3241" s="203">
        <v>43118</v>
      </c>
      <c r="AE3241" s="203">
        <v>43133</v>
      </c>
      <c r="AF3241" s="167" t="s">
        <v>3470</v>
      </c>
    </row>
    <row r="3242" spans="28:32" x14ac:dyDescent="0.25">
      <c r="AB3242" s="167" t="s">
        <v>2570</v>
      </c>
      <c r="AC3242" s="167">
        <v>340</v>
      </c>
      <c r="AD3242" s="203">
        <v>43133</v>
      </c>
      <c r="AE3242" s="203">
        <v>43168</v>
      </c>
      <c r="AF3242" s="167" t="s">
        <v>3470</v>
      </c>
    </row>
    <row r="3243" spans="28:32" x14ac:dyDescent="0.25">
      <c r="AB3243" s="167" t="s">
        <v>2572</v>
      </c>
      <c r="AC3243" s="167">
        <v>374</v>
      </c>
      <c r="AD3243" s="203">
        <v>43195</v>
      </c>
      <c r="AE3243" s="203">
        <v>0</v>
      </c>
      <c r="AF3243" s="167" t="s">
        <v>3469</v>
      </c>
    </row>
    <row r="3244" spans="28:32" x14ac:dyDescent="0.25">
      <c r="AB3244" s="167" t="s">
        <v>2574</v>
      </c>
      <c r="AC3244" s="167">
        <v>357</v>
      </c>
      <c r="AD3244" s="203">
        <v>43139</v>
      </c>
      <c r="AE3244" s="203">
        <v>43164</v>
      </c>
      <c r="AF3244" s="167" t="s">
        <v>3470</v>
      </c>
    </row>
    <row r="3245" spans="28:32" x14ac:dyDescent="0.25">
      <c r="AB3245" s="167" t="s">
        <v>2574</v>
      </c>
      <c r="AC3245" s="167">
        <v>353</v>
      </c>
      <c r="AD3245" s="203">
        <v>43180</v>
      </c>
      <c r="AE3245" s="203">
        <v>0</v>
      </c>
      <c r="AF3245" s="167" t="s">
        <v>3469</v>
      </c>
    </row>
    <row r="3246" spans="28:32" x14ac:dyDescent="0.25">
      <c r="AB3246" s="167" t="s">
        <v>2576</v>
      </c>
      <c r="AC3246" s="167">
        <v>347</v>
      </c>
      <c r="AD3246" s="203">
        <v>43118</v>
      </c>
      <c r="AE3246" s="203">
        <v>43133</v>
      </c>
      <c r="AF3246" s="167" t="s">
        <v>3470</v>
      </c>
    </row>
    <row r="3247" spans="28:32" x14ac:dyDescent="0.25">
      <c r="AB3247" s="167" t="s">
        <v>2576</v>
      </c>
      <c r="AC3247" s="167">
        <v>364</v>
      </c>
      <c r="AD3247" s="203">
        <v>43168</v>
      </c>
      <c r="AE3247" s="203">
        <v>43179</v>
      </c>
      <c r="AF3247" s="167" t="s">
        <v>3470</v>
      </c>
    </row>
    <row r="3248" spans="28:32" x14ac:dyDescent="0.25">
      <c r="AB3248" s="167" t="s">
        <v>2576</v>
      </c>
      <c r="AC3248" s="167">
        <v>353</v>
      </c>
      <c r="AD3248" s="203">
        <v>43180</v>
      </c>
      <c r="AE3248" s="203">
        <v>0</v>
      </c>
      <c r="AF3248" s="167" t="s">
        <v>3469</v>
      </c>
    </row>
    <row r="3249" spans="28:32" x14ac:dyDescent="0.25">
      <c r="AB3249" s="167" t="s">
        <v>2576</v>
      </c>
      <c r="AC3249" s="167">
        <v>374</v>
      </c>
      <c r="AD3249" s="203">
        <v>43195</v>
      </c>
      <c r="AE3249" s="203">
        <v>0</v>
      </c>
      <c r="AF3249" s="167" t="s">
        <v>3469</v>
      </c>
    </row>
    <row r="3250" spans="28:32" x14ac:dyDescent="0.25">
      <c r="AB3250" s="167" t="s">
        <v>2578</v>
      </c>
      <c r="AC3250" s="167">
        <v>327</v>
      </c>
      <c r="AD3250" s="203">
        <v>43074</v>
      </c>
      <c r="AE3250" s="203">
        <v>43131</v>
      </c>
      <c r="AF3250" s="167" t="s">
        <v>3470</v>
      </c>
    </row>
    <row r="3251" spans="28:32" x14ac:dyDescent="0.25">
      <c r="AB3251" s="167" t="s">
        <v>2578</v>
      </c>
      <c r="AC3251" s="167">
        <v>327</v>
      </c>
      <c r="AD3251" s="203">
        <v>43074</v>
      </c>
      <c r="AE3251" s="203">
        <v>43131</v>
      </c>
      <c r="AF3251" s="167" t="s">
        <v>3470</v>
      </c>
    </row>
    <row r="3252" spans="28:32" x14ac:dyDescent="0.25">
      <c r="AB3252" s="167" t="s">
        <v>2578</v>
      </c>
      <c r="AC3252" s="167">
        <v>347</v>
      </c>
      <c r="AD3252" s="203">
        <v>43118</v>
      </c>
      <c r="AE3252" s="203">
        <v>43133</v>
      </c>
      <c r="AF3252" s="167" t="s">
        <v>3470</v>
      </c>
    </row>
    <row r="3253" spans="28:32" x14ac:dyDescent="0.25">
      <c r="AB3253" s="167" t="s">
        <v>2578</v>
      </c>
      <c r="AC3253" s="167">
        <v>340</v>
      </c>
      <c r="AD3253" s="203">
        <v>43133</v>
      </c>
      <c r="AE3253" s="203">
        <v>43168</v>
      </c>
      <c r="AF3253" s="167" t="s">
        <v>3470</v>
      </c>
    </row>
    <row r="3254" spans="28:32" x14ac:dyDescent="0.25">
      <c r="AB3254" s="167" t="s">
        <v>2578</v>
      </c>
      <c r="AC3254" s="167">
        <v>353</v>
      </c>
      <c r="AD3254" s="203">
        <v>43180</v>
      </c>
      <c r="AE3254" s="203">
        <v>0</v>
      </c>
      <c r="AF3254" s="167" t="s">
        <v>3469</v>
      </c>
    </row>
    <row r="3255" spans="28:32" x14ac:dyDescent="0.25">
      <c r="AB3255" s="167" t="s">
        <v>2578</v>
      </c>
      <c r="AC3255" s="167">
        <v>353</v>
      </c>
      <c r="AD3255" s="203">
        <v>43180</v>
      </c>
      <c r="AE3255" s="203">
        <v>0</v>
      </c>
      <c r="AF3255" s="167" t="s">
        <v>3469</v>
      </c>
    </row>
    <row r="3256" spans="28:32" x14ac:dyDescent="0.25">
      <c r="AB3256" s="167" t="s">
        <v>2580</v>
      </c>
      <c r="AC3256" s="167">
        <v>327</v>
      </c>
      <c r="AD3256" s="203">
        <v>43074</v>
      </c>
      <c r="AE3256" s="203">
        <v>43131</v>
      </c>
      <c r="AF3256" s="167" t="s">
        <v>3470</v>
      </c>
    </row>
    <row r="3257" spans="28:32" x14ac:dyDescent="0.25">
      <c r="AB3257" s="167" t="s">
        <v>2580</v>
      </c>
      <c r="AC3257" s="167">
        <v>340</v>
      </c>
      <c r="AD3257" s="203">
        <v>43133</v>
      </c>
      <c r="AE3257" s="203">
        <v>43168</v>
      </c>
      <c r="AF3257" s="167" t="s">
        <v>3470</v>
      </c>
    </row>
    <row r="3258" spans="28:32" x14ac:dyDescent="0.25">
      <c r="AB3258" s="167" t="s">
        <v>2580</v>
      </c>
      <c r="AC3258" s="167">
        <v>357</v>
      </c>
      <c r="AD3258" s="203">
        <v>43139</v>
      </c>
      <c r="AE3258" s="203">
        <v>43164</v>
      </c>
      <c r="AF3258" s="167" t="s">
        <v>3470</v>
      </c>
    </row>
    <row r="3259" spans="28:32" x14ac:dyDescent="0.25">
      <c r="AB3259" s="167" t="s">
        <v>2580</v>
      </c>
      <c r="AC3259" s="167">
        <v>364</v>
      </c>
      <c r="AD3259" s="203">
        <v>43168</v>
      </c>
      <c r="AE3259" s="203">
        <v>43179</v>
      </c>
      <c r="AF3259" s="167" t="s">
        <v>3470</v>
      </c>
    </row>
    <row r="3260" spans="28:32" x14ac:dyDescent="0.25">
      <c r="AB3260" s="167" t="s">
        <v>2580</v>
      </c>
      <c r="AC3260" s="167">
        <v>353</v>
      </c>
      <c r="AD3260" s="203">
        <v>43180</v>
      </c>
      <c r="AE3260" s="203">
        <v>0</v>
      </c>
      <c r="AF3260" s="167" t="s">
        <v>3469</v>
      </c>
    </row>
    <row r="3261" spans="28:32" x14ac:dyDescent="0.25">
      <c r="AB3261" s="167" t="s">
        <v>2580</v>
      </c>
      <c r="AC3261" s="167">
        <v>353</v>
      </c>
      <c r="AD3261" s="203">
        <v>43180</v>
      </c>
      <c r="AE3261" s="203">
        <v>0</v>
      </c>
      <c r="AF3261" s="167" t="s">
        <v>3469</v>
      </c>
    </row>
    <row r="3262" spans="28:32" x14ac:dyDescent="0.25">
      <c r="AB3262" s="167" t="s">
        <v>3426</v>
      </c>
      <c r="AC3262" s="167">
        <v>364</v>
      </c>
      <c r="AD3262" s="203">
        <v>43168</v>
      </c>
      <c r="AE3262" s="203">
        <v>43179</v>
      </c>
      <c r="AF3262" s="167" t="s">
        <v>3470</v>
      </c>
    </row>
    <row r="3263" spans="28:32" x14ac:dyDescent="0.25">
      <c r="AB3263" s="167" t="s">
        <v>3426</v>
      </c>
      <c r="AC3263" s="167">
        <v>353</v>
      </c>
      <c r="AD3263" s="203">
        <v>43180</v>
      </c>
      <c r="AE3263" s="203">
        <v>0</v>
      </c>
      <c r="AF3263" s="167" t="s">
        <v>3469</v>
      </c>
    </row>
    <row r="3264" spans="28:32" x14ac:dyDescent="0.25">
      <c r="AB3264" s="167" t="s">
        <v>3426</v>
      </c>
      <c r="AC3264" s="167">
        <v>374</v>
      </c>
      <c r="AD3264" s="203">
        <v>43195</v>
      </c>
      <c r="AE3264" s="203">
        <v>0</v>
      </c>
      <c r="AF3264" s="167" t="s">
        <v>3469</v>
      </c>
    </row>
    <row r="3265" spans="28:32" x14ac:dyDescent="0.25">
      <c r="AB3265" s="167" t="s">
        <v>3501</v>
      </c>
      <c r="AC3265" s="167">
        <v>347</v>
      </c>
      <c r="AD3265" s="203">
        <v>43118</v>
      </c>
      <c r="AE3265" s="203">
        <v>43133</v>
      </c>
      <c r="AF3265" s="167" t="s">
        <v>3470</v>
      </c>
    </row>
    <row r="3266" spans="28:32" x14ac:dyDescent="0.25">
      <c r="AB3266" s="167" t="s">
        <v>3501</v>
      </c>
      <c r="AC3266" s="167">
        <v>340</v>
      </c>
      <c r="AD3266" s="203">
        <v>43133</v>
      </c>
      <c r="AE3266" s="203">
        <v>43168</v>
      </c>
      <c r="AF3266" s="167" t="s">
        <v>3470</v>
      </c>
    </row>
    <row r="3267" spans="28:32" x14ac:dyDescent="0.25">
      <c r="AB3267" s="167" t="s">
        <v>2581</v>
      </c>
      <c r="AC3267" s="167">
        <v>323</v>
      </c>
      <c r="AD3267" s="203">
        <v>43074</v>
      </c>
      <c r="AE3267" s="203">
        <v>43111</v>
      </c>
      <c r="AF3267" s="167" t="s">
        <v>3470</v>
      </c>
    </row>
    <row r="3268" spans="28:32" x14ac:dyDescent="0.25">
      <c r="AB3268" s="167" t="s">
        <v>2581</v>
      </c>
      <c r="AC3268" s="167">
        <v>347</v>
      </c>
      <c r="AD3268" s="203">
        <v>43118</v>
      </c>
      <c r="AE3268" s="203">
        <v>43133</v>
      </c>
      <c r="AF3268" s="167" t="s">
        <v>3470</v>
      </c>
    </row>
    <row r="3269" spans="28:32" x14ac:dyDescent="0.25">
      <c r="AB3269" s="167" t="s">
        <v>2581</v>
      </c>
      <c r="AC3269" s="167">
        <v>340</v>
      </c>
      <c r="AD3269" s="203">
        <v>43133</v>
      </c>
      <c r="AE3269" s="203">
        <v>43168</v>
      </c>
      <c r="AF3269" s="167" t="s">
        <v>3470</v>
      </c>
    </row>
    <row r="3270" spans="28:32" x14ac:dyDescent="0.25">
      <c r="AB3270" s="167" t="s">
        <v>2583</v>
      </c>
      <c r="AC3270" s="167">
        <v>323</v>
      </c>
      <c r="AD3270" s="203">
        <v>43074</v>
      </c>
      <c r="AE3270" s="203">
        <v>43111</v>
      </c>
      <c r="AF3270" s="167" t="s">
        <v>3470</v>
      </c>
    </row>
    <row r="3271" spans="28:32" x14ac:dyDescent="0.25">
      <c r="AB3271" s="167" t="s">
        <v>2583</v>
      </c>
      <c r="AC3271" s="167">
        <v>374</v>
      </c>
      <c r="AD3271" s="203">
        <v>43195</v>
      </c>
      <c r="AE3271" s="203">
        <v>0</v>
      </c>
      <c r="AF3271" s="167" t="s">
        <v>3469</v>
      </c>
    </row>
    <row r="3272" spans="28:32" x14ac:dyDescent="0.25">
      <c r="AB3272" s="167" t="s">
        <v>3427</v>
      </c>
      <c r="AC3272" s="167">
        <v>347</v>
      </c>
      <c r="AD3272" s="203">
        <v>43118</v>
      </c>
      <c r="AE3272" s="203">
        <v>43133</v>
      </c>
      <c r="AF3272" s="167" t="s">
        <v>3470</v>
      </c>
    </row>
    <row r="3273" spans="28:32" x14ac:dyDescent="0.25">
      <c r="AB3273" s="167" t="s">
        <v>3427</v>
      </c>
      <c r="AC3273" s="167">
        <v>340</v>
      </c>
      <c r="AD3273" s="203">
        <v>43133</v>
      </c>
      <c r="AE3273" s="203">
        <v>43168</v>
      </c>
      <c r="AF3273" s="167" t="s">
        <v>3470</v>
      </c>
    </row>
    <row r="3274" spans="28:32" x14ac:dyDescent="0.25">
      <c r="AB3274" s="167" t="s">
        <v>3427</v>
      </c>
      <c r="AC3274" s="167">
        <v>340</v>
      </c>
      <c r="AD3274" s="203">
        <v>43133</v>
      </c>
      <c r="AE3274" s="203">
        <v>43168</v>
      </c>
      <c r="AF3274" s="167" t="s">
        <v>3470</v>
      </c>
    </row>
    <row r="3275" spans="28:32" x14ac:dyDescent="0.25">
      <c r="AB3275" s="167" t="s">
        <v>3427</v>
      </c>
      <c r="AC3275" s="167">
        <v>364</v>
      </c>
      <c r="AD3275" s="203">
        <v>43168</v>
      </c>
      <c r="AE3275" s="203">
        <v>43179</v>
      </c>
      <c r="AF3275" s="167" t="s">
        <v>3470</v>
      </c>
    </row>
    <row r="3276" spans="28:32" x14ac:dyDescent="0.25">
      <c r="AB3276" s="167" t="s">
        <v>3427</v>
      </c>
      <c r="AC3276" s="167">
        <v>353</v>
      </c>
      <c r="AD3276" s="203">
        <v>43180</v>
      </c>
      <c r="AE3276" s="203">
        <v>0</v>
      </c>
      <c r="AF3276" s="167" t="s">
        <v>3469</v>
      </c>
    </row>
    <row r="3277" spans="28:32" x14ac:dyDescent="0.25">
      <c r="AB3277" s="167" t="s">
        <v>3427</v>
      </c>
      <c r="AC3277" s="167">
        <v>353</v>
      </c>
      <c r="AD3277" s="203">
        <v>43180</v>
      </c>
      <c r="AE3277" s="203">
        <v>0</v>
      </c>
      <c r="AF3277" s="167" t="s">
        <v>3469</v>
      </c>
    </row>
    <row r="3278" spans="28:32" x14ac:dyDescent="0.25">
      <c r="AB3278" s="167" t="s">
        <v>3427</v>
      </c>
      <c r="AC3278" s="167">
        <v>353</v>
      </c>
      <c r="AD3278" s="203">
        <v>43180</v>
      </c>
      <c r="AE3278" s="203">
        <v>0</v>
      </c>
      <c r="AF3278" s="167" t="s">
        <v>3469</v>
      </c>
    </row>
    <row r="3279" spans="28:32" x14ac:dyDescent="0.25">
      <c r="AB3279" s="167" t="s">
        <v>3427</v>
      </c>
      <c r="AC3279" s="167">
        <v>353</v>
      </c>
      <c r="AD3279" s="203">
        <v>43180</v>
      </c>
      <c r="AE3279" s="203">
        <v>0</v>
      </c>
      <c r="AF3279" s="167" t="s">
        <v>3469</v>
      </c>
    </row>
    <row r="3280" spans="28:32" x14ac:dyDescent="0.25">
      <c r="AB3280" s="167" t="s">
        <v>2584</v>
      </c>
      <c r="AC3280" s="167">
        <v>347</v>
      </c>
      <c r="AD3280" s="203">
        <v>43118</v>
      </c>
      <c r="AE3280" s="203">
        <v>43133</v>
      </c>
      <c r="AF3280" s="167" t="s">
        <v>3470</v>
      </c>
    </row>
    <row r="3281" spans="28:32" x14ac:dyDescent="0.25">
      <c r="AB3281" s="167" t="s">
        <v>2584</v>
      </c>
      <c r="AC3281" s="167">
        <v>340</v>
      </c>
      <c r="AD3281" s="203">
        <v>43133</v>
      </c>
      <c r="AE3281" s="203">
        <v>43168</v>
      </c>
      <c r="AF3281" s="167" t="s">
        <v>3470</v>
      </c>
    </row>
    <row r="3282" spans="28:32" x14ac:dyDescent="0.25">
      <c r="AB3282" s="167" t="s">
        <v>2586</v>
      </c>
      <c r="AC3282" s="167">
        <v>323</v>
      </c>
      <c r="AD3282" s="203">
        <v>43074</v>
      </c>
      <c r="AE3282" s="203">
        <v>43111</v>
      </c>
      <c r="AF3282" s="167" t="s">
        <v>3470</v>
      </c>
    </row>
    <row r="3283" spans="28:32" x14ac:dyDescent="0.25">
      <c r="AB3283" s="167" t="s">
        <v>2586</v>
      </c>
      <c r="AC3283" s="167">
        <v>323</v>
      </c>
      <c r="AD3283" s="203">
        <v>43074</v>
      </c>
      <c r="AE3283" s="203">
        <v>43111</v>
      </c>
      <c r="AF3283" s="167" t="s">
        <v>3470</v>
      </c>
    </row>
    <row r="3284" spans="28:32" x14ac:dyDescent="0.25">
      <c r="AB3284" s="167" t="s">
        <v>2586</v>
      </c>
      <c r="AC3284" s="167">
        <v>340</v>
      </c>
      <c r="AD3284" s="203">
        <v>43133</v>
      </c>
      <c r="AE3284" s="203">
        <v>43168</v>
      </c>
      <c r="AF3284" s="167" t="s">
        <v>3470</v>
      </c>
    </row>
    <row r="3285" spans="28:32" x14ac:dyDescent="0.25">
      <c r="AB3285" s="167" t="s">
        <v>2586</v>
      </c>
      <c r="AC3285" s="167">
        <v>357</v>
      </c>
      <c r="AD3285" s="203">
        <v>43139</v>
      </c>
      <c r="AE3285" s="203">
        <v>43164</v>
      </c>
      <c r="AF3285" s="167" t="s">
        <v>3470</v>
      </c>
    </row>
    <row r="3286" spans="28:32" x14ac:dyDescent="0.25">
      <c r="AB3286" s="167" t="s">
        <v>2586</v>
      </c>
      <c r="AC3286" s="167">
        <v>364</v>
      </c>
      <c r="AD3286" s="203">
        <v>43168</v>
      </c>
      <c r="AE3286" s="203">
        <v>43179</v>
      </c>
      <c r="AF3286" s="167" t="s">
        <v>3470</v>
      </c>
    </row>
    <row r="3287" spans="28:32" x14ac:dyDescent="0.25">
      <c r="AB3287" s="167" t="s">
        <v>2586</v>
      </c>
      <c r="AC3287" s="167">
        <v>353</v>
      </c>
      <c r="AD3287" s="203">
        <v>43180</v>
      </c>
      <c r="AE3287" s="203">
        <v>0</v>
      </c>
      <c r="AF3287" s="167" t="s">
        <v>3469</v>
      </c>
    </row>
    <row r="3288" spans="28:32" x14ac:dyDescent="0.25">
      <c r="AB3288" s="167" t="s">
        <v>2586</v>
      </c>
      <c r="AC3288" s="167">
        <v>353</v>
      </c>
      <c r="AD3288" s="203">
        <v>43180</v>
      </c>
      <c r="AE3288" s="203">
        <v>0</v>
      </c>
      <c r="AF3288" s="167" t="s">
        <v>3469</v>
      </c>
    </row>
    <row r="3289" spans="28:32" x14ac:dyDescent="0.25">
      <c r="AB3289" s="167" t="s">
        <v>2586</v>
      </c>
      <c r="AC3289" s="167">
        <v>353</v>
      </c>
      <c r="AD3289" s="203">
        <v>43180</v>
      </c>
      <c r="AE3289" s="203">
        <v>0</v>
      </c>
      <c r="AF3289" s="167" t="s">
        <v>3469</v>
      </c>
    </row>
    <row r="3290" spans="28:32" x14ac:dyDescent="0.25">
      <c r="AB3290" s="167" t="s">
        <v>2588</v>
      </c>
      <c r="AC3290" s="167">
        <v>323</v>
      </c>
      <c r="AD3290" s="203">
        <v>43074</v>
      </c>
      <c r="AE3290" s="203">
        <v>43111</v>
      </c>
      <c r="AF3290" s="167" t="s">
        <v>3470</v>
      </c>
    </row>
    <row r="3291" spans="28:32" x14ac:dyDescent="0.25">
      <c r="AB3291" s="167" t="s">
        <v>2588</v>
      </c>
      <c r="AC3291" s="167">
        <v>347</v>
      </c>
      <c r="AD3291" s="203">
        <v>43118</v>
      </c>
      <c r="AE3291" s="203">
        <v>43133</v>
      </c>
      <c r="AF3291" s="167" t="s">
        <v>3470</v>
      </c>
    </row>
    <row r="3292" spans="28:32" x14ac:dyDescent="0.25">
      <c r="AB3292" s="167" t="s">
        <v>2588</v>
      </c>
      <c r="AC3292" s="167">
        <v>340</v>
      </c>
      <c r="AD3292" s="203">
        <v>43133</v>
      </c>
      <c r="AE3292" s="203">
        <v>43168</v>
      </c>
      <c r="AF3292" s="167" t="s">
        <v>3470</v>
      </c>
    </row>
    <row r="3293" spans="28:32" x14ac:dyDescent="0.25">
      <c r="AB3293" s="167" t="s">
        <v>2588</v>
      </c>
      <c r="AC3293" s="167">
        <v>374</v>
      </c>
      <c r="AD3293" s="203">
        <v>43195</v>
      </c>
      <c r="AE3293" s="203">
        <v>0</v>
      </c>
      <c r="AF3293" s="167" t="s">
        <v>3469</v>
      </c>
    </row>
    <row r="3294" spans="28:32" x14ac:dyDescent="0.25">
      <c r="AB3294" s="167" t="s">
        <v>2589</v>
      </c>
      <c r="AC3294" s="167">
        <v>347</v>
      </c>
      <c r="AD3294" s="203">
        <v>43118</v>
      </c>
      <c r="AE3294" s="203">
        <v>43133</v>
      </c>
      <c r="AF3294" s="167" t="s">
        <v>3470</v>
      </c>
    </row>
    <row r="3295" spans="28:32" x14ac:dyDescent="0.25">
      <c r="AB3295" s="167" t="s">
        <v>2589</v>
      </c>
      <c r="AC3295" s="167">
        <v>340</v>
      </c>
      <c r="AD3295" s="203">
        <v>43133</v>
      </c>
      <c r="AE3295" s="203">
        <v>43168</v>
      </c>
      <c r="AF3295" s="167" t="s">
        <v>3470</v>
      </c>
    </row>
    <row r="3296" spans="28:32" x14ac:dyDescent="0.25">
      <c r="AB3296" s="167" t="s">
        <v>2590</v>
      </c>
      <c r="AC3296" s="167">
        <v>364</v>
      </c>
      <c r="AD3296" s="203">
        <v>43168</v>
      </c>
      <c r="AE3296" s="203">
        <v>43179</v>
      </c>
      <c r="AF3296" s="167" t="s">
        <v>3470</v>
      </c>
    </row>
    <row r="3297" spans="28:32" x14ac:dyDescent="0.25">
      <c r="AB3297" s="167" t="s">
        <v>2590</v>
      </c>
      <c r="AC3297" s="167">
        <v>353</v>
      </c>
      <c r="AD3297" s="203">
        <v>43180</v>
      </c>
      <c r="AE3297" s="203">
        <v>0</v>
      </c>
      <c r="AF3297" s="167" t="s">
        <v>3469</v>
      </c>
    </row>
    <row r="3298" spans="28:32" x14ac:dyDescent="0.25">
      <c r="AB3298" s="167" t="s">
        <v>2592</v>
      </c>
      <c r="AC3298" s="167">
        <v>353</v>
      </c>
      <c r="AD3298" s="203">
        <v>43180</v>
      </c>
      <c r="AE3298" s="203">
        <v>0</v>
      </c>
      <c r="AF3298" s="167" t="s">
        <v>3469</v>
      </c>
    </row>
    <row r="3299" spans="28:32" x14ac:dyDescent="0.25">
      <c r="AB3299" s="167" t="s">
        <v>2594</v>
      </c>
      <c r="AC3299" s="167">
        <v>357</v>
      </c>
      <c r="AD3299" s="203">
        <v>43139</v>
      </c>
      <c r="AE3299" s="203">
        <v>43164</v>
      </c>
      <c r="AF3299" s="167" t="s">
        <v>3470</v>
      </c>
    </row>
    <row r="3300" spans="28:32" x14ac:dyDescent="0.25">
      <c r="AB3300" s="167" t="s">
        <v>2594</v>
      </c>
      <c r="AC3300" s="167">
        <v>353</v>
      </c>
      <c r="AD3300" s="203">
        <v>43180</v>
      </c>
      <c r="AE3300" s="203">
        <v>0</v>
      </c>
      <c r="AF3300" s="167" t="s">
        <v>3469</v>
      </c>
    </row>
    <row r="3301" spans="28:32" x14ac:dyDescent="0.25">
      <c r="AB3301" s="167" t="s">
        <v>2596</v>
      </c>
      <c r="AC3301" s="167">
        <v>357</v>
      </c>
      <c r="AD3301" s="203">
        <v>43139</v>
      </c>
      <c r="AE3301" s="203">
        <v>43164</v>
      </c>
      <c r="AF3301" s="167" t="s">
        <v>3470</v>
      </c>
    </row>
    <row r="3302" spans="28:32" x14ac:dyDescent="0.25">
      <c r="AB3302" s="167" t="s">
        <v>2596</v>
      </c>
      <c r="AC3302" s="167">
        <v>353</v>
      </c>
      <c r="AD3302" s="203">
        <v>43180</v>
      </c>
      <c r="AE3302" s="203">
        <v>0</v>
      </c>
      <c r="AF3302" s="167" t="s">
        <v>3469</v>
      </c>
    </row>
    <row r="3303" spans="28:32" x14ac:dyDescent="0.25">
      <c r="AB3303" s="167" t="s">
        <v>2597</v>
      </c>
      <c r="AC3303" s="167">
        <v>327</v>
      </c>
      <c r="AD3303" s="203">
        <v>43074</v>
      </c>
      <c r="AE3303" s="203">
        <v>43131</v>
      </c>
      <c r="AF3303" s="167" t="s">
        <v>3470</v>
      </c>
    </row>
    <row r="3304" spans="28:32" x14ac:dyDescent="0.25">
      <c r="AB3304" s="167" t="s">
        <v>2597</v>
      </c>
      <c r="AC3304" s="167">
        <v>347</v>
      </c>
      <c r="AD3304" s="203">
        <v>43118</v>
      </c>
      <c r="AE3304" s="203">
        <v>43133</v>
      </c>
      <c r="AF3304" s="167" t="s">
        <v>3470</v>
      </c>
    </row>
    <row r="3305" spans="28:32" x14ac:dyDescent="0.25">
      <c r="AB3305" s="167" t="s">
        <v>2597</v>
      </c>
      <c r="AC3305" s="167">
        <v>353</v>
      </c>
      <c r="AD3305" s="203">
        <v>43180</v>
      </c>
      <c r="AE3305" s="203">
        <v>0</v>
      </c>
      <c r="AF3305" s="167" t="s">
        <v>3469</v>
      </c>
    </row>
    <row r="3306" spans="28:32" x14ac:dyDescent="0.25">
      <c r="AB3306" s="167" t="s">
        <v>2597</v>
      </c>
      <c r="AC3306" s="167">
        <v>353</v>
      </c>
      <c r="AD3306" s="203">
        <v>43180</v>
      </c>
      <c r="AE3306" s="203">
        <v>0</v>
      </c>
      <c r="AF3306" s="167" t="s">
        <v>3469</v>
      </c>
    </row>
    <row r="3307" spans="28:32" x14ac:dyDescent="0.25">
      <c r="AB3307" s="167" t="s">
        <v>2598</v>
      </c>
      <c r="AC3307" s="167">
        <v>323</v>
      </c>
      <c r="AD3307" s="203">
        <v>43074</v>
      </c>
      <c r="AE3307" s="203">
        <v>43111</v>
      </c>
      <c r="AF3307" s="167" t="s">
        <v>3470</v>
      </c>
    </row>
    <row r="3308" spans="28:32" x14ac:dyDescent="0.25">
      <c r="AB3308" s="167" t="s">
        <v>2599</v>
      </c>
      <c r="AC3308" s="167">
        <v>353</v>
      </c>
      <c r="AD3308" s="203">
        <v>43180</v>
      </c>
      <c r="AE3308" s="203">
        <v>0</v>
      </c>
      <c r="AF3308" s="167" t="s">
        <v>3469</v>
      </c>
    </row>
    <row r="3309" spans="28:32" x14ac:dyDescent="0.25">
      <c r="AB3309" s="167" t="s">
        <v>2600</v>
      </c>
      <c r="AC3309" s="167">
        <v>323</v>
      </c>
      <c r="AD3309" s="203">
        <v>43074</v>
      </c>
      <c r="AE3309" s="203">
        <v>43111</v>
      </c>
      <c r="AF3309" s="167" t="s">
        <v>3470</v>
      </c>
    </row>
    <row r="3310" spans="28:32" x14ac:dyDescent="0.25">
      <c r="AB3310" s="167" t="s">
        <v>2600</v>
      </c>
      <c r="AC3310" s="167">
        <v>347</v>
      </c>
      <c r="AD3310" s="203">
        <v>43118</v>
      </c>
      <c r="AE3310" s="203">
        <v>43133</v>
      </c>
      <c r="AF3310" s="167" t="s">
        <v>3470</v>
      </c>
    </row>
    <row r="3311" spans="28:32" x14ac:dyDescent="0.25">
      <c r="AB3311" s="167" t="s">
        <v>2600</v>
      </c>
      <c r="AC3311" s="167">
        <v>340</v>
      </c>
      <c r="AD3311" s="203">
        <v>43133</v>
      </c>
      <c r="AE3311" s="203">
        <v>43168</v>
      </c>
      <c r="AF3311" s="167" t="s">
        <v>3470</v>
      </c>
    </row>
    <row r="3312" spans="28:32" x14ac:dyDescent="0.25">
      <c r="AB3312" s="167" t="s">
        <v>2600</v>
      </c>
      <c r="AC3312" s="167">
        <v>340</v>
      </c>
      <c r="AD3312" s="203">
        <v>43133</v>
      </c>
      <c r="AE3312" s="203">
        <v>43168</v>
      </c>
      <c r="AF3312" s="167" t="s">
        <v>3470</v>
      </c>
    </row>
    <row r="3313" spans="28:32" x14ac:dyDescent="0.25">
      <c r="AB3313" s="167" t="s">
        <v>2600</v>
      </c>
      <c r="AC3313" s="167">
        <v>364</v>
      </c>
      <c r="AD3313" s="203">
        <v>43168</v>
      </c>
      <c r="AE3313" s="203">
        <v>43179</v>
      </c>
      <c r="AF3313" s="167" t="s">
        <v>3470</v>
      </c>
    </row>
    <row r="3314" spans="28:32" x14ac:dyDescent="0.25">
      <c r="AB3314" s="167" t="s">
        <v>2600</v>
      </c>
      <c r="AC3314" s="167">
        <v>353</v>
      </c>
      <c r="AD3314" s="203">
        <v>43180</v>
      </c>
      <c r="AE3314" s="203">
        <v>0</v>
      </c>
      <c r="AF3314" s="167" t="s">
        <v>3469</v>
      </c>
    </row>
    <row r="3315" spans="28:32" x14ac:dyDescent="0.25">
      <c r="AB3315" s="167" t="s">
        <v>2600</v>
      </c>
      <c r="AC3315" s="167">
        <v>353</v>
      </c>
      <c r="AD3315" s="203">
        <v>43180</v>
      </c>
      <c r="AE3315" s="203">
        <v>0</v>
      </c>
      <c r="AF3315" s="167" t="s">
        <v>3469</v>
      </c>
    </row>
    <row r="3316" spans="28:32" x14ac:dyDescent="0.25">
      <c r="AB3316" s="167" t="s">
        <v>2600</v>
      </c>
      <c r="AC3316" s="167">
        <v>353</v>
      </c>
      <c r="AD3316" s="203">
        <v>43180</v>
      </c>
      <c r="AE3316" s="203">
        <v>0</v>
      </c>
      <c r="AF3316" s="167" t="s">
        <v>3469</v>
      </c>
    </row>
    <row r="3317" spans="28:32" x14ac:dyDescent="0.25">
      <c r="AB3317" s="167" t="s">
        <v>2600</v>
      </c>
      <c r="AC3317" s="167">
        <v>353</v>
      </c>
      <c r="AD3317" s="203">
        <v>43180</v>
      </c>
      <c r="AE3317" s="203">
        <v>0</v>
      </c>
      <c r="AF3317" s="167" t="s">
        <v>3469</v>
      </c>
    </row>
    <row r="3318" spans="28:32" x14ac:dyDescent="0.25">
      <c r="AB3318" s="167" t="s">
        <v>2601</v>
      </c>
      <c r="AC3318" s="167">
        <v>323</v>
      </c>
      <c r="AD3318" s="203">
        <v>43074</v>
      </c>
      <c r="AE3318" s="203">
        <v>43111</v>
      </c>
      <c r="AF3318" s="167" t="s">
        <v>3470</v>
      </c>
    </row>
    <row r="3319" spans="28:32" x14ac:dyDescent="0.25">
      <c r="AB3319" s="167" t="s">
        <v>2601</v>
      </c>
      <c r="AC3319" s="167">
        <v>327</v>
      </c>
      <c r="AD3319" s="203">
        <v>43074</v>
      </c>
      <c r="AE3319" s="203">
        <v>43131</v>
      </c>
      <c r="AF3319" s="167" t="s">
        <v>3470</v>
      </c>
    </row>
    <row r="3320" spans="28:32" x14ac:dyDescent="0.25">
      <c r="AB3320" s="167" t="s">
        <v>2601</v>
      </c>
      <c r="AC3320" s="167">
        <v>347</v>
      </c>
      <c r="AD3320" s="203">
        <v>43118</v>
      </c>
      <c r="AE3320" s="203">
        <v>43133</v>
      </c>
      <c r="AF3320" s="167" t="s">
        <v>3470</v>
      </c>
    </row>
    <row r="3321" spans="28:32" x14ac:dyDescent="0.25">
      <c r="AB3321" s="167" t="s">
        <v>2601</v>
      </c>
      <c r="AC3321" s="167">
        <v>335</v>
      </c>
      <c r="AD3321" s="203">
        <v>43133</v>
      </c>
      <c r="AE3321" s="203">
        <v>43147</v>
      </c>
      <c r="AF3321" s="167" t="s">
        <v>3470</v>
      </c>
    </row>
    <row r="3322" spans="28:32" x14ac:dyDescent="0.25">
      <c r="AB3322" s="167" t="s">
        <v>2601</v>
      </c>
      <c r="AC3322" s="167">
        <v>340</v>
      </c>
      <c r="AD3322" s="203">
        <v>43133</v>
      </c>
      <c r="AE3322" s="203">
        <v>43168</v>
      </c>
      <c r="AF3322" s="167" t="s">
        <v>3470</v>
      </c>
    </row>
    <row r="3323" spans="28:32" x14ac:dyDescent="0.25">
      <c r="AB3323" s="167" t="s">
        <v>2601</v>
      </c>
      <c r="AC3323" s="167">
        <v>364</v>
      </c>
      <c r="AD3323" s="203">
        <v>43168</v>
      </c>
      <c r="AE3323" s="203">
        <v>43179</v>
      </c>
      <c r="AF3323" s="167" t="s">
        <v>3470</v>
      </c>
    </row>
    <row r="3324" spans="28:32" x14ac:dyDescent="0.25">
      <c r="AB3324" s="167" t="s">
        <v>2601</v>
      </c>
      <c r="AC3324" s="167">
        <v>353</v>
      </c>
      <c r="AD3324" s="203">
        <v>43180</v>
      </c>
      <c r="AE3324" s="203">
        <v>0</v>
      </c>
      <c r="AF3324" s="167" t="s">
        <v>3469</v>
      </c>
    </row>
    <row r="3325" spans="28:32" x14ac:dyDescent="0.25">
      <c r="AB3325" s="167" t="s">
        <v>2601</v>
      </c>
      <c r="AC3325" s="167">
        <v>353</v>
      </c>
      <c r="AD3325" s="203">
        <v>43180</v>
      </c>
      <c r="AE3325" s="203">
        <v>0</v>
      </c>
      <c r="AF3325" s="167" t="s">
        <v>3469</v>
      </c>
    </row>
    <row r="3326" spans="28:32" x14ac:dyDescent="0.25">
      <c r="AB3326" s="167" t="s">
        <v>2601</v>
      </c>
      <c r="AC3326" s="167">
        <v>353</v>
      </c>
      <c r="AD3326" s="203">
        <v>43180</v>
      </c>
      <c r="AE3326" s="203">
        <v>0</v>
      </c>
      <c r="AF3326" s="167" t="s">
        <v>3469</v>
      </c>
    </row>
    <row r="3327" spans="28:32" x14ac:dyDescent="0.25">
      <c r="AB3327" s="167" t="s">
        <v>2601</v>
      </c>
      <c r="AC3327" s="167">
        <v>353</v>
      </c>
      <c r="AD3327" s="203">
        <v>43180</v>
      </c>
      <c r="AE3327" s="203">
        <v>0</v>
      </c>
      <c r="AF3327" s="167" t="s">
        <v>3469</v>
      </c>
    </row>
    <row r="3328" spans="28:32" x14ac:dyDescent="0.25">
      <c r="AB3328" s="167" t="s">
        <v>2601</v>
      </c>
      <c r="AC3328" s="167">
        <v>353</v>
      </c>
      <c r="AD3328" s="203">
        <v>43180</v>
      </c>
      <c r="AE3328" s="203">
        <v>0</v>
      </c>
      <c r="AF3328" s="167" t="s">
        <v>3469</v>
      </c>
    </row>
    <row r="3329" spans="28:32" x14ac:dyDescent="0.25">
      <c r="AB3329" s="167" t="s">
        <v>2603</v>
      </c>
      <c r="AC3329" s="167">
        <v>364</v>
      </c>
      <c r="AD3329" s="203">
        <v>43168</v>
      </c>
      <c r="AE3329" s="203">
        <v>43179</v>
      </c>
      <c r="AF3329" s="167" t="s">
        <v>3470</v>
      </c>
    </row>
    <row r="3330" spans="28:32" x14ac:dyDescent="0.25">
      <c r="AB3330" s="167" t="s">
        <v>2603</v>
      </c>
      <c r="AC3330" s="167">
        <v>353</v>
      </c>
      <c r="AD3330" s="203">
        <v>43180</v>
      </c>
      <c r="AE3330" s="203">
        <v>0</v>
      </c>
      <c r="AF3330" s="167" t="s">
        <v>3469</v>
      </c>
    </row>
    <row r="3331" spans="28:32" x14ac:dyDescent="0.25">
      <c r="AB3331" s="167" t="s">
        <v>2605</v>
      </c>
      <c r="AC3331" s="167">
        <v>364</v>
      </c>
      <c r="AD3331" s="203">
        <v>43168</v>
      </c>
      <c r="AE3331" s="203">
        <v>43179</v>
      </c>
      <c r="AF3331" s="167" t="s">
        <v>3470</v>
      </c>
    </row>
    <row r="3332" spans="28:32" x14ac:dyDescent="0.25">
      <c r="AB3332" s="167" t="s">
        <v>2605</v>
      </c>
      <c r="AC3332" s="167">
        <v>353</v>
      </c>
      <c r="AD3332" s="203">
        <v>43180</v>
      </c>
      <c r="AE3332" s="203">
        <v>0</v>
      </c>
      <c r="AF3332" s="167" t="s">
        <v>3469</v>
      </c>
    </row>
    <row r="3333" spans="28:32" x14ac:dyDescent="0.25">
      <c r="AB3333" s="167" t="s">
        <v>2607</v>
      </c>
      <c r="AC3333" s="167">
        <v>347</v>
      </c>
      <c r="AD3333" s="203">
        <v>43118</v>
      </c>
      <c r="AE3333" s="203">
        <v>43133</v>
      </c>
      <c r="AF3333" s="167" t="s">
        <v>3470</v>
      </c>
    </row>
    <row r="3334" spans="28:32" x14ac:dyDescent="0.25">
      <c r="AB3334" s="167" t="s">
        <v>2607</v>
      </c>
      <c r="AC3334" s="167">
        <v>340</v>
      </c>
      <c r="AD3334" s="203">
        <v>43133</v>
      </c>
      <c r="AE3334" s="203">
        <v>43168</v>
      </c>
      <c r="AF3334" s="167" t="s">
        <v>3470</v>
      </c>
    </row>
    <row r="3335" spans="28:32" x14ac:dyDescent="0.25">
      <c r="AB3335" s="167" t="s">
        <v>2607</v>
      </c>
      <c r="AC3335" s="167">
        <v>340</v>
      </c>
      <c r="AD3335" s="203">
        <v>43133</v>
      </c>
      <c r="AE3335" s="203">
        <v>43168</v>
      </c>
      <c r="AF3335" s="167" t="s">
        <v>3470</v>
      </c>
    </row>
    <row r="3336" spans="28:32" x14ac:dyDescent="0.25">
      <c r="AB3336" s="167" t="s">
        <v>2607</v>
      </c>
      <c r="AC3336" s="167">
        <v>357</v>
      </c>
      <c r="AD3336" s="203">
        <v>43139</v>
      </c>
      <c r="AE3336" s="203">
        <v>43164</v>
      </c>
      <c r="AF3336" s="167" t="s">
        <v>3470</v>
      </c>
    </row>
    <row r="3337" spans="28:32" x14ac:dyDescent="0.25">
      <c r="AB3337" s="167" t="s">
        <v>2607</v>
      </c>
      <c r="AC3337" s="167">
        <v>353</v>
      </c>
      <c r="AD3337" s="203">
        <v>43180</v>
      </c>
      <c r="AE3337" s="203">
        <v>0</v>
      </c>
      <c r="AF3337" s="167" t="s">
        <v>3469</v>
      </c>
    </row>
    <row r="3338" spans="28:32" x14ac:dyDescent="0.25">
      <c r="AB3338" s="167" t="s">
        <v>2609</v>
      </c>
      <c r="AC3338" s="167">
        <v>340</v>
      </c>
      <c r="AD3338" s="203">
        <v>43133</v>
      </c>
      <c r="AE3338" s="203">
        <v>43168</v>
      </c>
      <c r="AF3338" s="167" t="s">
        <v>3470</v>
      </c>
    </row>
    <row r="3339" spans="28:32" x14ac:dyDescent="0.25">
      <c r="AB3339" s="167" t="s">
        <v>2609</v>
      </c>
      <c r="AC3339" s="167">
        <v>364</v>
      </c>
      <c r="AD3339" s="203">
        <v>43168</v>
      </c>
      <c r="AE3339" s="203">
        <v>43179</v>
      </c>
      <c r="AF3339" s="167" t="s">
        <v>3470</v>
      </c>
    </row>
    <row r="3340" spans="28:32" x14ac:dyDescent="0.25">
      <c r="AB3340" s="167" t="s">
        <v>2609</v>
      </c>
      <c r="AC3340" s="167">
        <v>353</v>
      </c>
      <c r="AD3340" s="203">
        <v>43180</v>
      </c>
      <c r="AE3340" s="203">
        <v>0</v>
      </c>
      <c r="AF3340" s="167" t="s">
        <v>3469</v>
      </c>
    </row>
    <row r="3341" spans="28:32" x14ac:dyDescent="0.25">
      <c r="AB3341" s="167" t="s">
        <v>2609</v>
      </c>
      <c r="AC3341" s="167">
        <v>353</v>
      </c>
      <c r="AD3341" s="203">
        <v>43180</v>
      </c>
      <c r="AE3341" s="203">
        <v>0</v>
      </c>
      <c r="AF3341" s="167" t="s">
        <v>3469</v>
      </c>
    </row>
    <row r="3342" spans="28:32" x14ac:dyDescent="0.25">
      <c r="AB3342" s="167" t="s">
        <v>2611</v>
      </c>
      <c r="AC3342" s="167">
        <v>323</v>
      </c>
      <c r="AD3342" s="203">
        <v>43074</v>
      </c>
      <c r="AE3342" s="203">
        <v>43111</v>
      </c>
      <c r="AF3342" s="167" t="s">
        <v>3470</v>
      </c>
    </row>
    <row r="3343" spans="28:32" x14ac:dyDescent="0.25">
      <c r="AB3343" s="167" t="s">
        <v>2611</v>
      </c>
      <c r="AC3343" s="167">
        <v>327</v>
      </c>
      <c r="AD3343" s="203">
        <v>43074</v>
      </c>
      <c r="AE3343" s="203">
        <v>43131</v>
      </c>
      <c r="AF3343" s="167" t="s">
        <v>3470</v>
      </c>
    </row>
    <row r="3344" spans="28:32" x14ac:dyDescent="0.25">
      <c r="AB3344" s="167" t="s">
        <v>2611</v>
      </c>
      <c r="AC3344" s="167">
        <v>327</v>
      </c>
      <c r="AD3344" s="203">
        <v>43074</v>
      </c>
      <c r="AE3344" s="203">
        <v>43131</v>
      </c>
      <c r="AF3344" s="167" t="s">
        <v>3470</v>
      </c>
    </row>
    <row r="3345" spans="28:32" x14ac:dyDescent="0.25">
      <c r="AB3345" s="167" t="s">
        <v>2611</v>
      </c>
      <c r="AC3345" s="167">
        <v>327</v>
      </c>
      <c r="AD3345" s="203">
        <v>43074</v>
      </c>
      <c r="AE3345" s="203">
        <v>43131</v>
      </c>
      <c r="AF3345" s="167" t="s">
        <v>3470</v>
      </c>
    </row>
    <row r="3346" spans="28:32" x14ac:dyDescent="0.25">
      <c r="AB3346" s="167" t="s">
        <v>2611</v>
      </c>
      <c r="AC3346" s="167">
        <v>364</v>
      </c>
      <c r="AD3346" s="203">
        <v>43168</v>
      </c>
      <c r="AE3346" s="203">
        <v>43179</v>
      </c>
      <c r="AF3346" s="167" t="s">
        <v>3470</v>
      </c>
    </row>
    <row r="3347" spans="28:32" x14ac:dyDescent="0.25">
      <c r="AB3347" s="167" t="s">
        <v>2611</v>
      </c>
      <c r="AC3347" s="167">
        <v>353</v>
      </c>
      <c r="AD3347" s="203">
        <v>43180</v>
      </c>
      <c r="AE3347" s="203">
        <v>0</v>
      </c>
      <c r="AF3347" s="167" t="s">
        <v>3469</v>
      </c>
    </row>
    <row r="3348" spans="28:32" x14ac:dyDescent="0.25">
      <c r="AB3348" s="167" t="s">
        <v>2611</v>
      </c>
      <c r="AC3348" s="167">
        <v>353</v>
      </c>
      <c r="AD3348" s="203">
        <v>43180</v>
      </c>
      <c r="AE3348" s="203">
        <v>0</v>
      </c>
      <c r="AF3348" s="167" t="s">
        <v>3469</v>
      </c>
    </row>
    <row r="3349" spans="28:32" x14ac:dyDescent="0.25">
      <c r="AB3349" s="167" t="s">
        <v>2612</v>
      </c>
      <c r="AC3349" s="167">
        <v>357</v>
      </c>
      <c r="AD3349" s="203">
        <v>43139</v>
      </c>
      <c r="AE3349" s="203">
        <v>43164</v>
      </c>
      <c r="AF3349" s="167" t="s">
        <v>3470</v>
      </c>
    </row>
    <row r="3350" spans="28:32" x14ac:dyDescent="0.25">
      <c r="AB3350" s="167" t="s">
        <v>2612</v>
      </c>
      <c r="AC3350" s="167">
        <v>364</v>
      </c>
      <c r="AD3350" s="203">
        <v>43168</v>
      </c>
      <c r="AE3350" s="203">
        <v>43179</v>
      </c>
      <c r="AF3350" s="167" t="s">
        <v>3470</v>
      </c>
    </row>
    <row r="3351" spans="28:32" x14ac:dyDescent="0.25">
      <c r="AB3351" s="167" t="s">
        <v>2612</v>
      </c>
      <c r="AC3351" s="167">
        <v>353</v>
      </c>
      <c r="AD3351" s="203">
        <v>43180</v>
      </c>
      <c r="AE3351" s="203">
        <v>0</v>
      </c>
      <c r="AF3351" s="167" t="s">
        <v>3469</v>
      </c>
    </row>
    <row r="3352" spans="28:32" x14ac:dyDescent="0.25">
      <c r="AB3352" s="167" t="s">
        <v>2612</v>
      </c>
      <c r="AC3352" s="167">
        <v>353</v>
      </c>
      <c r="AD3352" s="203">
        <v>43180</v>
      </c>
      <c r="AE3352" s="203">
        <v>0</v>
      </c>
      <c r="AF3352" s="167" t="s">
        <v>3469</v>
      </c>
    </row>
    <row r="3353" spans="28:32" x14ac:dyDescent="0.25">
      <c r="AB3353" s="167" t="s">
        <v>3428</v>
      </c>
      <c r="AC3353" s="167">
        <v>364</v>
      </c>
      <c r="AD3353" s="203">
        <v>43168</v>
      </c>
      <c r="AE3353" s="203">
        <v>43179</v>
      </c>
      <c r="AF3353" s="167" t="s">
        <v>3470</v>
      </c>
    </row>
    <row r="3354" spans="28:32" x14ac:dyDescent="0.25">
      <c r="AB3354" s="167" t="s">
        <v>3428</v>
      </c>
      <c r="AC3354" s="167">
        <v>353</v>
      </c>
      <c r="AD3354" s="203">
        <v>43180</v>
      </c>
      <c r="AE3354" s="203">
        <v>0</v>
      </c>
      <c r="AF3354" s="167" t="s">
        <v>3469</v>
      </c>
    </row>
    <row r="3355" spans="28:32" x14ac:dyDescent="0.25">
      <c r="AB3355" s="167" t="s">
        <v>2613</v>
      </c>
      <c r="AC3355" s="167">
        <v>347</v>
      </c>
      <c r="AD3355" s="203">
        <v>43118</v>
      </c>
      <c r="AE3355" s="203">
        <v>43133</v>
      </c>
      <c r="AF3355" s="167" t="s">
        <v>3470</v>
      </c>
    </row>
    <row r="3356" spans="28:32" x14ac:dyDescent="0.25">
      <c r="AB3356" s="167" t="s">
        <v>2613</v>
      </c>
      <c r="AC3356" s="167">
        <v>340</v>
      </c>
      <c r="AD3356" s="203">
        <v>43133</v>
      </c>
      <c r="AE3356" s="203">
        <v>43168</v>
      </c>
      <c r="AF3356" s="167" t="s">
        <v>3470</v>
      </c>
    </row>
    <row r="3357" spans="28:32" x14ac:dyDescent="0.25">
      <c r="AB3357" s="167" t="s">
        <v>2613</v>
      </c>
      <c r="AC3357" s="167">
        <v>340</v>
      </c>
      <c r="AD3357" s="203">
        <v>43133</v>
      </c>
      <c r="AE3357" s="203">
        <v>43168</v>
      </c>
      <c r="AF3357" s="167" t="s">
        <v>3470</v>
      </c>
    </row>
    <row r="3358" spans="28:32" x14ac:dyDescent="0.25">
      <c r="AB3358" s="167" t="s">
        <v>2615</v>
      </c>
      <c r="AC3358" s="167">
        <v>347</v>
      </c>
      <c r="AD3358" s="203">
        <v>43118</v>
      </c>
      <c r="AE3358" s="203">
        <v>43133</v>
      </c>
      <c r="AF3358" s="167" t="s">
        <v>3470</v>
      </c>
    </row>
    <row r="3359" spans="28:32" x14ac:dyDescent="0.25">
      <c r="AB3359" s="167" t="s">
        <v>2615</v>
      </c>
      <c r="AC3359" s="167">
        <v>340</v>
      </c>
      <c r="AD3359" s="203">
        <v>43133</v>
      </c>
      <c r="AE3359" s="203">
        <v>43168</v>
      </c>
      <c r="AF3359" s="167" t="s">
        <v>3470</v>
      </c>
    </row>
    <row r="3360" spans="28:32" x14ac:dyDescent="0.25">
      <c r="AB3360" s="167" t="s">
        <v>2615</v>
      </c>
      <c r="AC3360" s="167">
        <v>357</v>
      </c>
      <c r="AD3360" s="203">
        <v>43139</v>
      </c>
      <c r="AE3360" s="203">
        <v>43164</v>
      </c>
      <c r="AF3360" s="167" t="s">
        <v>3470</v>
      </c>
    </row>
    <row r="3361" spans="28:32" x14ac:dyDescent="0.25">
      <c r="AB3361" s="167" t="s">
        <v>2615</v>
      </c>
      <c r="AC3361" s="167">
        <v>353</v>
      </c>
      <c r="AD3361" s="203">
        <v>43180</v>
      </c>
      <c r="AE3361" s="203">
        <v>0</v>
      </c>
      <c r="AF3361" s="167" t="s">
        <v>3469</v>
      </c>
    </row>
    <row r="3362" spans="28:32" x14ac:dyDescent="0.25">
      <c r="AB3362" s="167" t="s">
        <v>2617</v>
      </c>
      <c r="AC3362" s="167">
        <v>347</v>
      </c>
      <c r="AD3362" s="203">
        <v>43118</v>
      </c>
      <c r="AE3362" s="203">
        <v>43133</v>
      </c>
      <c r="AF3362" s="167" t="s">
        <v>3470</v>
      </c>
    </row>
    <row r="3363" spans="28:32" x14ac:dyDescent="0.25">
      <c r="AB3363" s="167" t="s">
        <v>2617</v>
      </c>
      <c r="AC3363" s="167">
        <v>340</v>
      </c>
      <c r="AD3363" s="203">
        <v>43133</v>
      </c>
      <c r="AE3363" s="203">
        <v>43168</v>
      </c>
      <c r="AF3363" s="167" t="s">
        <v>3470</v>
      </c>
    </row>
    <row r="3364" spans="28:32" x14ac:dyDescent="0.25">
      <c r="AB3364" s="167" t="s">
        <v>2617</v>
      </c>
      <c r="AC3364" s="167">
        <v>357</v>
      </c>
      <c r="AD3364" s="203">
        <v>43139</v>
      </c>
      <c r="AE3364" s="203">
        <v>43164</v>
      </c>
      <c r="AF3364" s="167" t="s">
        <v>3470</v>
      </c>
    </row>
    <row r="3365" spans="28:32" x14ac:dyDescent="0.25">
      <c r="AB3365" s="167" t="s">
        <v>2617</v>
      </c>
      <c r="AC3365" s="167">
        <v>364</v>
      </c>
      <c r="AD3365" s="203">
        <v>43168</v>
      </c>
      <c r="AE3365" s="203">
        <v>43179</v>
      </c>
      <c r="AF3365" s="167" t="s">
        <v>3470</v>
      </c>
    </row>
    <row r="3366" spans="28:32" x14ac:dyDescent="0.25">
      <c r="AB3366" s="167" t="s">
        <v>2617</v>
      </c>
      <c r="AC3366" s="167">
        <v>353</v>
      </c>
      <c r="AD3366" s="203">
        <v>43180</v>
      </c>
      <c r="AE3366" s="203">
        <v>0</v>
      </c>
      <c r="AF3366" s="167" t="s">
        <v>3469</v>
      </c>
    </row>
    <row r="3367" spans="28:32" x14ac:dyDescent="0.25">
      <c r="AB3367" s="167" t="s">
        <v>2617</v>
      </c>
      <c r="AC3367" s="167">
        <v>353</v>
      </c>
      <c r="AD3367" s="203">
        <v>43180</v>
      </c>
      <c r="AE3367" s="203">
        <v>0</v>
      </c>
      <c r="AF3367" s="167" t="s">
        <v>3469</v>
      </c>
    </row>
    <row r="3368" spans="28:32" x14ac:dyDescent="0.25">
      <c r="AB3368" s="167" t="s">
        <v>2617</v>
      </c>
      <c r="AC3368" s="167">
        <v>353</v>
      </c>
      <c r="AD3368" s="203">
        <v>43180</v>
      </c>
      <c r="AE3368" s="203">
        <v>0</v>
      </c>
      <c r="AF3368" s="167" t="s">
        <v>3469</v>
      </c>
    </row>
    <row r="3369" spans="28:32" x14ac:dyDescent="0.25">
      <c r="AB3369" s="167" t="s">
        <v>2617</v>
      </c>
      <c r="AC3369" s="167">
        <v>353</v>
      </c>
      <c r="AD3369" s="203">
        <v>43180</v>
      </c>
      <c r="AE3369" s="203">
        <v>0</v>
      </c>
      <c r="AF3369" s="167" t="s">
        <v>3469</v>
      </c>
    </row>
    <row r="3370" spans="28:32" x14ac:dyDescent="0.25">
      <c r="AB3370" s="167" t="s">
        <v>2619</v>
      </c>
      <c r="AC3370" s="167">
        <v>323</v>
      </c>
      <c r="AD3370" s="203">
        <v>43074</v>
      </c>
      <c r="AE3370" s="203">
        <v>43111</v>
      </c>
      <c r="AF3370" s="167" t="s">
        <v>3470</v>
      </c>
    </row>
    <row r="3371" spans="28:32" x14ac:dyDescent="0.25">
      <c r="AB3371" s="167" t="s">
        <v>2619</v>
      </c>
      <c r="AC3371" s="167">
        <v>327</v>
      </c>
      <c r="AD3371" s="203">
        <v>43074</v>
      </c>
      <c r="AE3371" s="203">
        <v>43131</v>
      </c>
      <c r="AF3371" s="167" t="s">
        <v>3470</v>
      </c>
    </row>
    <row r="3372" spans="28:32" x14ac:dyDescent="0.25">
      <c r="AB3372" s="167" t="s">
        <v>2619</v>
      </c>
      <c r="AC3372" s="167">
        <v>347</v>
      </c>
      <c r="AD3372" s="203">
        <v>43118</v>
      </c>
      <c r="AE3372" s="203">
        <v>43133</v>
      </c>
      <c r="AF3372" s="167" t="s">
        <v>3470</v>
      </c>
    </row>
    <row r="3373" spans="28:32" x14ac:dyDescent="0.25">
      <c r="AB3373" s="167" t="s">
        <v>2619</v>
      </c>
      <c r="AC3373" s="167">
        <v>340</v>
      </c>
      <c r="AD3373" s="203">
        <v>43133</v>
      </c>
      <c r="AE3373" s="203">
        <v>43168</v>
      </c>
      <c r="AF3373" s="167" t="s">
        <v>3470</v>
      </c>
    </row>
    <row r="3374" spans="28:32" x14ac:dyDescent="0.25">
      <c r="AB3374" s="167" t="s">
        <v>2619</v>
      </c>
      <c r="AC3374" s="167">
        <v>340</v>
      </c>
      <c r="AD3374" s="203">
        <v>43133</v>
      </c>
      <c r="AE3374" s="203">
        <v>43168</v>
      </c>
      <c r="AF3374" s="167" t="s">
        <v>3470</v>
      </c>
    </row>
    <row r="3375" spans="28:32" x14ac:dyDescent="0.25">
      <c r="AB3375" s="167" t="s">
        <v>2619</v>
      </c>
      <c r="AC3375" s="167">
        <v>364</v>
      </c>
      <c r="AD3375" s="203">
        <v>43168</v>
      </c>
      <c r="AE3375" s="203">
        <v>43179</v>
      </c>
      <c r="AF3375" s="167" t="s">
        <v>3470</v>
      </c>
    </row>
    <row r="3376" spans="28:32" x14ac:dyDescent="0.25">
      <c r="AB3376" s="167" t="s">
        <v>2619</v>
      </c>
      <c r="AC3376" s="167">
        <v>353</v>
      </c>
      <c r="AD3376" s="203">
        <v>43180</v>
      </c>
      <c r="AE3376" s="203">
        <v>0</v>
      </c>
      <c r="AF3376" s="167" t="s">
        <v>3469</v>
      </c>
    </row>
    <row r="3377" spans="28:32" x14ac:dyDescent="0.25">
      <c r="AB3377" s="167" t="s">
        <v>2619</v>
      </c>
      <c r="AC3377" s="167">
        <v>353</v>
      </c>
      <c r="AD3377" s="203">
        <v>43180</v>
      </c>
      <c r="AE3377" s="203">
        <v>0</v>
      </c>
      <c r="AF3377" s="167" t="s">
        <v>3469</v>
      </c>
    </row>
    <row r="3378" spans="28:32" x14ac:dyDescent="0.25">
      <c r="AB3378" s="167" t="s">
        <v>2619</v>
      </c>
      <c r="AC3378" s="167">
        <v>353</v>
      </c>
      <c r="AD3378" s="203">
        <v>43180</v>
      </c>
      <c r="AE3378" s="203">
        <v>0</v>
      </c>
      <c r="AF3378" s="167" t="s">
        <v>3469</v>
      </c>
    </row>
    <row r="3379" spans="28:32" x14ac:dyDescent="0.25">
      <c r="AB3379" s="167" t="s">
        <v>2620</v>
      </c>
      <c r="AC3379" s="167">
        <v>340</v>
      </c>
      <c r="AD3379" s="203">
        <v>43133</v>
      </c>
      <c r="AE3379" s="203">
        <v>43168</v>
      </c>
      <c r="AF3379" s="167" t="s">
        <v>3470</v>
      </c>
    </row>
    <row r="3380" spans="28:32" x14ac:dyDescent="0.25">
      <c r="AB3380" s="167" t="s">
        <v>2622</v>
      </c>
      <c r="AC3380" s="167">
        <v>323</v>
      </c>
      <c r="AD3380" s="203">
        <v>43074</v>
      </c>
      <c r="AE3380" s="203">
        <v>43111</v>
      </c>
      <c r="AF3380" s="167" t="s">
        <v>3470</v>
      </c>
    </row>
    <row r="3381" spans="28:32" x14ac:dyDescent="0.25">
      <c r="AB3381" s="167" t="s">
        <v>2622</v>
      </c>
      <c r="AC3381" s="167">
        <v>327</v>
      </c>
      <c r="AD3381" s="203">
        <v>43074</v>
      </c>
      <c r="AE3381" s="203">
        <v>43131</v>
      </c>
      <c r="AF3381" s="167" t="s">
        <v>3470</v>
      </c>
    </row>
    <row r="3382" spans="28:32" x14ac:dyDescent="0.25">
      <c r="AB3382" s="167" t="s">
        <v>2622</v>
      </c>
      <c r="AC3382" s="167">
        <v>327</v>
      </c>
      <c r="AD3382" s="203">
        <v>43074</v>
      </c>
      <c r="AE3382" s="203">
        <v>43131</v>
      </c>
      <c r="AF3382" s="167" t="s">
        <v>3470</v>
      </c>
    </row>
    <row r="3383" spans="28:32" x14ac:dyDescent="0.25">
      <c r="AB3383" s="167" t="s">
        <v>2622</v>
      </c>
      <c r="AC3383" s="167">
        <v>335</v>
      </c>
      <c r="AD3383" s="203">
        <v>43133</v>
      </c>
      <c r="AE3383" s="203">
        <v>43147</v>
      </c>
      <c r="AF3383" s="167" t="s">
        <v>3470</v>
      </c>
    </row>
    <row r="3384" spans="28:32" x14ac:dyDescent="0.25">
      <c r="AB3384" s="167" t="s">
        <v>2622</v>
      </c>
      <c r="AC3384" s="167">
        <v>340</v>
      </c>
      <c r="AD3384" s="203">
        <v>43133</v>
      </c>
      <c r="AE3384" s="203">
        <v>43168</v>
      </c>
      <c r="AF3384" s="167" t="s">
        <v>3470</v>
      </c>
    </row>
    <row r="3385" spans="28:32" x14ac:dyDescent="0.25">
      <c r="AB3385" s="167" t="s">
        <v>2622</v>
      </c>
      <c r="AC3385" s="167">
        <v>353</v>
      </c>
      <c r="AD3385" s="203">
        <v>43180</v>
      </c>
      <c r="AE3385" s="203">
        <v>0</v>
      </c>
      <c r="AF3385" s="167" t="s">
        <v>3469</v>
      </c>
    </row>
    <row r="3386" spans="28:32" x14ac:dyDescent="0.25">
      <c r="AB3386" s="167" t="s">
        <v>2622</v>
      </c>
      <c r="AC3386" s="167">
        <v>353</v>
      </c>
      <c r="AD3386" s="203">
        <v>43180</v>
      </c>
      <c r="AE3386" s="203">
        <v>0</v>
      </c>
      <c r="AF3386" s="167" t="s">
        <v>3469</v>
      </c>
    </row>
    <row r="3387" spans="28:32" x14ac:dyDescent="0.25">
      <c r="AB3387" s="167" t="s">
        <v>2622</v>
      </c>
      <c r="AC3387" s="167">
        <v>353</v>
      </c>
      <c r="AD3387" s="203">
        <v>43180</v>
      </c>
      <c r="AE3387" s="203">
        <v>0</v>
      </c>
      <c r="AF3387" s="167" t="s">
        <v>3469</v>
      </c>
    </row>
    <row r="3388" spans="28:32" x14ac:dyDescent="0.25">
      <c r="AB3388" s="167" t="s">
        <v>2622</v>
      </c>
      <c r="AC3388" s="167">
        <v>353</v>
      </c>
      <c r="AD3388" s="203">
        <v>43180</v>
      </c>
      <c r="AE3388" s="203">
        <v>0</v>
      </c>
      <c r="AF3388" s="167" t="s">
        <v>3469</v>
      </c>
    </row>
    <row r="3389" spans="28:32" x14ac:dyDescent="0.25">
      <c r="AB3389" s="167" t="s">
        <v>2622</v>
      </c>
      <c r="AC3389" s="167">
        <v>353</v>
      </c>
      <c r="AD3389" s="203">
        <v>43180</v>
      </c>
      <c r="AE3389" s="203">
        <v>0</v>
      </c>
      <c r="AF3389" s="167" t="s">
        <v>3469</v>
      </c>
    </row>
    <row r="3390" spans="28:32" x14ac:dyDescent="0.25">
      <c r="AB3390" s="167" t="s">
        <v>2622</v>
      </c>
      <c r="AC3390" s="167">
        <v>353</v>
      </c>
      <c r="AD3390" s="203">
        <v>43180</v>
      </c>
      <c r="AE3390" s="203">
        <v>0</v>
      </c>
      <c r="AF3390" s="167" t="s">
        <v>3469</v>
      </c>
    </row>
    <row r="3391" spans="28:32" x14ac:dyDescent="0.25">
      <c r="AB3391" s="167" t="s">
        <v>2622</v>
      </c>
      <c r="AC3391" s="167">
        <v>353</v>
      </c>
      <c r="AD3391" s="203">
        <v>43180</v>
      </c>
      <c r="AE3391" s="203">
        <v>0</v>
      </c>
      <c r="AF3391" s="167" t="s">
        <v>3469</v>
      </c>
    </row>
    <row r="3392" spans="28:32" x14ac:dyDescent="0.25">
      <c r="AB3392" s="167" t="s">
        <v>2624</v>
      </c>
      <c r="AC3392" s="167">
        <v>323</v>
      </c>
      <c r="AD3392" s="203">
        <v>43074</v>
      </c>
      <c r="AE3392" s="203">
        <v>43111</v>
      </c>
      <c r="AF3392" s="167" t="s">
        <v>3470</v>
      </c>
    </row>
    <row r="3393" spans="28:32" x14ac:dyDescent="0.25">
      <c r="AB3393" s="167" t="s">
        <v>2624</v>
      </c>
      <c r="AC3393" s="167">
        <v>347</v>
      </c>
      <c r="AD3393" s="203">
        <v>43118</v>
      </c>
      <c r="AE3393" s="203">
        <v>43133</v>
      </c>
      <c r="AF3393" s="167" t="s">
        <v>3470</v>
      </c>
    </row>
    <row r="3394" spans="28:32" x14ac:dyDescent="0.25">
      <c r="AB3394" s="167" t="s">
        <v>2624</v>
      </c>
      <c r="AC3394" s="167">
        <v>340</v>
      </c>
      <c r="AD3394" s="203">
        <v>43133</v>
      </c>
      <c r="AE3394" s="203">
        <v>43168</v>
      </c>
      <c r="AF3394" s="167" t="s">
        <v>3470</v>
      </c>
    </row>
    <row r="3395" spans="28:32" x14ac:dyDescent="0.25">
      <c r="AB3395" s="167" t="s">
        <v>2624</v>
      </c>
      <c r="AC3395" s="167">
        <v>353</v>
      </c>
      <c r="AD3395" s="203">
        <v>43180</v>
      </c>
      <c r="AE3395" s="203">
        <v>0</v>
      </c>
      <c r="AF3395" s="167" t="s">
        <v>3469</v>
      </c>
    </row>
    <row r="3396" spans="28:32" x14ac:dyDescent="0.25">
      <c r="AB3396" s="167" t="s">
        <v>2626</v>
      </c>
      <c r="AC3396" s="167">
        <v>347</v>
      </c>
      <c r="AD3396" s="203">
        <v>43118</v>
      </c>
      <c r="AE3396" s="203">
        <v>43133</v>
      </c>
      <c r="AF3396" s="167" t="s">
        <v>3470</v>
      </c>
    </row>
    <row r="3397" spans="28:32" x14ac:dyDescent="0.25">
      <c r="AB3397" s="167" t="s">
        <v>2626</v>
      </c>
      <c r="AC3397" s="167">
        <v>340</v>
      </c>
      <c r="AD3397" s="203">
        <v>43133</v>
      </c>
      <c r="AE3397" s="203">
        <v>43168</v>
      </c>
      <c r="AF3397" s="167" t="s">
        <v>3470</v>
      </c>
    </row>
    <row r="3398" spans="28:32" x14ac:dyDescent="0.25">
      <c r="AB3398" s="167" t="s">
        <v>2626</v>
      </c>
      <c r="AC3398" s="167">
        <v>340</v>
      </c>
      <c r="AD3398" s="203">
        <v>43133</v>
      </c>
      <c r="AE3398" s="203">
        <v>43168</v>
      </c>
      <c r="AF3398" s="167" t="s">
        <v>3470</v>
      </c>
    </row>
    <row r="3399" spans="28:32" x14ac:dyDescent="0.25">
      <c r="AB3399" s="167" t="s">
        <v>2626</v>
      </c>
      <c r="AC3399" s="167">
        <v>357</v>
      </c>
      <c r="AD3399" s="203">
        <v>43139</v>
      </c>
      <c r="AE3399" s="203">
        <v>43164</v>
      </c>
      <c r="AF3399" s="167" t="s">
        <v>3470</v>
      </c>
    </row>
    <row r="3400" spans="28:32" x14ac:dyDescent="0.25">
      <c r="AB3400" s="167" t="s">
        <v>2626</v>
      </c>
      <c r="AC3400" s="167">
        <v>353</v>
      </c>
      <c r="AD3400" s="203">
        <v>43180</v>
      </c>
      <c r="AE3400" s="203">
        <v>0</v>
      </c>
      <c r="AF3400" s="167" t="s">
        <v>3469</v>
      </c>
    </row>
    <row r="3401" spans="28:32" x14ac:dyDescent="0.25">
      <c r="AB3401" s="167" t="s">
        <v>2626</v>
      </c>
      <c r="AC3401" s="167">
        <v>353</v>
      </c>
      <c r="AD3401" s="203">
        <v>43180</v>
      </c>
      <c r="AE3401" s="203">
        <v>0</v>
      </c>
      <c r="AF3401" s="167" t="s">
        <v>3469</v>
      </c>
    </row>
    <row r="3402" spans="28:32" x14ac:dyDescent="0.25">
      <c r="AB3402" s="167" t="s">
        <v>2627</v>
      </c>
      <c r="AC3402" s="167">
        <v>347</v>
      </c>
      <c r="AD3402" s="203">
        <v>43118</v>
      </c>
      <c r="AE3402" s="203">
        <v>43133</v>
      </c>
      <c r="AF3402" s="167" t="s">
        <v>3470</v>
      </c>
    </row>
    <row r="3403" spans="28:32" x14ac:dyDescent="0.25">
      <c r="AB3403" s="167" t="s">
        <v>2627</v>
      </c>
      <c r="AC3403" s="167">
        <v>340</v>
      </c>
      <c r="AD3403" s="203">
        <v>43133</v>
      </c>
      <c r="AE3403" s="203">
        <v>43168</v>
      </c>
      <c r="AF3403" s="167" t="s">
        <v>3470</v>
      </c>
    </row>
    <row r="3404" spans="28:32" x14ac:dyDescent="0.25">
      <c r="AB3404" s="167" t="s">
        <v>3502</v>
      </c>
      <c r="AC3404" s="167">
        <v>323</v>
      </c>
      <c r="AD3404" s="203">
        <v>43074</v>
      </c>
      <c r="AE3404" s="203">
        <v>43111</v>
      </c>
      <c r="AF3404" s="167" t="s">
        <v>3470</v>
      </c>
    </row>
    <row r="3405" spans="28:32" x14ac:dyDescent="0.25">
      <c r="AB3405" s="167" t="s">
        <v>3502</v>
      </c>
      <c r="AC3405" s="167">
        <v>347</v>
      </c>
      <c r="AD3405" s="203">
        <v>43118</v>
      </c>
      <c r="AE3405" s="203">
        <v>43133</v>
      </c>
      <c r="AF3405" s="167" t="s">
        <v>3470</v>
      </c>
    </row>
    <row r="3406" spans="28:32" x14ac:dyDescent="0.25">
      <c r="AB3406" s="167" t="s">
        <v>2629</v>
      </c>
      <c r="AC3406" s="167">
        <v>357</v>
      </c>
      <c r="AD3406" s="203">
        <v>43139</v>
      </c>
      <c r="AE3406" s="203">
        <v>43164</v>
      </c>
      <c r="AF3406" s="167" t="s">
        <v>3470</v>
      </c>
    </row>
    <row r="3407" spans="28:32" x14ac:dyDescent="0.25">
      <c r="AB3407" s="167" t="s">
        <v>2629</v>
      </c>
      <c r="AC3407" s="167">
        <v>353</v>
      </c>
      <c r="AD3407" s="203">
        <v>43180</v>
      </c>
      <c r="AE3407" s="203">
        <v>0</v>
      </c>
      <c r="AF3407" s="167" t="s">
        <v>3469</v>
      </c>
    </row>
    <row r="3408" spans="28:32" x14ac:dyDescent="0.25">
      <c r="AB3408" s="167" t="s">
        <v>3429</v>
      </c>
      <c r="AC3408" s="167">
        <v>357</v>
      </c>
      <c r="AD3408" s="203">
        <v>43139</v>
      </c>
      <c r="AE3408" s="203">
        <v>43164</v>
      </c>
      <c r="AF3408" s="167" t="s">
        <v>3470</v>
      </c>
    </row>
    <row r="3409" spans="28:32" x14ac:dyDescent="0.25">
      <c r="AB3409" s="167" t="s">
        <v>3429</v>
      </c>
      <c r="AC3409" s="167">
        <v>364</v>
      </c>
      <c r="AD3409" s="203">
        <v>43168</v>
      </c>
      <c r="AE3409" s="203">
        <v>43179</v>
      </c>
      <c r="AF3409" s="167" t="s">
        <v>3470</v>
      </c>
    </row>
    <row r="3410" spans="28:32" x14ac:dyDescent="0.25">
      <c r="AB3410" s="167" t="s">
        <v>3429</v>
      </c>
      <c r="AC3410" s="167">
        <v>353</v>
      </c>
      <c r="AD3410" s="203">
        <v>43180</v>
      </c>
      <c r="AE3410" s="203">
        <v>0</v>
      </c>
      <c r="AF3410" s="167" t="s">
        <v>3469</v>
      </c>
    </row>
    <row r="3411" spans="28:32" x14ac:dyDescent="0.25">
      <c r="AB3411" s="167" t="s">
        <v>3429</v>
      </c>
      <c r="AC3411" s="167">
        <v>353</v>
      </c>
      <c r="AD3411" s="203">
        <v>43180</v>
      </c>
      <c r="AE3411" s="203">
        <v>0</v>
      </c>
      <c r="AF3411" s="167" t="s">
        <v>3469</v>
      </c>
    </row>
    <row r="3412" spans="28:32" x14ac:dyDescent="0.25">
      <c r="AB3412" s="167" t="s">
        <v>2630</v>
      </c>
      <c r="AC3412" s="167">
        <v>340</v>
      </c>
      <c r="AD3412" s="203">
        <v>43133</v>
      </c>
      <c r="AE3412" s="203">
        <v>43168</v>
      </c>
      <c r="AF3412" s="167" t="s">
        <v>3470</v>
      </c>
    </row>
    <row r="3413" spans="28:32" x14ac:dyDescent="0.25">
      <c r="AB3413" s="167" t="s">
        <v>2632</v>
      </c>
      <c r="AC3413" s="167">
        <v>364</v>
      </c>
      <c r="AD3413" s="203">
        <v>43168</v>
      </c>
      <c r="AE3413" s="203">
        <v>43179</v>
      </c>
      <c r="AF3413" s="167" t="s">
        <v>3470</v>
      </c>
    </row>
    <row r="3414" spans="28:32" x14ac:dyDescent="0.25">
      <c r="AB3414" s="167" t="s">
        <v>2632</v>
      </c>
      <c r="AC3414" s="167">
        <v>353</v>
      </c>
      <c r="AD3414" s="203">
        <v>43180</v>
      </c>
      <c r="AE3414" s="203">
        <v>0</v>
      </c>
      <c r="AF3414" s="167" t="s">
        <v>3469</v>
      </c>
    </row>
    <row r="3415" spans="28:32" x14ac:dyDescent="0.25">
      <c r="AB3415" s="167" t="s">
        <v>2634</v>
      </c>
      <c r="AC3415" s="167">
        <v>353</v>
      </c>
      <c r="AD3415" s="203">
        <v>43180</v>
      </c>
      <c r="AE3415" s="203">
        <v>0</v>
      </c>
      <c r="AF3415" s="167" t="s">
        <v>3469</v>
      </c>
    </row>
    <row r="3416" spans="28:32" x14ac:dyDescent="0.25">
      <c r="AB3416" s="167" t="s">
        <v>2636</v>
      </c>
      <c r="AC3416" s="167">
        <v>323</v>
      </c>
      <c r="AD3416" s="203">
        <v>43074</v>
      </c>
      <c r="AE3416" s="203">
        <v>43111</v>
      </c>
      <c r="AF3416" s="167" t="s">
        <v>3470</v>
      </c>
    </row>
    <row r="3417" spans="28:32" x14ac:dyDescent="0.25">
      <c r="AB3417" s="167" t="s">
        <v>2636</v>
      </c>
      <c r="AC3417" s="167">
        <v>347</v>
      </c>
      <c r="AD3417" s="203">
        <v>43118</v>
      </c>
      <c r="AE3417" s="203">
        <v>43133</v>
      </c>
      <c r="AF3417" s="167" t="s">
        <v>3470</v>
      </c>
    </row>
    <row r="3418" spans="28:32" x14ac:dyDescent="0.25">
      <c r="AB3418" s="167" t="s">
        <v>2636</v>
      </c>
      <c r="AC3418" s="167">
        <v>340</v>
      </c>
      <c r="AD3418" s="203">
        <v>43133</v>
      </c>
      <c r="AE3418" s="203">
        <v>43168</v>
      </c>
      <c r="AF3418" s="167" t="s">
        <v>3470</v>
      </c>
    </row>
    <row r="3419" spans="28:32" x14ac:dyDescent="0.25">
      <c r="AB3419" s="167" t="s">
        <v>2636</v>
      </c>
      <c r="AC3419" s="167">
        <v>364</v>
      </c>
      <c r="AD3419" s="203">
        <v>43168</v>
      </c>
      <c r="AE3419" s="203">
        <v>43179</v>
      </c>
      <c r="AF3419" s="167" t="s">
        <v>3470</v>
      </c>
    </row>
    <row r="3420" spans="28:32" x14ac:dyDescent="0.25">
      <c r="AB3420" s="167" t="s">
        <v>2636</v>
      </c>
      <c r="AC3420" s="167">
        <v>353</v>
      </c>
      <c r="AD3420" s="203">
        <v>43180</v>
      </c>
      <c r="AE3420" s="203">
        <v>0</v>
      </c>
      <c r="AF3420" s="167" t="s">
        <v>3469</v>
      </c>
    </row>
    <row r="3421" spans="28:32" x14ac:dyDescent="0.25">
      <c r="AB3421" s="167" t="s">
        <v>2636</v>
      </c>
      <c r="AC3421" s="167">
        <v>353</v>
      </c>
      <c r="AD3421" s="203">
        <v>43180</v>
      </c>
      <c r="AE3421" s="203">
        <v>0</v>
      </c>
      <c r="AF3421" s="167" t="s">
        <v>3469</v>
      </c>
    </row>
    <row r="3422" spans="28:32" x14ac:dyDescent="0.25">
      <c r="AB3422" s="167" t="s">
        <v>2638</v>
      </c>
      <c r="AC3422" s="167">
        <v>347</v>
      </c>
      <c r="AD3422" s="203">
        <v>43118</v>
      </c>
      <c r="AE3422" s="203">
        <v>43133</v>
      </c>
      <c r="AF3422" s="167" t="s">
        <v>3470</v>
      </c>
    </row>
    <row r="3423" spans="28:32" x14ac:dyDescent="0.25">
      <c r="AB3423" s="167" t="s">
        <v>2638</v>
      </c>
      <c r="AC3423" s="167">
        <v>340</v>
      </c>
      <c r="AD3423" s="203">
        <v>43133</v>
      </c>
      <c r="AE3423" s="203">
        <v>43168</v>
      </c>
      <c r="AF3423" s="167" t="s">
        <v>3470</v>
      </c>
    </row>
    <row r="3424" spans="28:32" x14ac:dyDescent="0.25">
      <c r="AB3424" s="167" t="s">
        <v>2638</v>
      </c>
      <c r="AC3424" s="167">
        <v>340</v>
      </c>
      <c r="AD3424" s="203">
        <v>43133</v>
      </c>
      <c r="AE3424" s="203">
        <v>43168</v>
      </c>
      <c r="AF3424" s="167" t="s">
        <v>3470</v>
      </c>
    </row>
    <row r="3425" spans="28:32" x14ac:dyDescent="0.25">
      <c r="AB3425" s="167" t="s">
        <v>2638</v>
      </c>
      <c r="AC3425" s="167">
        <v>340</v>
      </c>
      <c r="AD3425" s="203">
        <v>43133</v>
      </c>
      <c r="AE3425" s="203">
        <v>43168</v>
      </c>
      <c r="AF3425" s="167" t="s">
        <v>3470</v>
      </c>
    </row>
    <row r="3426" spans="28:32" x14ac:dyDescent="0.25">
      <c r="AB3426" s="167" t="s">
        <v>2638</v>
      </c>
      <c r="AC3426" s="167">
        <v>357</v>
      </c>
      <c r="AD3426" s="203">
        <v>43139</v>
      </c>
      <c r="AE3426" s="203">
        <v>43164</v>
      </c>
      <c r="AF3426" s="167" t="s">
        <v>3470</v>
      </c>
    </row>
    <row r="3427" spans="28:32" x14ac:dyDescent="0.25">
      <c r="AB3427" s="167" t="s">
        <v>2638</v>
      </c>
      <c r="AC3427" s="167">
        <v>353</v>
      </c>
      <c r="AD3427" s="203">
        <v>43180</v>
      </c>
      <c r="AE3427" s="203">
        <v>0</v>
      </c>
      <c r="AF3427" s="167" t="s">
        <v>3469</v>
      </c>
    </row>
    <row r="3428" spans="28:32" x14ac:dyDescent="0.25">
      <c r="AB3428" s="167" t="s">
        <v>2638</v>
      </c>
      <c r="AC3428" s="167">
        <v>353</v>
      </c>
      <c r="AD3428" s="203">
        <v>43180</v>
      </c>
      <c r="AE3428" s="203">
        <v>0</v>
      </c>
      <c r="AF3428" s="167" t="s">
        <v>3469</v>
      </c>
    </row>
    <row r="3429" spans="28:32" x14ac:dyDescent="0.25">
      <c r="AB3429" s="167" t="s">
        <v>2638</v>
      </c>
      <c r="AC3429" s="167">
        <v>353</v>
      </c>
      <c r="AD3429" s="203">
        <v>43180</v>
      </c>
      <c r="AE3429" s="203">
        <v>0</v>
      </c>
      <c r="AF3429" s="167" t="s">
        <v>3469</v>
      </c>
    </row>
    <row r="3430" spans="28:32" x14ac:dyDescent="0.25">
      <c r="AB3430" s="167" t="s">
        <v>2638</v>
      </c>
      <c r="AC3430" s="167">
        <v>353</v>
      </c>
      <c r="AD3430" s="203">
        <v>43180</v>
      </c>
      <c r="AE3430" s="203">
        <v>0</v>
      </c>
      <c r="AF3430" s="167" t="s">
        <v>3469</v>
      </c>
    </row>
    <row r="3431" spans="28:32" x14ac:dyDescent="0.25">
      <c r="AB3431" s="167" t="s">
        <v>2640</v>
      </c>
      <c r="AC3431" s="167">
        <v>323</v>
      </c>
      <c r="AD3431" s="203">
        <v>43074</v>
      </c>
      <c r="AE3431" s="203">
        <v>43111</v>
      </c>
      <c r="AF3431" s="167" t="s">
        <v>3470</v>
      </c>
    </row>
    <row r="3432" spans="28:32" x14ac:dyDescent="0.25">
      <c r="AB3432" s="167" t="s">
        <v>2640</v>
      </c>
      <c r="AC3432" s="167">
        <v>340</v>
      </c>
      <c r="AD3432" s="203">
        <v>43133</v>
      </c>
      <c r="AE3432" s="203">
        <v>43168</v>
      </c>
      <c r="AF3432" s="167" t="s">
        <v>3470</v>
      </c>
    </row>
    <row r="3433" spans="28:32" x14ac:dyDescent="0.25">
      <c r="AB3433" s="167" t="s">
        <v>2640</v>
      </c>
      <c r="AC3433" s="167">
        <v>357</v>
      </c>
      <c r="AD3433" s="203">
        <v>43139</v>
      </c>
      <c r="AE3433" s="203">
        <v>43164</v>
      </c>
      <c r="AF3433" s="167" t="s">
        <v>3470</v>
      </c>
    </row>
    <row r="3434" spans="28:32" x14ac:dyDescent="0.25">
      <c r="AB3434" s="167" t="s">
        <v>2640</v>
      </c>
      <c r="AC3434" s="167">
        <v>364</v>
      </c>
      <c r="AD3434" s="203">
        <v>43168</v>
      </c>
      <c r="AE3434" s="203">
        <v>43179</v>
      </c>
      <c r="AF3434" s="167" t="s">
        <v>3470</v>
      </c>
    </row>
    <row r="3435" spans="28:32" x14ac:dyDescent="0.25">
      <c r="AB3435" s="167" t="s">
        <v>2640</v>
      </c>
      <c r="AC3435" s="167">
        <v>353</v>
      </c>
      <c r="AD3435" s="203">
        <v>43180</v>
      </c>
      <c r="AE3435" s="203">
        <v>0</v>
      </c>
      <c r="AF3435" s="167" t="s">
        <v>3469</v>
      </c>
    </row>
    <row r="3436" spans="28:32" x14ac:dyDescent="0.25">
      <c r="AB3436" s="167" t="s">
        <v>2640</v>
      </c>
      <c r="AC3436" s="167">
        <v>353</v>
      </c>
      <c r="AD3436" s="203">
        <v>43180</v>
      </c>
      <c r="AE3436" s="203">
        <v>0</v>
      </c>
      <c r="AF3436" s="167" t="s">
        <v>3469</v>
      </c>
    </row>
    <row r="3437" spans="28:32" x14ac:dyDescent="0.25">
      <c r="AB3437" s="167" t="s">
        <v>2640</v>
      </c>
      <c r="AC3437" s="167">
        <v>353</v>
      </c>
      <c r="AD3437" s="203">
        <v>43180</v>
      </c>
      <c r="AE3437" s="203">
        <v>0</v>
      </c>
      <c r="AF3437" s="167" t="s">
        <v>3469</v>
      </c>
    </row>
    <row r="3438" spans="28:32" x14ac:dyDescent="0.25">
      <c r="AB3438" s="167" t="s">
        <v>2641</v>
      </c>
      <c r="AC3438" s="167">
        <v>323</v>
      </c>
      <c r="AD3438" s="203">
        <v>43074</v>
      </c>
      <c r="AE3438" s="203">
        <v>43111</v>
      </c>
      <c r="AF3438" s="167" t="s">
        <v>3470</v>
      </c>
    </row>
    <row r="3439" spans="28:32" x14ac:dyDescent="0.25">
      <c r="AB3439" s="167" t="s">
        <v>2641</v>
      </c>
      <c r="AC3439" s="167">
        <v>340</v>
      </c>
      <c r="AD3439" s="203">
        <v>43133</v>
      </c>
      <c r="AE3439" s="203">
        <v>43168</v>
      </c>
      <c r="AF3439" s="167" t="s">
        <v>3470</v>
      </c>
    </row>
    <row r="3440" spans="28:32" x14ac:dyDescent="0.25">
      <c r="AB3440" s="167" t="s">
        <v>2642</v>
      </c>
      <c r="AC3440" s="167">
        <v>340</v>
      </c>
      <c r="AD3440" s="203">
        <v>43133</v>
      </c>
      <c r="AE3440" s="203">
        <v>43168</v>
      </c>
      <c r="AF3440" s="167" t="s">
        <v>3470</v>
      </c>
    </row>
    <row r="3441" spans="28:32" x14ac:dyDescent="0.25">
      <c r="AB3441" s="167" t="s">
        <v>3459</v>
      </c>
      <c r="AC3441" s="167">
        <v>327</v>
      </c>
      <c r="AD3441" s="203">
        <v>43074</v>
      </c>
      <c r="AE3441" s="203">
        <v>43131</v>
      </c>
      <c r="AF3441" s="167" t="s">
        <v>3470</v>
      </c>
    </row>
    <row r="3442" spans="28:32" x14ac:dyDescent="0.25">
      <c r="AB3442" s="167" t="s">
        <v>3459</v>
      </c>
      <c r="AC3442" s="167">
        <v>364</v>
      </c>
      <c r="AD3442" s="203">
        <v>43168</v>
      </c>
      <c r="AE3442" s="203">
        <v>43179</v>
      </c>
      <c r="AF3442" s="167" t="s">
        <v>3470</v>
      </c>
    </row>
    <row r="3443" spans="28:32" x14ac:dyDescent="0.25">
      <c r="AB3443" s="167" t="s">
        <v>3459</v>
      </c>
      <c r="AC3443" s="167">
        <v>374</v>
      </c>
      <c r="AD3443" s="203">
        <v>43195</v>
      </c>
      <c r="AE3443" s="203">
        <v>0</v>
      </c>
      <c r="AF3443" s="167" t="s">
        <v>3469</v>
      </c>
    </row>
    <row r="3444" spans="28:32" x14ac:dyDescent="0.25">
      <c r="AB3444" s="167" t="s">
        <v>2644</v>
      </c>
      <c r="AC3444" s="167">
        <v>374</v>
      </c>
      <c r="AD3444" s="203">
        <v>43195</v>
      </c>
      <c r="AE3444" s="203">
        <v>0</v>
      </c>
      <c r="AF3444" s="167" t="s">
        <v>3469</v>
      </c>
    </row>
    <row r="3445" spans="28:32" x14ac:dyDescent="0.25">
      <c r="AB3445" s="167" t="s">
        <v>3503</v>
      </c>
      <c r="AC3445" s="167">
        <v>364</v>
      </c>
      <c r="AD3445" s="203">
        <v>43168</v>
      </c>
      <c r="AE3445" s="203">
        <v>43179</v>
      </c>
      <c r="AF3445" s="167" t="s">
        <v>3470</v>
      </c>
    </row>
    <row r="3446" spans="28:32" x14ac:dyDescent="0.25">
      <c r="AB3446" s="167" t="s">
        <v>2646</v>
      </c>
      <c r="AC3446" s="167">
        <v>323</v>
      </c>
      <c r="AD3446" s="203">
        <v>43074</v>
      </c>
      <c r="AE3446" s="203">
        <v>43111</v>
      </c>
      <c r="AF3446" s="167" t="s">
        <v>3470</v>
      </c>
    </row>
    <row r="3447" spans="28:32" x14ac:dyDescent="0.25">
      <c r="AB3447" s="167" t="s">
        <v>2646</v>
      </c>
      <c r="AC3447" s="167">
        <v>327</v>
      </c>
      <c r="AD3447" s="203">
        <v>43074</v>
      </c>
      <c r="AE3447" s="203">
        <v>43131</v>
      </c>
      <c r="AF3447" s="167" t="s">
        <v>3470</v>
      </c>
    </row>
    <row r="3448" spans="28:32" x14ac:dyDescent="0.25">
      <c r="AB3448" s="167" t="s">
        <v>2646</v>
      </c>
      <c r="AC3448" s="167">
        <v>327</v>
      </c>
      <c r="AD3448" s="203">
        <v>43074</v>
      </c>
      <c r="AE3448" s="203">
        <v>43131</v>
      </c>
      <c r="AF3448" s="167" t="s">
        <v>3470</v>
      </c>
    </row>
    <row r="3449" spans="28:32" x14ac:dyDescent="0.25">
      <c r="AB3449" s="167" t="s">
        <v>2646</v>
      </c>
      <c r="AC3449" s="167">
        <v>327</v>
      </c>
      <c r="AD3449" s="203">
        <v>43074</v>
      </c>
      <c r="AE3449" s="203">
        <v>43131</v>
      </c>
      <c r="AF3449" s="167" t="s">
        <v>3470</v>
      </c>
    </row>
    <row r="3450" spans="28:32" x14ac:dyDescent="0.25">
      <c r="AB3450" s="167" t="s">
        <v>2646</v>
      </c>
      <c r="AC3450" s="167">
        <v>335</v>
      </c>
      <c r="AD3450" s="203">
        <v>43133</v>
      </c>
      <c r="AE3450" s="203">
        <v>43147</v>
      </c>
      <c r="AF3450" s="167" t="s">
        <v>3470</v>
      </c>
    </row>
    <row r="3451" spans="28:32" x14ac:dyDescent="0.25">
      <c r="AB3451" s="167" t="s">
        <v>2646</v>
      </c>
      <c r="AC3451" s="167">
        <v>340</v>
      </c>
      <c r="AD3451" s="203">
        <v>43133</v>
      </c>
      <c r="AE3451" s="203">
        <v>43168</v>
      </c>
      <c r="AF3451" s="167" t="s">
        <v>3470</v>
      </c>
    </row>
    <row r="3452" spans="28:32" x14ac:dyDescent="0.25">
      <c r="AB3452" s="167" t="s">
        <v>2646</v>
      </c>
      <c r="AC3452" s="167">
        <v>357</v>
      </c>
      <c r="AD3452" s="203">
        <v>43139</v>
      </c>
      <c r="AE3452" s="203">
        <v>43164</v>
      </c>
      <c r="AF3452" s="167" t="s">
        <v>3470</v>
      </c>
    </row>
    <row r="3453" spans="28:32" x14ac:dyDescent="0.25">
      <c r="AB3453" s="167" t="s">
        <v>2646</v>
      </c>
      <c r="AC3453" s="167">
        <v>353</v>
      </c>
      <c r="AD3453" s="203">
        <v>43180</v>
      </c>
      <c r="AE3453" s="203">
        <v>0</v>
      </c>
      <c r="AF3453" s="167" t="s">
        <v>3469</v>
      </c>
    </row>
    <row r="3454" spans="28:32" x14ac:dyDescent="0.25">
      <c r="AB3454" s="167" t="s">
        <v>2646</v>
      </c>
      <c r="AC3454" s="167">
        <v>353</v>
      </c>
      <c r="AD3454" s="203">
        <v>43180</v>
      </c>
      <c r="AE3454" s="203">
        <v>0</v>
      </c>
      <c r="AF3454" s="167" t="s">
        <v>3469</v>
      </c>
    </row>
    <row r="3455" spans="28:32" x14ac:dyDescent="0.25">
      <c r="AB3455" s="167" t="s">
        <v>2646</v>
      </c>
      <c r="AC3455" s="167">
        <v>353</v>
      </c>
      <c r="AD3455" s="203">
        <v>43180</v>
      </c>
      <c r="AE3455" s="203">
        <v>0</v>
      </c>
      <c r="AF3455" s="167" t="s">
        <v>3469</v>
      </c>
    </row>
    <row r="3456" spans="28:32" x14ac:dyDescent="0.25">
      <c r="AB3456" s="167" t="s">
        <v>2646</v>
      </c>
      <c r="AC3456" s="167">
        <v>353</v>
      </c>
      <c r="AD3456" s="203">
        <v>43180</v>
      </c>
      <c r="AE3456" s="203">
        <v>0</v>
      </c>
      <c r="AF3456" s="167" t="s">
        <v>3469</v>
      </c>
    </row>
    <row r="3457" spans="28:32" x14ac:dyDescent="0.25">
      <c r="AB3457" s="167" t="s">
        <v>2646</v>
      </c>
      <c r="AC3457" s="167">
        <v>353</v>
      </c>
      <c r="AD3457" s="203">
        <v>43180</v>
      </c>
      <c r="AE3457" s="203">
        <v>0</v>
      </c>
      <c r="AF3457" s="167" t="s">
        <v>3469</v>
      </c>
    </row>
    <row r="3458" spans="28:32" x14ac:dyDescent="0.25">
      <c r="AB3458" s="167" t="s">
        <v>2646</v>
      </c>
      <c r="AC3458" s="167">
        <v>353</v>
      </c>
      <c r="AD3458" s="203">
        <v>43180</v>
      </c>
      <c r="AE3458" s="203">
        <v>0</v>
      </c>
      <c r="AF3458" s="167" t="s">
        <v>3469</v>
      </c>
    </row>
    <row r="3459" spans="28:32" x14ac:dyDescent="0.25">
      <c r="AB3459" s="167" t="s">
        <v>2646</v>
      </c>
      <c r="AC3459" s="167">
        <v>353</v>
      </c>
      <c r="AD3459" s="203">
        <v>43180</v>
      </c>
      <c r="AE3459" s="203">
        <v>0</v>
      </c>
      <c r="AF3459" s="167" t="s">
        <v>3469</v>
      </c>
    </row>
    <row r="3460" spans="28:32" x14ac:dyDescent="0.25">
      <c r="AB3460" s="167" t="s">
        <v>3504</v>
      </c>
      <c r="AC3460" s="167">
        <v>327</v>
      </c>
      <c r="AD3460" s="203">
        <v>43074</v>
      </c>
      <c r="AE3460" s="203">
        <v>43131</v>
      </c>
      <c r="AF3460" s="167" t="s">
        <v>3470</v>
      </c>
    </row>
    <row r="3461" spans="28:32" x14ac:dyDescent="0.25">
      <c r="AB3461" s="167" t="s">
        <v>3504</v>
      </c>
      <c r="AC3461" s="167">
        <v>347</v>
      </c>
      <c r="AD3461" s="203">
        <v>43118</v>
      </c>
      <c r="AE3461" s="203">
        <v>43133</v>
      </c>
      <c r="AF3461" s="167" t="s">
        <v>3470</v>
      </c>
    </row>
    <row r="3462" spans="28:32" x14ac:dyDescent="0.25">
      <c r="AB3462" s="167" t="s">
        <v>3504</v>
      </c>
      <c r="AC3462" s="167">
        <v>340</v>
      </c>
      <c r="AD3462" s="203">
        <v>43133</v>
      </c>
      <c r="AE3462" s="203">
        <v>43168</v>
      </c>
      <c r="AF3462" s="167" t="s">
        <v>3470</v>
      </c>
    </row>
    <row r="3463" spans="28:32" x14ac:dyDescent="0.25">
      <c r="AB3463" s="167" t="s">
        <v>3504</v>
      </c>
      <c r="AC3463" s="167">
        <v>340</v>
      </c>
      <c r="AD3463" s="203">
        <v>43133</v>
      </c>
      <c r="AE3463" s="203">
        <v>43168</v>
      </c>
      <c r="AF3463" s="167" t="s">
        <v>3470</v>
      </c>
    </row>
    <row r="3464" spans="28:32" x14ac:dyDescent="0.25">
      <c r="AB3464" s="167" t="s">
        <v>2648</v>
      </c>
      <c r="AC3464" s="167">
        <v>347</v>
      </c>
      <c r="AD3464" s="203">
        <v>43118</v>
      </c>
      <c r="AE3464" s="203">
        <v>43133</v>
      </c>
      <c r="AF3464" s="167" t="s">
        <v>3470</v>
      </c>
    </row>
    <row r="3465" spans="28:32" x14ac:dyDescent="0.25">
      <c r="AB3465" s="167" t="s">
        <v>2648</v>
      </c>
      <c r="AC3465" s="167">
        <v>340</v>
      </c>
      <c r="AD3465" s="203">
        <v>43133</v>
      </c>
      <c r="AE3465" s="203">
        <v>43168</v>
      </c>
      <c r="AF3465" s="167" t="s">
        <v>3470</v>
      </c>
    </row>
    <row r="3466" spans="28:32" x14ac:dyDescent="0.25">
      <c r="AB3466" s="167" t="s">
        <v>2648</v>
      </c>
      <c r="AC3466" s="167">
        <v>357</v>
      </c>
      <c r="AD3466" s="203">
        <v>43139</v>
      </c>
      <c r="AE3466" s="203">
        <v>43164</v>
      </c>
      <c r="AF3466" s="167" t="s">
        <v>3470</v>
      </c>
    </row>
    <row r="3467" spans="28:32" x14ac:dyDescent="0.25">
      <c r="AB3467" s="167" t="s">
        <v>2648</v>
      </c>
      <c r="AC3467" s="167">
        <v>364</v>
      </c>
      <c r="AD3467" s="203">
        <v>43168</v>
      </c>
      <c r="AE3467" s="203">
        <v>43179</v>
      </c>
      <c r="AF3467" s="167" t="s">
        <v>3470</v>
      </c>
    </row>
    <row r="3468" spans="28:32" x14ac:dyDescent="0.25">
      <c r="AB3468" s="167" t="s">
        <v>2648</v>
      </c>
      <c r="AC3468" s="167">
        <v>353</v>
      </c>
      <c r="AD3468" s="203">
        <v>43180</v>
      </c>
      <c r="AE3468" s="203">
        <v>0</v>
      </c>
      <c r="AF3468" s="167" t="s">
        <v>3469</v>
      </c>
    </row>
    <row r="3469" spans="28:32" x14ac:dyDescent="0.25">
      <c r="AB3469" s="167" t="s">
        <v>2648</v>
      </c>
      <c r="AC3469" s="167">
        <v>353</v>
      </c>
      <c r="AD3469" s="203">
        <v>43180</v>
      </c>
      <c r="AE3469" s="203">
        <v>0</v>
      </c>
      <c r="AF3469" s="167" t="s">
        <v>3469</v>
      </c>
    </row>
    <row r="3470" spans="28:32" x14ac:dyDescent="0.25">
      <c r="AB3470" s="167" t="s">
        <v>2648</v>
      </c>
      <c r="AC3470" s="167">
        <v>353</v>
      </c>
      <c r="AD3470" s="203">
        <v>43180</v>
      </c>
      <c r="AE3470" s="203">
        <v>0</v>
      </c>
      <c r="AF3470" s="167" t="s">
        <v>3469</v>
      </c>
    </row>
    <row r="3471" spans="28:32" x14ac:dyDescent="0.25">
      <c r="AB3471" s="167" t="s">
        <v>2650</v>
      </c>
      <c r="AC3471" s="167">
        <v>353</v>
      </c>
      <c r="AD3471" s="203">
        <v>43180</v>
      </c>
      <c r="AE3471" s="203">
        <v>0</v>
      </c>
      <c r="AF3471" s="167" t="s">
        <v>3469</v>
      </c>
    </row>
    <row r="3472" spans="28:32" x14ac:dyDescent="0.25">
      <c r="AB3472" s="167" t="s">
        <v>2650</v>
      </c>
      <c r="AC3472" s="167">
        <v>353</v>
      </c>
      <c r="AD3472" s="203">
        <v>43180</v>
      </c>
      <c r="AE3472" s="203">
        <v>0</v>
      </c>
      <c r="AF3472" s="167" t="s">
        <v>3469</v>
      </c>
    </row>
    <row r="3473" spans="28:32" x14ac:dyDescent="0.25">
      <c r="AB3473" s="167" t="s">
        <v>2651</v>
      </c>
      <c r="AC3473" s="167">
        <v>323</v>
      </c>
      <c r="AD3473" s="203">
        <v>43074</v>
      </c>
      <c r="AE3473" s="203">
        <v>43111</v>
      </c>
      <c r="AF3473" s="167" t="s">
        <v>3470</v>
      </c>
    </row>
    <row r="3474" spans="28:32" x14ac:dyDescent="0.25">
      <c r="AB3474" s="167" t="s">
        <v>2651</v>
      </c>
      <c r="AC3474" s="167">
        <v>340</v>
      </c>
      <c r="AD3474" s="203">
        <v>43133</v>
      </c>
      <c r="AE3474" s="203">
        <v>43168</v>
      </c>
      <c r="AF3474" s="167" t="s">
        <v>3470</v>
      </c>
    </row>
    <row r="3475" spans="28:32" x14ac:dyDescent="0.25">
      <c r="AB3475" s="167" t="s">
        <v>2651</v>
      </c>
      <c r="AC3475" s="167">
        <v>364</v>
      </c>
      <c r="AD3475" s="203">
        <v>43168</v>
      </c>
      <c r="AE3475" s="203">
        <v>43179</v>
      </c>
      <c r="AF3475" s="167" t="s">
        <v>3470</v>
      </c>
    </row>
    <row r="3476" spans="28:32" x14ac:dyDescent="0.25">
      <c r="AB3476" s="167" t="s">
        <v>2651</v>
      </c>
      <c r="AC3476" s="167">
        <v>353</v>
      </c>
      <c r="AD3476" s="203">
        <v>43180</v>
      </c>
      <c r="AE3476" s="203">
        <v>0</v>
      </c>
      <c r="AF3476" s="167" t="s">
        <v>3469</v>
      </c>
    </row>
    <row r="3477" spans="28:32" x14ac:dyDescent="0.25">
      <c r="AB3477" s="167" t="s">
        <v>2653</v>
      </c>
      <c r="AC3477" s="167">
        <v>347</v>
      </c>
      <c r="AD3477" s="203">
        <v>43118</v>
      </c>
      <c r="AE3477" s="203">
        <v>43133</v>
      </c>
      <c r="AF3477" s="167" t="s">
        <v>3470</v>
      </c>
    </row>
    <row r="3478" spans="28:32" x14ac:dyDescent="0.25">
      <c r="AB3478" s="167" t="s">
        <v>2653</v>
      </c>
      <c r="AC3478" s="167">
        <v>364</v>
      </c>
      <c r="AD3478" s="203">
        <v>43168</v>
      </c>
      <c r="AE3478" s="203">
        <v>43179</v>
      </c>
      <c r="AF3478" s="167" t="s">
        <v>3470</v>
      </c>
    </row>
    <row r="3479" spans="28:32" x14ac:dyDescent="0.25">
      <c r="AB3479" s="167" t="s">
        <v>2653</v>
      </c>
      <c r="AC3479" s="167">
        <v>353</v>
      </c>
      <c r="AD3479" s="203">
        <v>43180</v>
      </c>
      <c r="AE3479" s="203">
        <v>0</v>
      </c>
      <c r="AF3479" s="167" t="s">
        <v>3469</v>
      </c>
    </row>
    <row r="3480" spans="28:32" x14ac:dyDescent="0.25">
      <c r="AB3480" s="167" t="s">
        <v>2653</v>
      </c>
      <c r="AC3480" s="167">
        <v>353</v>
      </c>
      <c r="AD3480" s="203">
        <v>43180</v>
      </c>
      <c r="AE3480" s="203">
        <v>0</v>
      </c>
      <c r="AF3480" s="167" t="s">
        <v>3469</v>
      </c>
    </row>
    <row r="3481" spans="28:32" x14ac:dyDescent="0.25">
      <c r="AB3481" s="167" t="s">
        <v>2653</v>
      </c>
      <c r="AC3481" s="167">
        <v>353</v>
      </c>
      <c r="AD3481" s="203">
        <v>43180</v>
      </c>
      <c r="AE3481" s="203">
        <v>0</v>
      </c>
      <c r="AF3481" s="167" t="s">
        <v>3469</v>
      </c>
    </row>
    <row r="3482" spans="28:32" x14ac:dyDescent="0.25">
      <c r="AB3482" s="167" t="s">
        <v>2653</v>
      </c>
      <c r="AC3482" s="167">
        <v>353</v>
      </c>
      <c r="AD3482" s="203">
        <v>43180</v>
      </c>
      <c r="AE3482" s="203">
        <v>0</v>
      </c>
      <c r="AF3482" s="167" t="s">
        <v>3469</v>
      </c>
    </row>
    <row r="3483" spans="28:32" x14ac:dyDescent="0.25">
      <c r="AB3483" s="167" t="s">
        <v>2653</v>
      </c>
      <c r="AC3483" s="167">
        <v>353</v>
      </c>
      <c r="AD3483" s="203">
        <v>43180</v>
      </c>
      <c r="AE3483" s="203">
        <v>0</v>
      </c>
      <c r="AF3483" s="167" t="s">
        <v>3469</v>
      </c>
    </row>
    <row r="3484" spans="28:32" x14ac:dyDescent="0.25">
      <c r="AB3484" s="167" t="s">
        <v>2653</v>
      </c>
      <c r="AC3484" s="167">
        <v>353</v>
      </c>
      <c r="AD3484" s="203">
        <v>43180</v>
      </c>
      <c r="AE3484" s="203">
        <v>0</v>
      </c>
      <c r="AF3484" s="167" t="s">
        <v>3469</v>
      </c>
    </row>
    <row r="3485" spans="28:32" x14ac:dyDescent="0.25">
      <c r="AB3485" s="167" t="s">
        <v>2655</v>
      </c>
      <c r="AC3485" s="167">
        <v>347</v>
      </c>
      <c r="AD3485" s="203">
        <v>43118</v>
      </c>
      <c r="AE3485" s="203">
        <v>43133</v>
      </c>
      <c r="AF3485" s="167" t="s">
        <v>3470</v>
      </c>
    </row>
    <row r="3486" spans="28:32" x14ac:dyDescent="0.25">
      <c r="AB3486" s="167" t="s">
        <v>2655</v>
      </c>
      <c r="AC3486" s="167">
        <v>340</v>
      </c>
      <c r="AD3486" s="203">
        <v>43133</v>
      </c>
      <c r="AE3486" s="203">
        <v>43168</v>
      </c>
      <c r="AF3486" s="167" t="s">
        <v>3470</v>
      </c>
    </row>
    <row r="3487" spans="28:32" x14ac:dyDescent="0.25">
      <c r="AB3487" s="167" t="s">
        <v>2655</v>
      </c>
      <c r="AC3487" s="167">
        <v>340</v>
      </c>
      <c r="AD3487" s="203">
        <v>43133</v>
      </c>
      <c r="AE3487" s="203">
        <v>43168</v>
      </c>
      <c r="AF3487" s="167" t="s">
        <v>3470</v>
      </c>
    </row>
    <row r="3488" spans="28:32" x14ac:dyDescent="0.25">
      <c r="AB3488" s="167" t="s">
        <v>2655</v>
      </c>
      <c r="AC3488" s="167">
        <v>357</v>
      </c>
      <c r="AD3488" s="203">
        <v>43139</v>
      </c>
      <c r="AE3488" s="203">
        <v>43164</v>
      </c>
      <c r="AF3488" s="167" t="s">
        <v>3470</v>
      </c>
    </row>
    <row r="3489" spans="28:32" x14ac:dyDescent="0.25">
      <c r="AB3489" s="167" t="s">
        <v>2655</v>
      </c>
      <c r="AC3489" s="167">
        <v>353</v>
      </c>
      <c r="AD3489" s="203">
        <v>43180</v>
      </c>
      <c r="AE3489" s="203">
        <v>0</v>
      </c>
      <c r="AF3489" s="167" t="s">
        <v>3469</v>
      </c>
    </row>
    <row r="3490" spans="28:32" x14ac:dyDescent="0.25">
      <c r="AB3490" s="167" t="s">
        <v>2657</v>
      </c>
      <c r="AC3490" s="167">
        <v>347</v>
      </c>
      <c r="AD3490" s="203">
        <v>43118</v>
      </c>
      <c r="AE3490" s="203">
        <v>43133</v>
      </c>
      <c r="AF3490" s="167" t="s">
        <v>3470</v>
      </c>
    </row>
    <row r="3491" spans="28:32" x14ac:dyDescent="0.25">
      <c r="AB3491" s="167" t="s">
        <v>2657</v>
      </c>
      <c r="AC3491" s="167">
        <v>340</v>
      </c>
      <c r="AD3491" s="203">
        <v>43133</v>
      </c>
      <c r="AE3491" s="203">
        <v>43168</v>
      </c>
      <c r="AF3491" s="167" t="s">
        <v>3470</v>
      </c>
    </row>
    <row r="3492" spans="28:32" x14ac:dyDescent="0.25">
      <c r="AB3492" s="167" t="s">
        <v>2657</v>
      </c>
      <c r="AC3492" s="167">
        <v>340</v>
      </c>
      <c r="AD3492" s="203">
        <v>43133</v>
      </c>
      <c r="AE3492" s="203">
        <v>43168</v>
      </c>
      <c r="AF3492" s="167" t="s">
        <v>3470</v>
      </c>
    </row>
    <row r="3493" spans="28:32" x14ac:dyDescent="0.25">
      <c r="AB3493" s="167" t="s">
        <v>2657</v>
      </c>
      <c r="AC3493" s="167">
        <v>357</v>
      </c>
      <c r="AD3493" s="203">
        <v>43139</v>
      </c>
      <c r="AE3493" s="203">
        <v>43164</v>
      </c>
      <c r="AF3493" s="167" t="s">
        <v>3470</v>
      </c>
    </row>
    <row r="3494" spans="28:32" x14ac:dyDescent="0.25">
      <c r="AB3494" s="167" t="s">
        <v>2657</v>
      </c>
      <c r="AC3494" s="167">
        <v>364</v>
      </c>
      <c r="AD3494" s="203">
        <v>43168</v>
      </c>
      <c r="AE3494" s="203">
        <v>43179</v>
      </c>
      <c r="AF3494" s="167" t="s">
        <v>3470</v>
      </c>
    </row>
    <row r="3495" spans="28:32" x14ac:dyDescent="0.25">
      <c r="AB3495" s="167" t="s">
        <v>2657</v>
      </c>
      <c r="AC3495" s="167">
        <v>353</v>
      </c>
      <c r="AD3495" s="203">
        <v>43180</v>
      </c>
      <c r="AE3495" s="203">
        <v>0</v>
      </c>
      <c r="AF3495" s="167" t="s">
        <v>3469</v>
      </c>
    </row>
    <row r="3496" spans="28:32" x14ac:dyDescent="0.25">
      <c r="AB3496" s="167" t="s">
        <v>2657</v>
      </c>
      <c r="AC3496" s="167">
        <v>353</v>
      </c>
      <c r="AD3496" s="203">
        <v>43180</v>
      </c>
      <c r="AE3496" s="203">
        <v>0</v>
      </c>
      <c r="AF3496" s="167" t="s">
        <v>3469</v>
      </c>
    </row>
    <row r="3497" spans="28:32" x14ac:dyDescent="0.25">
      <c r="AB3497" s="167" t="s">
        <v>2657</v>
      </c>
      <c r="AC3497" s="167">
        <v>353</v>
      </c>
      <c r="AD3497" s="203">
        <v>43180</v>
      </c>
      <c r="AE3497" s="203">
        <v>0</v>
      </c>
      <c r="AF3497" s="167" t="s">
        <v>3469</v>
      </c>
    </row>
    <row r="3498" spans="28:32" x14ac:dyDescent="0.25">
      <c r="AB3498" s="167" t="s">
        <v>2657</v>
      </c>
      <c r="AC3498" s="167">
        <v>353</v>
      </c>
      <c r="AD3498" s="203">
        <v>43180</v>
      </c>
      <c r="AE3498" s="203">
        <v>0</v>
      </c>
      <c r="AF3498" s="167" t="s">
        <v>3469</v>
      </c>
    </row>
    <row r="3499" spans="28:32" x14ac:dyDescent="0.25">
      <c r="AB3499" s="167" t="s">
        <v>2659</v>
      </c>
      <c r="AC3499" s="167">
        <v>364</v>
      </c>
      <c r="AD3499" s="203">
        <v>43168</v>
      </c>
      <c r="AE3499" s="203">
        <v>43179</v>
      </c>
      <c r="AF3499" s="167" t="s">
        <v>3470</v>
      </c>
    </row>
    <row r="3500" spans="28:32" x14ac:dyDescent="0.25">
      <c r="AB3500" s="167" t="s">
        <v>2659</v>
      </c>
      <c r="AC3500" s="167">
        <v>353</v>
      </c>
      <c r="AD3500" s="203">
        <v>43180</v>
      </c>
      <c r="AE3500" s="203">
        <v>0</v>
      </c>
      <c r="AF3500" s="167" t="s">
        <v>3469</v>
      </c>
    </row>
    <row r="3501" spans="28:32" x14ac:dyDescent="0.25">
      <c r="AB3501" s="167" t="s">
        <v>3430</v>
      </c>
      <c r="AC3501" s="167">
        <v>323</v>
      </c>
      <c r="AD3501" s="203">
        <v>43074</v>
      </c>
      <c r="AE3501" s="203">
        <v>43111</v>
      </c>
      <c r="AF3501" s="167" t="s">
        <v>3470</v>
      </c>
    </row>
    <row r="3502" spans="28:32" x14ac:dyDescent="0.25">
      <c r="AB3502" s="167" t="s">
        <v>3430</v>
      </c>
      <c r="AC3502" s="167">
        <v>347</v>
      </c>
      <c r="AD3502" s="203">
        <v>43118</v>
      </c>
      <c r="AE3502" s="203">
        <v>43133</v>
      </c>
      <c r="AF3502" s="167" t="s">
        <v>3470</v>
      </c>
    </row>
    <row r="3503" spans="28:32" x14ac:dyDescent="0.25">
      <c r="AB3503" s="167" t="s">
        <v>3430</v>
      </c>
      <c r="AC3503" s="167">
        <v>340</v>
      </c>
      <c r="AD3503" s="203">
        <v>43133</v>
      </c>
      <c r="AE3503" s="203">
        <v>43168</v>
      </c>
      <c r="AF3503" s="167" t="s">
        <v>3470</v>
      </c>
    </row>
    <row r="3504" spans="28:32" x14ac:dyDescent="0.25">
      <c r="AB3504" s="167" t="s">
        <v>3430</v>
      </c>
      <c r="AC3504" s="167">
        <v>357</v>
      </c>
      <c r="AD3504" s="203">
        <v>43139</v>
      </c>
      <c r="AE3504" s="203">
        <v>43164</v>
      </c>
      <c r="AF3504" s="167" t="s">
        <v>3470</v>
      </c>
    </row>
    <row r="3505" spans="28:32" x14ac:dyDescent="0.25">
      <c r="AB3505" s="167" t="s">
        <v>3430</v>
      </c>
      <c r="AC3505" s="167">
        <v>364</v>
      </c>
      <c r="AD3505" s="203">
        <v>43168</v>
      </c>
      <c r="AE3505" s="203">
        <v>43179</v>
      </c>
      <c r="AF3505" s="167" t="s">
        <v>3470</v>
      </c>
    </row>
    <row r="3506" spans="28:32" x14ac:dyDescent="0.25">
      <c r="AB3506" s="167" t="s">
        <v>3430</v>
      </c>
      <c r="AC3506" s="167">
        <v>353</v>
      </c>
      <c r="AD3506" s="203">
        <v>43180</v>
      </c>
      <c r="AE3506" s="203">
        <v>0</v>
      </c>
      <c r="AF3506" s="167" t="s">
        <v>3469</v>
      </c>
    </row>
    <row r="3507" spans="28:32" x14ac:dyDescent="0.25">
      <c r="AB3507" s="167" t="s">
        <v>3430</v>
      </c>
      <c r="AC3507" s="167">
        <v>353</v>
      </c>
      <c r="AD3507" s="203">
        <v>43180</v>
      </c>
      <c r="AE3507" s="203">
        <v>0</v>
      </c>
      <c r="AF3507" s="167" t="s">
        <v>3469</v>
      </c>
    </row>
    <row r="3508" spans="28:32" x14ac:dyDescent="0.25">
      <c r="AB3508" s="167" t="s">
        <v>2661</v>
      </c>
      <c r="AC3508" s="167">
        <v>323</v>
      </c>
      <c r="AD3508" s="203">
        <v>43074</v>
      </c>
      <c r="AE3508" s="203">
        <v>43111</v>
      </c>
      <c r="AF3508" s="167" t="s">
        <v>3470</v>
      </c>
    </row>
    <row r="3509" spans="28:32" x14ac:dyDescent="0.25">
      <c r="AB3509" s="167" t="s">
        <v>2661</v>
      </c>
      <c r="AC3509" s="167">
        <v>347</v>
      </c>
      <c r="AD3509" s="203">
        <v>43118</v>
      </c>
      <c r="AE3509" s="203">
        <v>43133</v>
      </c>
      <c r="AF3509" s="167" t="s">
        <v>3470</v>
      </c>
    </row>
    <row r="3510" spans="28:32" x14ac:dyDescent="0.25">
      <c r="AB3510" s="167" t="s">
        <v>2661</v>
      </c>
      <c r="AC3510" s="167">
        <v>340</v>
      </c>
      <c r="AD3510" s="203">
        <v>43133</v>
      </c>
      <c r="AE3510" s="203">
        <v>43168</v>
      </c>
      <c r="AF3510" s="167" t="s">
        <v>3470</v>
      </c>
    </row>
    <row r="3511" spans="28:32" x14ac:dyDescent="0.25">
      <c r="AB3511" s="167" t="s">
        <v>2661</v>
      </c>
      <c r="AC3511" s="167">
        <v>357</v>
      </c>
      <c r="AD3511" s="203">
        <v>43139</v>
      </c>
      <c r="AE3511" s="203">
        <v>43164</v>
      </c>
      <c r="AF3511" s="167" t="s">
        <v>3470</v>
      </c>
    </row>
    <row r="3512" spans="28:32" x14ac:dyDescent="0.25">
      <c r="AB3512" s="167" t="s">
        <v>2661</v>
      </c>
      <c r="AC3512" s="167">
        <v>353</v>
      </c>
      <c r="AD3512" s="203">
        <v>43180</v>
      </c>
      <c r="AE3512" s="203">
        <v>0</v>
      </c>
      <c r="AF3512" s="167" t="s">
        <v>3469</v>
      </c>
    </row>
    <row r="3513" spans="28:32" x14ac:dyDescent="0.25">
      <c r="AB3513" s="167" t="s">
        <v>2663</v>
      </c>
      <c r="AC3513" s="167">
        <v>364</v>
      </c>
      <c r="AD3513" s="203">
        <v>43168</v>
      </c>
      <c r="AE3513" s="203">
        <v>43179</v>
      </c>
      <c r="AF3513" s="167" t="s">
        <v>3470</v>
      </c>
    </row>
    <row r="3514" spans="28:32" x14ac:dyDescent="0.25">
      <c r="AB3514" s="167" t="s">
        <v>2663</v>
      </c>
      <c r="AC3514" s="167">
        <v>353</v>
      </c>
      <c r="AD3514" s="203">
        <v>43180</v>
      </c>
      <c r="AE3514" s="203">
        <v>0</v>
      </c>
      <c r="AF3514" s="167" t="s">
        <v>3469</v>
      </c>
    </row>
    <row r="3515" spans="28:32" x14ac:dyDescent="0.25">
      <c r="AB3515" s="167" t="s">
        <v>2665</v>
      </c>
      <c r="AC3515" s="167">
        <v>364</v>
      </c>
      <c r="AD3515" s="203">
        <v>43168</v>
      </c>
      <c r="AE3515" s="203">
        <v>43179</v>
      </c>
      <c r="AF3515" s="167" t="s">
        <v>3470</v>
      </c>
    </row>
    <row r="3516" spans="28:32" x14ac:dyDescent="0.25">
      <c r="AB3516" s="167" t="s">
        <v>2665</v>
      </c>
      <c r="AC3516" s="167">
        <v>353</v>
      </c>
      <c r="AD3516" s="203">
        <v>43180</v>
      </c>
      <c r="AE3516" s="203">
        <v>0</v>
      </c>
      <c r="AF3516" s="167" t="s">
        <v>3469</v>
      </c>
    </row>
    <row r="3517" spans="28:32" x14ac:dyDescent="0.25">
      <c r="AB3517" s="167" t="s">
        <v>2667</v>
      </c>
      <c r="AC3517" s="167">
        <v>340</v>
      </c>
      <c r="AD3517" s="203">
        <v>43133</v>
      </c>
      <c r="AE3517" s="203">
        <v>43168</v>
      </c>
      <c r="AF3517" s="167" t="s">
        <v>3470</v>
      </c>
    </row>
    <row r="3518" spans="28:32" x14ac:dyDescent="0.25">
      <c r="AB3518" s="167" t="s">
        <v>2667</v>
      </c>
      <c r="AC3518" s="167">
        <v>357</v>
      </c>
      <c r="AD3518" s="203">
        <v>43139</v>
      </c>
      <c r="AE3518" s="203">
        <v>43164</v>
      </c>
      <c r="AF3518" s="167" t="s">
        <v>3470</v>
      </c>
    </row>
    <row r="3519" spans="28:32" x14ac:dyDescent="0.25">
      <c r="AB3519" s="167" t="s">
        <v>2667</v>
      </c>
      <c r="AC3519" s="167">
        <v>364</v>
      </c>
      <c r="AD3519" s="203">
        <v>43168</v>
      </c>
      <c r="AE3519" s="203">
        <v>43179</v>
      </c>
      <c r="AF3519" s="167" t="s">
        <v>3470</v>
      </c>
    </row>
    <row r="3520" spans="28:32" x14ac:dyDescent="0.25">
      <c r="AB3520" s="167" t="s">
        <v>2667</v>
      </c>
      <c r="AC3520" s="167">
        <v>353</v>
      </c>
      <c r="AD3520" s="203">
        <v>43180</v>
      </c>
      <c r="AE3520" s="203">
        <v>0</v>
      </c>
      <c r="AF3520" s="167" t="s">
        <v>3469</v>
      </c>
    </row>
    <row r="3521" spans="28:32" x14ac:dyDescent="0.25">
      <c r="AB3521" s="167" t="s">
        <v>2667</v>
      </c>
      <c r="AC3521" s="167">
        <v>353</v>
      </c>
      <c r="AD3521" s="203">
        <v>43180</v>
      </c>
      <c r="AE3521" s="203">
        <v>0</v>
      </c>
      <c r="AF3521" s="167" t="s">
        <v>3469</v>
      </c>
    </row>
    <row r="3522" spans="28:32" x14ac:dyDescent="0.25">
      <c r="AB3522" s="167" t="s">
        <v>2667</v>
      </c>
      <c r="AC3522" s="167">
        <v>353</v>
      </c>
      <c r="AD3522" s="203">
        <v>43180</v>
      </c>
      <c r="AE3522" s="203">
        <v>0</v>
      </c>
      <c r="AF3522" s="167" t="s">
        <v>3469</v>
      </c>
    </row>
    <row r="3523" spans="28:32" x14ac:dyDescent="0.25">
      <c r="AB3523" s="167" t="s">
        <v>2669</v>
      </c>
      <c r="AC3523" s="167">
        <v>353</v>
      </c>
      <c r="AD3523" s="203">
        <v>43180</v>
      </c>
      <c r="AE3523" s="203">
        <v>0</v>
      </c>
      <c r="AF3523" s="167" t="s">
        <v>3469</v>
      </c>
    </row>
    <row r="3524" spans="28:32" x14ac:dyDescent="0.25">
      <c r="AB3524" s="167" t="s">
        <v>2670</v>
      </c>
      <c r="AC3524" s="167">
        <v>327</v>
      </c>
      <c r="AD3524" s="203">
        <v>43074</v>
      </c>
      <c r="AE3524" s="203">
        <v>43131</v>
      </c>
      <c r="AF3524" s="167" t="s">
        <v>3470</v>
      </c>
    </row>
    <row r="3525" spans="28:32" x14ac:dyDescent="0.25">
      <c r="AB3525" s="167" t="s">
        <v>2670</v>
      </c>
      <c r="AC3525" s="167">
        <v>347</v>
      </c>
      <c r="AD3525" s="203">
        <v>43118</v>
      </c>
      <c r="AE3525" s="203">
        <v>43133</v>
      </c>
      <c r="AF3525" s="167" t="s">
        <v>3470</v>
      </c>
    </row>
    <row r="3526" spans="28:32" x14ac:dyDescent="0.25">
      <c r="AB3526" s="167" t="s">
        <v>2670</v>
      </c>
      <c r="AC3526" s="167">
        <v>340</v>
      </c>
      <c r="AD3526" s="203">
        <v>43133</v>
      </c>
      <c r="AE3526" s="203">
        <v>43168</v>
      </c>
      <c r="AF3526" s="167" t="s">
        <v>3470</v>
      </c>
    </row>
    <row r="3527" spans="28:32" x14ac:dyDescent="0.25">
      <c r="AB3527" s="167" t="s">
        <v>2670</v>
      </c>
      <c r="AC3527" s="167">
        <v>340</v>
      </c>
      <c r="AD3527" s="203">
        <v>43133</v>
      </c>
      <c r="AE3527" s="203">
        <v>43168</v>
      </c>
      <c r="AF3527" s="167" t="s">
        <v>3470</v>
      </c>
    </row>
    <row r="3528" spans="28:32" x14ac:dyDescent="0.25">
      <c r="AB3528" s="167" t="s">
        <v>2672</v>
      </c>
      <c r="AC3528" s="167">
        <v>323</v>
      </c>
      <c r="AD3528" s="203">
        <v>43074</v>
      </c>
      <c r="AE3528" s="203">
        <v>43111</v>
      </c>
      <c r="AF3528" s="167" t="s">
        <v>3470</v>
      </c>
    </row>
    <row r="3529" spans="28:32" x14ac:dyDescent="0.25">
      <c r="AB3529" s="167" t="s">
        <v>2672</v>
      </c>
      <c r="AC3529" s="167">
        <v>323</v>
      </c>
      <c r="AD3529" s="203">
        <v>43074</v>
      </c>
      <c r="AE3529" s="203">
        <v>43111</v>
      </c>
      <c r="AF3529" s="167" t="s">
        <v>3470</v>
      </c>
    </row>
    <row r="3530" spans="28:32" x14ac:dyDescent="0.25">
      <c r="AB3530" s="167" t="s">
        <v>2672</v>
      </c>
      <c r="AC3530" s="167">
        <v>347</v>
      </c>
      <c r="AD3530" s="203">
        <v>43118</v>
      </c>
      <c r="AE3530" s="203">
        <v>43133</v>
      </c>
      <c r="AF3530" s="167" t="s">
        <v>3470</v>
      </c>
    </row>
    <row r="3531" spans="28:32" x14ac:dyDescent="0.25">
      <c r="AB3531" s="167" t="s">
        <v>2672</v>
      </c>
      <c r="AC3531" s="167">
        <v>335</v>
      </c>
      <c r="AD3531" s="203">
        <v>43133</v>
      </c>
      <c r="AE3531" s="203">
        <v>43147</v>
      </c>
      <c r="AF3531" s="167" t="s">
        <v>3470</v>
      </c>
    </row>
    <row r="3532" spans="28:32" x14ac:dyDescent="0.25">
      <c r="AB3532" s="167" t="s">
        <v>2672</v>
      </c>
      <c r="AC3532" s="167">
        <v>340</v>
      </c>
      <c r="AD3532" s="203">
        <v>43133</v>
      </c>
      <c r="AE3532" s="203">
        <v>43168</v>
      </c>
      <c r="AF3532" s="167" t="s">
        <v>3470</v>
      </c>
    </row>
    <row r="3533" spans="28:32" x14ac:dyDescent="0.25">
      <c r="AB3533" s="167" t="s">
        <v>2672</v>
      </c>
      <c r="AC3533" s="167">
        <v>353</v>
      </c>
      <c r="AD3533" s="203">
        <v>43180</v>
      </c>
      <c r="AE3533" s="203">
        <v>0</v>
      </c>
      <c r="AF3533" s="167" t="s">
        <v>3469</v>
      </c>
    </row>
    <row r="3534" spans="28:32" x14ac:dyDescent="0.25">
      <c r="AB3534" s="167" t="s">
        <v>2672</v>
      </c>
      <c r="AC3534" s="167">
        <v>353</v>
      </c>
      <c r="AD3534" s="203">
        <v>43180</v>
      </c>
      <c r="AE3534" s="203">
        <v>0</v>
      </c>
      <c r="AF3534" s="167" t="s">
        <v>3469</v>
      </c>
    </row>
    <row r="3535" spans="28:32" x14ac:dyDescent="0.25">
      <c r="AB3535" s="167" t="s">
        <v>2673</v>
      </c>
      <c r="AC3535" s="167">
        <v>328</v>
      </c>
      <c r="AD3535" s="203">
        <v>43089</v>
      </c>
      <c r="AE3535" s="203">
        <v>43122</v>
      </c>
      <c r="AF3535" s="167" t="s">
        <v>3470</v>
      </c>
    </row>
    <row r="3536" spans="28:32" x14ac:dyDescent="0.25">
      <c r="AB3536" s="167" t="s">
        <v>2674</v>
      </c>
      <c r="AC3536" s="167">
        <v>328</v>
      </c>
      <c r="AD3536" s="203">
        <v>43089</v>
      </c>
      <c r="AE3536" s="203">
        <v>43122</v>
      </c>
      <c r="AF3536" s="167" t="s">
        <v>3470</v>
      </c>
    </row>
    <row r="3537" spans="28:32" x14ac:dyDescent="0.25">
      <c r="AB3537" s="167" t="s">
        <v>3505</v>
      </c>
      <c r="AC3537" s="167">
        <v>328</v>
      </c>
      <c r="AD3537" s="203">
        <v>43089</v>
      </c>
      <c r="AE3537" s="203">
        <v>43122</v>
      </c>
      <c r="AF3537" s="167" t="s">
        <v>3470</v>
      </c>
    </row>
    <row r="3538" spans="28:32" x14ac:dyDescent="0.25">
      <c r="AB3538" s="167" t="s">
        <v>3506</v>
      </c>
      <c r="AC3538" s="167">
        <v>328</v>
      </c>
      <c r="AD3538" s="203">
        <v>43089</v>
      </c>
      <c r="AE3538" s="203">
        <v>43122</v>
      </c>
      <c r="AF3538" s="167" t="s">
        <v>3470</v>
      </c>
    </row>
    <row r="3539" spans="28:32" x14ac:dyDescent="0.25">
      <c r="AB3539" s="167" t="s">
        <v>3507</v>
      </c>
      <c r="AC3539" s="167">
        <v>328</v>
      </c>
      <c r="AD3539" s="203">
        <v>43089</v>
      </c>
      <c r="AE3539" s="203">
        <v>43122</v>
      </c>
      <c r="AF3539" s="167" t="s">
        <v>3470</v>
      </c>
    </row>
    <row r="3540" spans="28:32" x14ac:dyDescent="0.25">
      <c r="AB3540" s="167" t="s">
        <v>2676</v>
      </c>
      <c r="AC3540" s="167">
        <v>347</v>
      </c>
      <c r="AD3540" s="203">
        <v>43118</v>
      </c>
      <c r="AE3540" s="203">
        <v>43133</v>
      </c>
      <c r="AF3540" s="167" t="s">
        <v>3470</v>
      </c>
    </row>
    <row r="3541" spans="28:32" x14ac:dyDescent="0.25">
      <c r="AB3541" s="167" t="s">
        <v>2676</v>
      </c>
      <c r="AC3541" s="167">
        <v>340</v>
      </c>
      <c r="AD3541" s="203">
        <v>43133</v>
      </c>
      <c r="AE3541" s="203">
        <v>43168</v>
      </c>
      <c r="AF3541" s="167" t="s">
        <v>3470</v>
      </c>
    </row>
    <row r="3542" spans="28:32" x14ac:dyDescent="0.25">
      <c r="AB3542" s="167" t="s">
        <v>2676</v>
      </c>
      <c r="AC3542" s="167">
        <v>357</v>
      </c>
      <c r="AD3542" s="203">
        <v>43139</v>
      </c>
      <c r="AE3542" s="203">
        <v>43164</v>
      </c>
      <c r="AF3542" s="167" t="s">
        <v>3470</v>
      </c>
    </row>
    <row r="3543" spans="28:32" x14ac:dyDescent="0.25">
      <c r="AB3543" s="167" t="s">
        <v>2676</v>
      </c>
      <c r="AC3543" s="167">
        <v>353</v>
      </c>
      <c r="AD3543" s="203">
        <v>43180</v>
      </c>
      <c r="AE3543" s="203">
        <v>0</v>
      </c>
      <c r="AF3543" s="167" t="s">
        <v>3469</v>
      </c>
    </row>
    <row r="3544" spans="28:32" x14ac:dyDescent="0.25">
      <c r="AB3544" s="167" t="s">
        <v>3508</v>
      </c>
      <c r="AC3544" s="167">
        <v>328</v>
      </c>
      <c r="AD3544" s="203">
        <v>43089</v>
      </c>
      <c r="AE3544" s="203">
        <v>43122</v>
      </c>
      <c r="AF3544" s="167" t="s">
        <v>3470</v>
      </c>
    </row>
    <row r="3545" spans="28:32" x14ac:dyDescent="0.25">
      <c r="AB3545" s="167" t="s">
        <v>2677</v>
      </c>
      <c r="AC3545" s="167">
        <v>328</v>
      </c>
      <c r="AD3545" s="203">
        <v>43089</v>
      </c>
      <c r="AE3545" s="203">
        <v>43122</v>
      </c>
      <c r="AF3545" s="167" t="s">
        <v>3470</v>
      </c>
    </row>
    <row r="3546" spans="28:32" x14ac:dyDescent="0.25">
      <c r="AB3546" s="167" t="s">
        <v>3509</v>
      </c>
      <c r="AC3546" s="167">
        <v>328</v>
      </c>
      <c r="AD3546" s="203">
        <v>43089</v>
      </c>
      <c r="AE3546" s="203">
        <v>43122</v>
      </c>
      <c r="AF3546" s="167" t="s">
        <v>3470</v>
      </c>
    </row>
    <row r="3547" spans="28:32" x14ac:dyDescent="0.25">
      <c r="AB3547" s="167" t="s">
        <v>2678</v>
      </c>
      <c r="AC3547" s="167">
        <v>328</v>
      </c>
      <c r="AD3547" s="203">
        <v>43089</v>
      </c>
      <c r="AE3547" s="203">
        <v>43122</v>
      </c>
      <c r="AF3547" s="167" t="s">
        <v>3470</v>
      </c>
    </row>
    <row r="3548" spans="28:32" x14ac:dyDescent="0.25">
      <c r="AB3548" s="167" t="s">
        <v>2680</v>
      </c>
      <c r="AC3548" s="167">
        <v>364</v>
      </c>
      <c r="AD3548" s="203">
        <v>43168</v>
      </c>
      <c r="AE3548" s="203">
        <v>43179</v>
      </c>
      <c r="AF3548" s="167" t="s">
        <v>3470</v>
      </c>
    </row>
    <row r="3549" spans="28:32" x14ac:dyDescent="0.25">
      <c r="AB3549" s="167" t="s">
        <v>2680</v>
      </c>
      <c r="AC3549" s="167">
        <v>353</v>
      </c>
      <c r="AD3549" s="203">
        <v>43180</v>
      </c>
      <c r="AE3549" s="203">
        <v>0</v>
      </c>
      <c r="AF3549" s="167" t="s">
        <v>3469</v>
      </c>
    </row>
    <row r="3550" spans="28:32" x14ac:dyDescent="0.25">
      <c r="AB3550" s="167" t="s">
        <v>2682</v>
      </c>
      <c r="AC3550" s="167">
        <v>327</v>
      </c>
      <c r="AD3550" s="203">
        <v>43074</v>
      </c>
      <c r="AE3550" s="203">
        <v>43131</v>
      </c>
      <c r="AF3550" s="167" t="s">
        <v>3470</v>
      </c>
    </row>
    <row r="3551" spans="28:32" x14ac:dyDescent="0.25">
      <c r="AB3551" s="167" t="s">
        <v>2682</v>
      </c>
      <c r="AC3551" s="167">
        <v>347</v>
      </c>
      <c r="AD3551" s="203">
        <v>43118</v>
      </c>
      <c r="AE3551" s="203">
        <v>43133</v>
      </c>
      <c r="AF3551" s="167" t="s">
        <v>3470</v>
      </c>
    </row>
    <row r="3552" spans="28:32" x14ac:dyDescent="0.25">
      <c r="AB3552" s="167" t="s">
        <v>2682</v>
      </c>
      <c r="AC3552" s="167">
        <v>353</v>
      </c>
      <c r="AD3552" s="203">
        <v>43180</v>
      </c>
      <c r="AE3552" s="203">
        <v>0</v>
      </c>
      <c r="AF3552" s="167" t="s">
        <v>3469</v>
      </c>
    </row>
    <row r="3553" spans="28:32" x14ac:dyDescent="0.25">
      <c r="AB3553" s="167" t="s">
        <v>2682</v>
      </c>
      <c r="AC3553" s="167">
        <v>353</v>
      </c>
      <c r="AD3553" s="203">
        <v>43180</v>
      </c>
      <c r="AE3553" s="203">
        <v>0</v>
      </c>
      <c r="AF3553" s="167" t="s">
        <v>3469</v>
      </c>
    </row>
    <row r="3554" spans="28:32" x14ac:dyDescent="0.25">
      <c r="AB3554" s="167" t="s">
        <v>2683</v>
      </c>
      <c r="AC3554" s="167">
        <v>328</v>
      </c>
      <c r="AD3554" s="203">
        <v>43089</v>
      </c>
      <c r="AE3554" s="203">
        <v>43122</v>
      </c>
      <c r="AF3554" s="167" t="s">
        <v>3470</v>
      </c>
    </row>
    <row r="3555" spans="28:32" x14ac:dyDescent="0.25">
      <c r="AB3555" s="167" t="s">
        <v>2685</v>
      </c>
      <c r="AC3555" s="167">
        <v>347</v>
      </c>
      <c r="AD3555" s="203">
        <v>43118</v>
      </c>
      <c r="AE3555" s="203">
        <v>43133</v>
      </c>
      <c r="AF3555" s="167" t="s">
        <v>3470</v>
      </c>
    </row>
    <row r="3556" spans="28:32" x14ac:dyDescent="0.25">
      <c r="AB3556" s="167" t="s">
        <v>2685</v>
      </c>
      <c r="AC3556" s="167">
        <v>340</v>
      </c>
      <c r="AD3556" s="203">
        <v>43133</v>
      </c>
      <c r="AE3556" s="203">
        <v>43168</v>
      </c>
      <c r="AF3556" s="167" t="s">
        <v>3470</v>
      </c>
    </row>
    <row r="3557" spans="28:32" x14ac:dyDescent="0.25">
      <c r="AB3557" s="167" t="s">
        <v>2685</v>
      </c>
      <c r="AC3557" s="167">
        <v>353</v>
      </c>
      <c r="AD3557" s="203">
        <v>43180</v>
      </c>
      <c r="AE3557" s="203">
        <v>0</v>
      </c>
      <c r="AF3557" s="167" t="s">
        <v>3469</v>
      </c>
    </row>
    <row r="3558" spans="28:32" x14ac:dyDescent="0.25">
      <c r="AB3558" s="167" t="s">
        <v>2687</v>
      </c>
      <c r="AC3558" s="167">
        <v>364</v>
      </c>
      <c r="AD3558" s="203">
        <v>43168</v>
      </c>
      <c r="AE3558" s="203">
        <v>43179</v>
      </c>
      <c r="AF3558" s="167" t="s">
        <v>3470</v>
      </c>
    </row>
    <row r="3559" spans="28:32" x14ac:dyDescent="0.25">
      <c r="AB3559" s="167" t="s">
        <v>2687</v>
      </c>
      <c r="AC3559" s="167">
        <v>353</v>
      </c>
      <c r="AD3559" s="203">
        <v>43180</v>
      </c>
      <c r="AE3559" s="203">
        <v>0</v>
      </c>
      <c r="AF3559" s="167" t="s">
        <v>3469</v>
      </c>
    </row>
    <row r="3560" spans="28:32" x14ac:dyDescent="0.25">
      <c r="AB3560" s="167" t="s">
        <v>3510</v>
      </c>
      <c r="AC3560" s="167">
        <v>364</v>
      </c>
      <c r="AD3560" s="203">
        <v>43168</v>
      </c>
      <c r="AE3560" s="203">
        <v>43179</v>
      </c>
      <c r="AF3560" s="167" t="s">
        <v>3470</v>
      </c>
    </row>
    <row r="3561" spans="28:32" x14ac:dyDescent="0.25">
      <c r="AB3561" s="167" t="s">
        <v>2689</v>
      </c>
      <c r="AC3561" s="167">
        <v>323</v>
      </c>
      <c r="AD3561" s="203">
        <v>43074</v>
      </c>
      <c r="AE3561" s="203">
        <v>43111</v>
      </c>
      <c r="AF3561" s="167" t="s">
        <v>3470</v>
      </c>
    </row>
    <row r="3562" spans="28:32" x14ac:dyDescent="0.25">
      <c r="AB3562" s="167" t="s">
        <v>2689</v>
      </c>
      <c r="AC3562" s="167">
        <v>335</v>
      </c>
      <c r="AD3562" s="203">
        <v>43133</v>
      </c>
      <c r="AE3562" s="203">
        <v>43147</v>
      </c>
      <c r="AF3562" s="167" t="s">
        <v>3470</v>
      </c>
    </row>
    <row r="3563" spans="28:32" x14ac:dyDescent="0.25">
      <c r="AB3563" s="167" t="s">
        <v>2689</v>
      </c>
      <c r="AC3563" s="167">
        <v>353</v>
      </c>
      <c r="AD3563" s="203">
        <v>43180</v>
      </c>
      <c r="AE3563" s="203">
        <v>0</v>
      </c>
      <c r="AF3563" s="167" t="s">
        <v>3469</v>
      </c>
    </row>
    <row r="3564" spans="28:32" x14ac:dyDescent="0.25">
      <c r="AB3564" s="167" t="s">
        <v>2691</v>
      </c>
      <c r="AC3564" s="167">
        <v>347</v>
      </c>
      <c r="AD3564" s="203">
        <v>43118</v>
      </c>
      <c r="AE3564" s="203">
        <v>43133</v>
      </c>
      <c r="AF3564" s="167" t="s">
        <v>3470</v>
      </c>
    </row>
    <row r="3565" spans="28:32" x14ac:dyDescent="0.25">
      <c r="AB3565" s="167" t="s">
        <v>2691</v>
      </c>
      <c r="AC3565" s="167">
        <v>340</v>
      </c>
      <c r="AD3565" s="203">
        <v>43133</v>
      </c>
      <c r="AE3565" s="203">
        <v>43168</v>
      </c>
      <c r="AF3565" s="167" t="s">
        <v>3470</v>
      </c>
    </row>
    <row r="3566" spans="28:32" x14ac:dyDescent="0.25">
      <c r="AB3566" s="167" t="s">
        <v>2691</v>
      </c>
      <c r="AC3566" s="167">
        <v>353</v>
      </c>
      <c r="AD3566" s="203">
        <v>43180</v>
      </c>
      <c r="AE3566" s="203">
        <v>0</v>
      </c>
      <c r="AF3566" s="167" t="s">
        <v>3469</v>
      </c>
    </row>
    <row r="3567" spans="28:32" x14ac:dyDescent="0.25">
      <c r="AB3567" s="167" t="s">
        <v>2692</v>
      </c>
      <c r="AC3567" s="167">
        <v>327</v>
      </c>
      <c r="AD3567" s="203">
        <v>43074</v>
      </c>
      <c r="AE3567" s="203">
        <v>43131</v>
      </c>
      <c r="AF3567" s="167" t="s">
        <v>3470</v>
      </c>
    </row>
    <row r="3568" spans="28:32" x14ac:dyDescent="0.25">
      <c r="AB3568" s="167" t="s">
        <v>2692</v>
      </c>
      <c r="AC3568" s="167">
        <v>327</v>
      </c>
      <c r="AD3568" s="203">
        <v>43074</v>
      </c>
      <c r="AE3568" s="203">
        <v>43131</v>
      </c>
      <c r="AF3568" s="167" t="s">
        <v>3470</v>
      </c>
    </row>
    <row r="3569" spans="28:32" x14ac:dyDescent="0.25">
      <c r="AB3569" s="167" t="s">
        <v>2692</v>
      </c>
      <c r="AC3569" s="167">
        <v>327</v>
      </c>
      <c r="AD3569" s="203">
        <v>43074</v>
      </c>
      <c r="AE3569" s="203">
        <v>43131</v>
      </c>
      <c r="AF3569" s="167" t="s">
        <v>3470</v>
      </c>
    </row>
    <row r="3570" spans="28:32" x14ac:dyDescent="0.25">
      <c r="AB3570" s="167" t="s">
        <v>2692</v>
      </c>
      <c r="AC3570" s="167">
        <v>327</v>
      </c>
      <c r="AD3570" s="203">
        <v>43074</v>
      </c>
      <c r="AE3570" s="203">
        <v>43131</v>
      </c>
      <c r="AF3570" s="167" t="s">
        <v>3470</v>
      </c>
    </row>
    <row r="3571" spans="28:32" x14ac:dyDescent="0.25">
      <c r="AB3571" s="167" t="s">
        <v>2692</v>
      </c>
      <c r="AC3571" s="167">
        <v>327</v>
      </c>
      <c r="AD3571" s="203">
        <v>43074</v>
      </c>
      <c r="AE3571" s="203">
        <v>43131</v>
      </c>
      <c r="AF3571" s="167" t="s">
        <v>3470</v>
      </c>
    </row>
    <row r="3572" spans="28:32" x14ac:dyDescent="0.25">
      <c r="AB3572" s="167" t="s">
        <v>2692</v>
      </c>
      <c r="AC3572" s="167">
        <v>327</v>
      </c>
      <c r="AD3572" s="203">
        <v>43074</v>
      </c>
      <c r="AE3572" s="203">
        <v>43131</v>
      </c>
      <c r="AF3572" s="167" t="s">
        <v>3470</v>
      </c>
    </row>
    <row r="3573" spans="28:32" x14ac:dyDescent="0.25">
      <c r="AB3573" s="167" t="s">
        <v>2692</v>
      </c>
      <c r="AC3573" s="167">
        <v>347</v>
      </c>
      <c r="AD3573" s="203">
        <v>43118</v>
      </c>
      <c r="AE3573" s="203">
        <v>43133</v>
      </c>
      <c r="AF3573" s="167" t="s">
        <v>3470</v>
      </c>
    </row>
    <row r="3574" spans="28:32" x14ac:dyDescent="0.25">
      <c r="AB3574" s="167" t="s">
        <v>2692</v>
      </c>
      <c r="AC3574" s="167">
        <v>364</v>
      </c>
      <c r="AD3574" s="203">
        <v>43168</v>
      </c>
      <c r="AE3574" s="203">
        <v>43179</v>
      </c>
      <c r="AF3574" s="167" t="s">
        <v>3470</v>
      </c>
    </row>
    <row r="3575" spans="28:32" x14ac:dyDescent="0.25">
      <c r="AB3575" s="167" t="s">
        <v>2692</v>
      </c>
      <c r="AC3575" s="167">
        <v>353</v>
      </c>
      <c r="AD3575" s="203">
        <v>43180</v>
      </c>
      <c r="AE3575" s="203">
        <v>0</v>
      </c>
      <c r="AF3575" s="167" t="s">
        <v>3469</v>
      </c>
    </row>
    <row r="3576" spans="28:32" x14ac:dyDescent="0.25">
      <c r="AB3576" s="167" t="s">
        <v>3511</v>
      </c>
      <c r="AC3576" s="167">
        <v>364</v>
      </c>
      <c r="AD3576" s="203">
        <v>43168</v>
      </c>
      <c r="AE3576" s="203">
        <v>43179</v>
      </c>
      <c r="AF3576" s="167" t="s">
        <v>3470</v>
      </c>
    </row>
    <row r="3577" spans="28:32" x14ac:dyDescent="0.25">
      <c r="AB3577" s="167" t="s">
        <v>2693</v>
      </c>
      <c r="AC3577" s="167">
        <v>323</v>
      </c>
      <c r="AD3577" s="203">
        <v>43074</v>
      </c>
      <c r="AE3577" s="203">
        <v>43111</v>
      </c>
      <c r="AF3577" s="167" t="s">
        <v>3470</v>
      </c>
    </row>
    <row r="3578" spans="28:32" x14ac:dyDescent="0.25">
      <c r="AB3578" s="167" t="s">
        <v>2695</v>
      </c>
      <c r="AC3578" s="167">
        <v>353</v>
      </c>
      <c r="AD3578" s="203">
        <v>43180</v>
      </c>
      <c r="AE3578" s="203">
        <v>0</v>
      </c>
      <c r="AF3578" s="167" t="s">
        <v>3469</v>
      </c>
    </row>
    <row r="3579" spans="28:32" x14ac:dyDescent="0.25">
      <c r="AB3579" s="167" t="s">
        <v>3431</v>
      </c>
      <c r="AC3579" s="167">
        <v>353</v>
      </c>
      <c r="AD3579" s="203">
        <v>43180</v>
      </c>
      <c r="AE3579" s="203">
        <v>0</v>
      </c>
      <c r="AF3579" s="167" t="s">
        <v>3469</v>
      </c>
    </row>
    <row r="3580" spans="28:32" x14ac:dyDescent="0.25">
      <c r="AB3580" s="167" t="s">
        <v>3460</v>
      </c>
      <c r="AC3580" s="167">
        <v>374</v>
      </c>
      <c r="AD3580" s="203">
        <v>43195</v>
      </c>
      <c r="AE3580" s="203">
        <v>0</v>
      </c>
      <c r="AF3580" s="167" t="s">
        <v>3469</v>
      </c>
    </row>
    <row r="3581" spans="28:32" x14ac:dyDescent="0.25">
      <c r="AB3581" s="167" t="s">
        <v>2697</v>
      </c>
      <c r="AC3581" s="167">
        <v>327</v>
      </c>
      <c r="AD3581" s="203">
        <v>43074</v>
      </c>
      <c r="AE3581" s="203">
        <v>43131</v>
      </c>
      <c r="AF3581" s="167" t="s">
        <v>3470</v>
      </c>
    </row>
    <row r="3582" spans="28:32" x14ac:dyDescent="0.25">
      <c r="AB3582" s="167" t="s">
        <v>2697</v>
      </c>
      <c r="AC3582" s="167">
        <v>347</v>
      </c>
      <c r="AD3582" s="203">
        <v>43118</v>
      </c>
      <c r="AE3582" s="203">
        <v>43133</v>
      </c>
      <c r="AF3582" s="167" t="s">
        <v>3470</v>
      </c>
    </row>
    <row r="3583" spans="28:32" x14ac:dyDescent="0.25">
      <c r="AB3583" s="167" t="s">
        <v>2697</v>
      </c>
      <c r="AC3583" s="167">
        <v>340</v>
      </c>
      <c r="AD3583" s="203">
        <v>43133</v>
      </c>
      <c r="AE3583" s="203">
        <v>43168</v>
      </c>
      <c r="AF3583" s="167" t="s">
        <v>3470</v>
      </c>
    </row>
    <row r="3584" spans="28:32" x14ac:dyDescent="0.25">
      <c r="AB3584" s="167" t="s">
        <v>2697</v>
      </c>
      <c r="AC3584" s="167">
        <v>353</v>
      </c>
      <c r="AD3584" s="203">
        <v>43180</v>
      </c>
      <c r="AE3584" s="203">
        <v>0</v>
      </c>
      <c r="AF3584" s="167" t="s">
        <v>3469</v>
      </c>
    </row>
    <row r="3585" spans="28:32" x14ac:dyDescent="0.25">
      <c r="AB3585" s="167" t="s">
        <v>2698</v>
      </c>
      <c r="AC3585" s="167">
        <v>327</v>
      </c>
      <c r="AD3585" s="203">
        <v>43074</v>
      </c>
      <c r="AE3585" s="203">
        <v>43131</v>
      </c>
      <c r="AF3585" s="167" t="s">
        <v>3470</v>
      </c>
    </row>
    <row r="3586" spans="28:32" x14ac:dyDescent="0.25">
      <c r="AB3586" s="167" t="s">
        <v>2699</v>
      </c>
      <c r="AC3586" s="167">
        <v>323</v>
      </c>
      <c r="AD3586" s="203">
        <v>43074</v>
      </c>
      <c r="AE3586" s="203">
        <v>43111</v>
      </c>
      <c r="AF3586" s="167" t="s">
        <v>3470</v>
      </c>
    </row>
    <row r="3587" spans="28:32" x14ac:dyDescent="0.25">
      <c r="AB3587" s="167" t="s">
        <v>2701</v>
      </c>
      <c r="AC3587" s="167">
        <v>323</v>
      </c>
      <c r="AD3587" s="203">
        <v>43074</v>
      </c>
      <c r="AE3587" s="203">
        <v>43111</v>
      </c>
      <c r="AF3587" s="167" t="s">
        <v>3470</v>
      </c>
    </row>
    <row r="3588" spans="28:32" x14ac:dyDescent="0.25">
      <c r="AB3588" s="167" t="s">
        <v>2701</v>
      </c>
      <c r="AC3588" s="167">
        <v>327</v>
      </c>
      <c r="AD3588" s="203">
        <v>43074</v>
      </c>
      <c r="AE3588" s="203">
        <v>43131</v>
      </c>
      <c r="AF3588" s="167" t="s">
        <v>3470</v>
      </c>
    </row>
    <row r="3589" spans="28:32" x14ac:dyDescent="0.25">
      <c r="AB3589" s="167" t="s">
        <v>2701</v>
      </c>
      <c r="AC3589" s="167">
        <v>347</v>
      </c>
      <c r="AD3589" s="203">
        <v>43118</v>
      </c>
      <c r="AE3589" s="203">
        <v>43133</v>
      </c>
      <c r="AF3589" s="167" t="s">
        <v>3470</v>
      </c>
    </row>
    <row r="3590" spans="28:32" x14ac:dyDescent="0.25">
      <c r="AB3590" s="167" t="s">
        <v>2701</v>
      </c>
      <c r="AC3590" s="167">
        <v>335</v>
      </c>
      <c r="AD3590" s="203">
        <v>43133</v>
      </c>
      <c r="AE3590" s="203">
        <v>43147</v>
      </c>
      <c r="AF3590" s="167" t="s">
        <v>3470</v>
      </c>
    </row>
    <row r="3591" spans="28:32" x14ac:dyDescent="0.25">
      <c r="AB3591" s="167" t="s">
        <v>2701</v>
      </c>
      <c r="AC3591" s="167">
        <v>340</v>
      </c>
      <c r="AD3591" s="203">
        <v>43133</v>
      </c>
      <c r="AE3591" s="203">
        <v>43168</v>
      </c>
      <c r="AF3591" s="167" t="s">
        <v>3470</v>
      </c>
    </row>
    <row r="3592" spans="28:32" x14ac:dyDescent="0.25">
      <c r="AB3592" s="167" t="s">
        <v>2701</v>
      </c>
      <c r="AC3592" s="167">
        <v>374</v>
      </c>
      <c r="AD3592" s="203">
        <v>43195</v>
      </c>
      <c r="AE3592" s="203">
        <v>0</v>
      </c>
      <c r="AF3592" s="167" t="s">
        <v>3469</v>
      </c>
    </row>
    <row r="3593" spans="28:32" x14ac:dyDescent="0.25">
      <c r="AB3593" s="167" t="s">
        <v>2703</v>
      </c>
      <c r="AC3593" s="167">
        <v>323</v>
      </c>
      <c r="AD3593" s="203">
        <v>43074</v>
      </c>
      <c r="AE3593" s="203">
        <v>43111</v>
      </c>
      <c r="AF3593" s="167" t="s">
        <v>3470</v>
      </c>
    </row>
    <row r="3594" spans="28:32" x14ac:dyDescent="0.25">
      <c r="AB3594" s="167" t="s">
        <v>2703</v>
      </c>
      <c r="AC3594" s="167">
        <v>327</v>
      </c>
      <c r="AD3594" s="203">
        <v>43074</v>
      </c>
      <c r="AE3594" s="203">
        <v>43131</v>
      </c>
      <c r="AF3594" s="167" t="s">
        <v>3470</v>
      </c>
    </row>
    <row r="3595" spans="28:32" x14ac:dyDescent="0.25">
      <c r="AB3595" s="167" t="s">
        <v>2703</v>
      </c>
      <c r="AC3595" s="167">
        <v>327</v>
      </c>
      <c r="AD3595" s="203">
        <v>43074</v>
      </c>
      <c r="AE3595" s="203">
        <v>43131</v>
      </c>
      <c r="AF3595" s="167" t="s">
        <v>3470</v>
      </c>
    </row>
    <row r="3596" spans="28:32" x14ac:dyDescent="0.25">
      <c r="AB3596" s="167" t="s">
        <v>2703</v>
      </c>
      <c r="AC3596" s="167">
        <v>335</v>
      </c>
      <c r="AD3596" s="203">
        <v>43133</v>
      </c>
      <c r="AE3596" s="203">
        <v>43147</v>
      </c>
      <c r="AF3596" s="167" t="s">
        <v>3470</v>
      </c>
    </row>
    <row r="3597" spans="28:32" x14ac:dyDescent="0.25">
      <c r="AB3597" s="167" t="s">
        <v>2703</v>
      </c>
      <c r="AC3597" s="167">
        <v>364</v>
      </c>
      <c r="AD3597" s="203">
        <v>43168</v>
      </c>
      <c r="AE3597" s="203">
        <v>43179</v>
      </c>
      <c r="AF3597" s="167" t="s">
        <v>3470</v>
      </c>
    </row>
    <row r="3598" spans="28:32" x14ac:dyDescent="0.25">
      <c r="AB3598" s="167" t="s">
        <v>2703</v>
      </c>
      <c r="AC3598" s="167">
        <v>353</v>
      </c>
      <c r="AD3598" s="203">
        <v>43180</v>
      </c>
      <c r="AE3598" s="203">
        <v>0</v>
      </c>
      <c r="AF3598" s="167" t="s">
        <v>3469</v>
      </c>
    </row>
    <row r="3599" spans="28:32" x14ac:dyDescent="0.25">
      <c r="AB3599" s="167" t="s">
        <v>2703</v>
      </c>
      <c r="AC3599" s="167">
        <v>353</v>
      </c>
      <c r="AD3599" s="203">
        <v>43180</v>
      </c>
      <c r="AE3599" s="203">
        <v>0</v>
      </c>
      <c r="AF3599" s="167" t="s">
        <v>3469</v>
      </c>
    </row>
    <row r="3600" spans="28:32" x14ac:dyDescent="0.25">
      <c r="AB3600" s="167" t="s">
        <v>2703</v>
      </c>
      <c r="AC3600" s="167">
        <v>353</v>
      </c>
      <c r="AD3600" s="203">
        <v>43180</v>
      </c>
      <c r="AE3600" s="203">
        <v>0</v>
      </c>
      <c r="AF3600" s="167" t="s">
        <v>3469</v>
      </c>
    </row>
    <row r="3601" spans="28:32" x14ac:dyDescent="0.25">
      <c r="AB3601" s="167" t="s">
        <v>2703</v>
      </c>
      <c r="AC3601" s="167">
        <v>353</v>
      </c>
      <c r="AD3601" s="203">
        <v>43180</v>
      </c>
      <c r="AE3601" s="203">
        <v>0</v>
      </c>
      <c r="AF3601" s="167" t="s">
        <v>3469</v>
      </c>
    </row>
    <row r="3602" spans="28:32" x14ac:dyDescent="0.25">
      <c r="AB3602" s="167" t="s">
        <v>2705</v>
      </c>
      <c r="AC3602" s="167">
        <v>357</v>
      </c>
      <c r="AD3602" s="203">
        <v>43139</v>
      </c>
      <c r="AE3602" s="203">
        <v>43164</v>
      </c>
      <c r="AF3602" s="167" t="s">
        <v>3470</v>
      </c>
    </row>
    <row r="3603" spans="28:32" x14ac:dyDescent="0.25">
      <c r="AB3603" s="167" t="s">
        <v>2705</v>
      </c>
      <c r="AC3603" s="167">
        <v>353</v>
      </c>
      <c r="AD3603" s="203">
        <v>43180</v>
      </c>
      <c r="AE3603" s="203">
        <v>0</v>
      </c>
      <c r="AF3603" s="167" t="s">
        <v>3469</v>
      </c>
    </row>
    <row r="3604" spans="28:32" x14ac:dyDescent="0.25">
      <c r="AB3604" s="167" t="s">
        <v>2707</v>
      </c>
      <c r="AC3604" s="167">
        <v>323</v>
      </c>
      <c r="AD3604" s="203">
        <v>43074</v>
      </c>
      <c r="AE3604" s="203">
        <v>43111</v>
      </c>
      <c r="AF3604" s="167" t="s">
        <v>3470</v>
      </c>
    </row>
    <row r="3605" spans="28:32" x14ac:dyDescent="0.25">
      <c r="AB3605" s="167" t="s">
        <v>2707</v>
      </c>
      <c r="AC3605" s="167">
        <v>335</v>
      </c>
      <c r="AD3605" s="203">
        <v>43133</v>
      </c>
      <c r="AE3605" s="203">
        <v>43147</v>
      </c>
      <c r="AF3605" s="167" t="s">
        <v>3470</v>
      </c>
    </row>
    <row r="3606" spans="28:32" x14ac:dyDescent="0.25">
      <c r="AB3606" s="167" t="s">
        <v>2707</v>
      </c>
      <c r="AC3606" s="167">
        <v>340</v>
      </c>
      <c r="AD3606" s="203">
        <v>43133</v>
      </c>
      <c r="AE3606" s="203">
        <v>43168</v>
      </c>
      <c r="AF3606" s="167" t="s">
        <v>3470</v>
      </c>
    </row>
    <row r="3607" spans="28:32" x14ac:dyDescent="0.25">
      <c r="AB3607" s="167" t="s">
        <v>2707</v>
      </c>
      <c r="AC3607" s="167">
        <v>357</v>
      </c>
      <c r="AD3607" s="203">
        <v>43139</v>
      </c>
      <c r="AE3607" s="203">
        <v>43164</v>
      </c>
      <c r="AF3607" s="167" t="s">
        <v>3470</v>
      </c>
    </row>
    <row r="3608" spans="28:32" x14ac:dyDescent="0.25">
      <c r="AB3608" s="167" t="s">
        <v>2707</v>
      </c>
      <c r="AC3608" s="167">
        <v>353</v>
      </c>
      <c r="AD3608" s="203">
        <v>43180</v>
      </c>
      <c r="AE3608" s="203">
        <v>0</v>
      </c>
      <c r="AF3608" s="167" t="s">
        <v>3469</v>
      </c>
    </row>
    <row r="3609" spans="28:32" x14ac:dyDescent="0.25">
      <c r="AB3609" s="167" t="s">
        <v>2707</v>
      </c>
      <c r="AC3609" s="167">
        <v>353</v>
      </c>
      <c r="AD3609" s="203">
        <v>43180</v>
      </c>
      <c r="AE3609" s="203">
        <v>0</v>
      </c>
      <c r="AF3609" s="167" t="s">
        <v>3469</v>
      </c>
    </row>
    <row r="3610" spans="28:32" x14ac:dyDescent="0.25">
      <c r="AB3610" s="167" t="s">
        <v>2708</v>
      </c>
      <c r="AC3610" s="167">
        <v>347</v>
      </c>
      <c r="AD3610" s="203">
        <v>43118</v>
      </c>
      <c r="AE3610" s="203">
        <v>43133</v>
      </c>
      <c r="AF3610" s="167" t="s">
        <v>3470</v>
      </c>
    </row>
    <row r="3611" spans="28:32" x14ac:dyDescent="0.25">
      <c r="AB3611" s="167" t="s">
        <v>2708</v>
      </c>
      <c r="AC3611" s="167">
        <v>340</v>
      </c>
      <c r="AD3611" s="203">
        <v>43133</v>
      </c>
      <c r="AE3611" s="203">
        <v>43168</v>
      </c>
      <c r="AF3611" s="167" t="s">
        <v>3470</v>
      </c>
    </row>
    <row r="3612" spans="28:32" x14ac:dyDescent="0.25">
      <c r="AB3612" s="167" t="s">
        <v>2709</v>
      </c>
      <c r="AC3612" s="167">
        <v>323</v>
      </c>
      <c r="AD3612" s="203">
        <v>43074</v>
      </c>
      <c r="AE3612" s="203">
        <v>43111</v>
      </c>
      <c r="AF3612" s="167" t="s">
        <v>3470</v>
      </c>
    </row>
    <row r="3613" spans="28:32" x14ac:dyDescent="0.25">
      <c r="AB3613" s="167" t="s">
        <v>2709</v>
      </c>
      <c r="AC3613" s="167">
        <v>347</v>
      </c>
      <c r="AD3613" s="203">
        <v>43118</v>
      </c>
      <c r="AE3613" s="203">
        <v>43133</v>
      </c>
      <c r="AF3613" s="167" t="s">
        <v>3470</v>
      </c>
    </row>
    <row r="3614" spans="28:32" x14ac:dyDescent="0.25">
      <c r="AB3614" s="167" t="s">
        <v>2709</v>
      </c>
      <c r="AC3614" s="167">
        <v>340</v>
      </c>
      <c r="AD3614" s="203">
        <v>43133</v>
      </c>
      <c r="AE3614" s="203">
        <v>43168</v>
      </c>
      <c r="AF3614" s="167" t="s">
        <v>3470</v>
      </c>
    </row>
    <row r="3615" spans="28:32" x14ac:dyDescent="0.25">
      <c r="AB3615" s="167" t="s">
        <v>2709</v>
      </c>
      <c r="AC3615" s="167">
        <v>357</v>
      </c>
      <c r="AD3615" s="203">
        <v>43139</v>
      </c>
      <c r="AE3615" s="203">
        <v>43164</v>
      </c>
      <c r="AF3615" s="167" t="s">
        <v>3470</v>
      </c>
    </row>
    <row r="3616" spans="28:32" x14ac:dyDescent="0.25">
      <c r="AB3616" s="167" t="s">
        <v>2709</v>
      </c>
      <c r="AC3616" s="167">
        <v>353</v>
      </c>
      <c r="AD3616" s="203">
        <v>43180</v>
      </c>
      <c r="AE3616" s="203">
        <v>0</v>
      </c>
      <c r="AF3616" s="167" t="s">
        <v>3469</v>
      </c>
    </row>
    <row r="3617" spans="28:32" x14ac:dyDescent="0.25">
      <c r="AB3617" s="167" t="s">
        <v>2709</v>
      </c>
      <c r="AC3617" s="167">
        <v>353</v>
      </c>
      <c r="AD3617" s="203">
        <v>43180</v>
      </c>
      <c r="AE3617" s="203">
        <v>0</v>
      </c>
      <c r="AF3617" s="167" t="s">
        <v>3469</v>
      </c>
    </row>
    <row r="3618" spans="28:32" x14ac:dyDescent="0.25">
      <c r="AB3618" s="167" t="s">
        <v>2710</v>
      </c>
      <c r="AC3618" s="167">
        <v>323</v>
      </c>
      <c r="AD3618" s="203">
        <v>43074</v>
      </c>
      <c r="AE3618" s="203">
        <v>43111</v>
      </c>
      <c r="AF3618" s="167" t="s">
        <v>3470</v>
      </c>
    </row>
    <row r="3619" spans="28:32" x14ac:dyDescent="0.25">
      <c r="AB3619" s="167" t="s">
        <v>2710</v>
      </c>
      <c r="AC3619" s="167">
        <v>347</v>
      </c>
      <c r="AD3619" s="203">
        <v>43118</v>
      </c>
      <c r="AE3619" s="203">
        <v>43133</v>
      </c>
      <c r="AF3619" s="167" t="s">
        <v>3470</v>
      </c>
    </row>
    <row r="3620" spans="28:32" x14ac:dyDescent="0.25">
      <c r="AB3620" s="167" t="s">
        <v>2710</v>
      </c>
      <c r="AC3620" s="167">
        <v>340</v>
      </c>
      <c r="AD3620" s="203">
        <v>43133</v>
      </c>
      <c r="AE3620" s="203">
        <v>43168</v>
      </c>
      <c r="AF3620" s="167" t="s">
        <v>3470</v>
      </c>
    </row>
    <row r="3621" spans="28:32" x14ac:dyDescent="0.25">
      <c r="AB3621" s="167" t="s">
        <v>2710</v>
      </c>
      <c r="AC3621" s="167">
        <v>357</v>
      </c>
      <c r="AD3621" s="203">
        <v>43139</v>
      </c>
      <c r="AE3621" s="203">
        <v>43164</v>
      </c>
      <c r="AF3621" s="167" t="s">
        <v>3470</v>
      </c>
    </row>
    <row r="3622" spans="28:32" x14ac:dyDescent="0.25">
      <c r="AB3622" s="167" t="s">
        <v>2710</v>
      </c>
      <c r="AC3622" s="167">
        <v>364</v>
      </c>
      <c r="AD3622" s="203">
        <v>43168</v>
      </c>
      <c r="AE3622" s="203">
        <v>43179</v>
      </c>
      <c r="AF3622" s="167" t="s">
        <v>3470</v>
      </c>
    </row>
    <row r="3623" spans="28:32" x14ac:dyDescent="0.25">
      <c r="AB3623" s="167" t="s">
        <v>2710</v>
      </c>
      <c r="AC3623" s="167">
        <v>353</v>
      </c>
      <c r="AD3623" s="203">
        <v>43180</v>
      </c>
      <c r="AE3623" s="203">
        <v>0</v>
      </c>
      <c r="AF3623" s="167" t="s">
        <v>3469</v>
      </c>
    </row>
    <row r="3624" spans="28:32" x14ac:dyDescent="0.25">
      <c r="AB3624" s="167" t="s">
        <v>2710</v>
      </c>
      <c r="AC3624" s="167">
        <v>353</v>
      </c>
      <c r="AD3624" s="203">
        <v>43180</v>
      </c>
      <c r="AE3624" s="203">
        <v>0</v>
      </c>
      <c r="AF3624" s="167" t="s">
        <v>3469</v>
      </c>
    </row>
    <row r="3625" spans="28:32" x14ac:dyDescent="0.25">
      <c r="AB3625" s="167" t="s">
        <v>2710</v>
      </c>
      <c r="AC3625" s="167">
        <v>353</v>
      </c>
      <c r="AD3625" s="203">
        <v>43180</v>
      </c>
      <c r="AE3625" s="203">
        <v>0</v>
      </c>
      <c r="AF3625" s="167" t="s">
        <v>3469</v>
      </c>
    </row>
    <row r="3626" spans="28:32" x14ac:dyDescent="0.25">
      <c r="AB3626" s="167" t="s">
        <v>3432</v>
      </c>
      <c r="AC3626" s="167">
        <v>364</v>
      </c>
      <c r="AD3626" s="203">
        <v>43168</v>
      </c>
      <c r="AE3626" s="203">
        <v>43179</v>
      </c>
      <c r="AF3626" s="167" t="s">
        <v>3470</v>
      </c>
    </row>
    <row r="3627" spans="28:32" x14ac:dyDescent="0.25">
      <c r="AB3627" s="167" t="s">
        <v>3432</v>
      </c>
      <c r="AC3627" s="167">
        <v>353</v>
      </c>
      <c r="AD3627" s="203">
        <v>43180</v>
      </c>
      <c r="AE3627" s="203">
        <v>0</v>
      </c>
      <c r="AF3627" s="167" t="s">
        <v>3469</v>
      </c>
    </row>
    <row r="3628" spans="28:32" x14ac:dyDescent="0.25">
      <c r="AB3628" s="167" t="s">
        <v>2712</v>
      </c>
      <c r="AC3628" s="167">
        <v>364</v>
      </c>
      <c r="AD3628" s="203">
        <v>43168</v>
      </c>
      <c r="AE3628" s="203">
        <v>43179</v>
      </c>
      <c r="AF3628" s="167" t="s">
        <v>3470</v>
      </c>
    </row>
    <row r="3629" spans="28:32" x14ac:dyDescent="0.25">
      <c r="AB3629" s="167" t="s">
        <v>2712</v>
      </c>
      <c r="AC3629" s="167">
        <v>353</v>
      </c>
      <c r="AD3629" s="203">
        <v>43180</v>
      </c>
      <c r="AE3629" s="203">
        <v>0</v>
      </c>
      <c r="AF3629" s="167" t="s">
        <v>3469</v>
      </c>
    </row>
    <row r="3630" spans="28:32" x14ac:dyDescent="0.25">
      <c r="AB3630" s="167" t="s">
        <v>2713</v>
      </c>
      <c r="AC3630" s="167">
        <v>323</v>
      </c>
      <c r="AD3630" s="203">
        <v>43074</v>
      </c>
      <c r="AE3630" s="203">
        <v>43111</v>
      </c>
      <c r="AF3630" s="167" t="s">
        <v>3470</v>
      </c>
    </row>
    <row r="3631" spans="28:32" x14ac:dyDescent="0.25">
      <c r="AB3631" s="167" t="s">
        <v>2713</v>
      </c>
      <c r="AC3631" s="167">
        <v>347</v>
      </c>
      <c r="AD3631" s="203">
        <v>43118</v>
      </c>
      <c r="AE3631" s="203">
        <v>43133</v>
      </c>
      <c r="AF3631" s="167" t="s">
        <v>3470</v>
      </c>
    </row>
    <row r="3632" spans="28:32" x14ac:dyDescent="0.25">
      <c r="AB3632" s="167" t="s">
        <v>2713</v>
      </c>
      <c r="AC3632" s="167">
        <v>340</v>
      </c>
      <c r="AD3632" s="203">
        <v>43133</v>
      </c>
      <c r="AE3632" s="203">
        <v>43168</v>
      </c>
      <c r="AF3632" s="167" t="s">
        <v>3470</v>
      </c>
    </row>
    <row r="3633" spans="28:32" x14ac:dyDescent="0.25">
      <c r="AB3633" s="167" t="s">
        <v>2713</v>
      </c>
      <c r="AC3633" s="167">
        <v>340</v>
      </c>
      <c r="AD3633" s="203">
        <v>43133</v>
      </c>
      <c r="AE3633" s="203">
        <v>43168</v>
      </c>
      <c r="AF3633" s="167" t="s">
        <v>3470</v>
      </c>
    </row>
    <row r="3634" spans="28:32" x14ac:dyDescent="0.25">
      <c r="AB3634" s="167" t="s">
        <v>2713</v>
      </c>
      <c r="AC3634" s="167">
        <v>357</v>
      </c>
      <c r="AD3634" s="203">
        <v>43139</v>
      </c>
      <c r="AE3634" s="203">
        <v>43164</v>
      </c>
      <c r="AF3634" s="167" t="s">
        <v>3470</v>
      </c>
    </row>
    <row r="3635" spans="28:32" x14ac:dyDescent="0.25">
      <c r="AB3635" s="167" t="s">
        <v>2713</v>
      </c>
      <c r="AC3635" s="167">
        <v>353</v>
      </c>
      <c r="AD3635" s="203">
        <v>43180</v>
      </c>
      <c r="AE3635" s="203">
        <v>0</v>
      </c>
      <c r="AF3635" s="167" t="s">
        <v>3469</v>
      </c>
    </row>
    <row r="3636" spans="28:32" x14ac:dyDescent="0.25">
      <c r="AB3636" s="167" t="s">
        <v>2715</v>
      </c>
      <c r="AC3636" s="167">
        <v>327</v>
      </c>
      <c r="AD3636" s="203">
        <v>43074</v>
      </c>
      <c r="AE3636" s="203">
        <v>43131</v>
      </c>
      <c r="AF3636" s="167" t="s">
        <v>3470</v>
      </c>
    </row>
    <row r="3637" spans="28:32" x14ac:dyDescent="0.25">
      <c r="AB3637" s="167" t="s">
        <v>2715</v>
      </c>
      <c r="AC3637" s="167">
        <v>327</v>
      </c>
      <c r="AD3637" s="203">
        <v>43074</v>
      </c>
      <c r="AE3637" s="203">
        <v>43131</v>
      </c>
      <c r="AF3637" s="167" t="s">
        <v>3470</v>
      </c>
    </row>
    <row r="3638" spans="28:32" x14ac:dyDescent="0.25">
      <c r="AB3638" s="167" t="s">
        <v>2715</v>
      </c>
      <c r="AC3638" s="167">
        <v>327</v>
      </c>
      <c r="AD3638" s="203">
        <v>43074</v>
      </c>
      <c r="AE3638" s="203">
        <v>43131</v>
      </c>
      <c r="AF3638" s="167" t="s">
        <v>3470</v>
      </c>
    </row>
    <row r="3639" spans="28:32" x14ac:dyDescent="0.25">
      <c r="AB3639" s="167" t="s">
        <v>2715</v>
      </c>
      <c r="AC3639" s="167">
        <v>340</v>
      </c>
      <c r="AD3639" s="203">
        <v>43133</v>
      </c>
      <c r="AE3639" s="203">
        <v>43168</v>
      </c>
      <c r="AF3639" s="167" t="s">
        <v>3470</v>
      </c>
    </row>
    <row r="3640" spans="28:32" x14ac:dyDescent="0.25">
      <c r="AB3640" s="167" t="s">
        <v>2715</v>
      </c>
      <c r="AC3640" s="167">
        <v>357</v>
      </c>
      <c r="AD3640" s="203">
        <v>43139</v>
      </c>
      <c r="AE3640" s="203">
        <v>43164</v>
      </c>
      <c r="AF3640" s="167" t="s">
        <v>3470</v>
      </c>
    </row>
    <row r="3641" spans="28:32" x14ac:dyDescent="0.25">
      <c r="AB3641" s="167" t="s">
        <v>2715</v>
      </c>
      <c r="AC3641" s="167">
        <v>353</v>
      </c>
      <c r="AD3641" s="203">
        <v>43180</v>
      </c>
      <c r="AE3641" s="203">
        <v>0</v>
      </c>
      <c r="AF3641" s="167" t="s">
        <v>3469</v>
      </c>
    </row>
    <row r="3642" spans="28:32" x14ac:dyDescent="0.25">
      <c r="AB3642" s="167" t="s">
        <v>2715</v>
      </c>
      <c r="AC3642" s="167">
        <v>353</v>
      </c>
      <c r="AD3642" s="203">
        <v>43180</v>
      </c>
      <c r="AE3642" s="203">
        <v>0</v>
      </c>
      <c r="AF3642" s="167" t="s">
        <v>3469</v>
      </c>
    </row>
    <row r="3643" spans="28:32" x14ac:dyDescent="0.25">
      <c r="AB3643" s="167" t="s">
        <v>2715</v>
      </c>
      <c r="AC3643" s="167">
        <v>353</v>
      </c>
      <c r="AD3643" s="203">
        <v>43180</v>
      </c>
      <c r="AE3643" s="203">
        <v>0</v>
      </c>
      <c r="AF3643" s="167" t="s">
        <v>3469</v>
      </c>
    </row>
    <row r="3644" spans="28:32" x14ac:dyDescent="0.25">
      <c r="AB3644" s="167" t="s">
        <v>2715</v>
      </c>
      <c r="AC3644" s="167">
        <v>353</v>
      </c>
      <c r="AD3644" s="203">
        <v>43180</v>
      </c>
      <c r="AE3644" s="203">
        <v>0</v>
      </c>
      <c r="AF3644" s="167" t="s">
        <v>3469</v>
      </c>
    </row>
    <row r="3645" spans="28:32" x14ac:dyDescent="0.25">
      <c r="AB3645" s="167" t="s">
        <v>2716</v>
      </c>
      <c r="AC3645" s="167">
        <v>328</v>
      </c>
      <c r="AD3645" s="203">
        <v>43089</v>
      </c>
      <c r="AE3645" s="203">
        <v>43122</v>
      </c>
      <c r="AF3645" s="167" t="s">
        <v>3470</v>
      </c>
    </row>
    <row r="3646" spans="28:32" x14ac:dyDescent="0.25">
      <c r="AB3646" s="167" t="s">
        <v>3433</v>
      </c>
      <c r="AC3646" s="167">
        <v>347</v>
      </c>
      <c r="AD3646" s="203">
        <v>43118</v>
      </c>
      <c r="AE3646" s="203">
        <v>43133</v>
      </c>
      <c r="AF3646" s="167" t="s">
        <v>3470</v>
      </c>
    </row>
    <row r="3647" spans="28:32" x14ac:dyDescent="0.25">
      <c r="AB3647" s="167" t="s">
        <v>3433</v>
      </c>
      <c r="AC3647" s="167">
        <v>353</v>
      </c>
      <c r="AD3647" s="203">
        <v>43180</v>
      </c>
      <c r="AE3647" s="203">
        <v>0</v>
      </c>
      <c r="AF3647" s="167" t="s">
        <v>3469</v>
      </c>
    </row>
    <row r="3648" spans="28:32" x14ac:dyDescent="0.25">
      <c r="AB3648" s="167" t="s">
        <v>3512</v>
      </c>
      <c r="AC3648" s="167">
        <v>328</v>
      </c>
      <c r="AD3648" s="203">
        <v>43089</v>
      </c>
      <c r="AE3648" s="203">
        <v>43122</v>
      </c>
      <c r="AF3648" s="167" t="s">
        <v>3470</v>
      </c>
    </row>
    <row r="3649" spans="28:32" x14ac:dyDescent="0.25">
      <c r="AB3649" s="167" t="s">
        <v>2717</v>
      </c>
      <c r="AC3649" s="167">
        <v>328</v>
      </c>
      <c r="AD3649" s="203">
        <v>43089</v>
      </c>
      <c r="AE3649" s="203">
        <v>43122</v>
      </c>
      <c r="AF3649" s="167" t="s">
        <v>3470</v>
      </c>
    </row>
    <row r="3650" spans="28:32" x14ac:dyDescent="0.25">
      <c r="AB3650" s="167" t="s">
        <v>2719</v>
      </c>
      <c r="AC3650" s="167">
        <v>323</v>
      </c>
      <c r="AD3650" s="203">
        <v>43074</v>
      </c>
      <c r="AE3650" s="203">
        <v>43111</v>
      </c>
      <c r="AF3650" s="167" t="s">
        <v>3470</v>
      </c>
    </row>
    <row r="3651" spans="28:32" x14ac:dyDescent="0.25">
      <c r="AB3651" s="167" t="s">
        <v>2719</v>
      </c>
      <c r="AC3651" s="167">
        <v>347</v>
      </c>
      <c r="AD3651" s="203">
        <v>43118</v>
      </c>
      <c r="AE3651" s="203">
        <v>43133</v>
      </c>
      <c r="AF3651" s="167" t="s">
        <v>3470</v>
      </c>
    </row>
    <row r="3652" spans="28:32" x14ac:dyDescent="0.25">
      <c r="AB3652" s="167" t="s">
        <v>2719</v>
      </c>
      <c r="AC3652" s="167">
        <v>340</v>
      </c>
      <c r="AD3652" s="203">
        <v>43133</v>
      </c>
      <c r="AE3652" s="203">
        <v>43168</v>
      </c>
      <c r="AF3652" s="167" t="s">
        <v>3470</v>
      </c>
    </row>
    <row r="3653" spans="28:32" x14ac:dyDescent="0.25">
      <c r="AB3653" s="167" t="s">
        <v>2719</v>
      </c>
      <c r="AC3653" s="167">
        <v>340</v>
      </c>
      <c r="AD3653" s="203">
        <v>43133</v>
      </c>
      <c r="AE3653" s="203">
        <v>43168</v>
      </c>
      <c r="AF3653" s="167" t="s">
        <v>3470</v>
      </c>
    </row>
    <row r="3654" spans="28:32" x14ac:dyDescent="0.25">
      <c r="AB3654" s="167" t="s">
        <v>2719</v>
      </c>
      <c r="AC3654" s="167">
        <v>357</v>
      </c>
      <c r="AD3654" s="203">
        <v>43139</v>
      </c>
      <c r="AE3654" s="203">
        <v>43164</v>
      </c>
      <c r="AF3654" s="167" t="s">
        <v>3470</v>
      </c>
    </row>
    <row r="3655" spans="28:32" x14ac:dyDescent="0.25">
      <c r="AB3655" s="167" t="s">
        <v>2719</v>
      </c>
      <c r="AC3655" s="167">
        <v>364</v>
      </c>
      <c r="AD3655" s="203">
        <v>43168</v>
      </c>
      <c r="AE3655" s="203">
        <v>43179</v>
      </c>
      <c r="AF3655" s="167" t="s">
        <v>3470</v>
      </c>
    </row>
    <row r="3656" spans="28:32" x14ac:dyDescent="0.25">
      <c r="AB3656" s="167" t="s">
        <v>2719</v>
      </c>
      <c r="AC3656" s="167">
        <v>353</v>
      </c>
      <c r="AD3656" s="203">
        <v>43180</v>
      </c>
      <c r="AE3656" s="203">
        <v>0</v>
      </c>
      <c r="AF3656" s="167" t="s">
        <v>3469</v>
      </c>
    </row>
    <row r="3657" spans="28:32" x14ac:dyDescent="0.25">
      <c r="AB3657" s="167" t="s">
        <v>2719</v>
      </c>
      <c r="AC3657" s="167">
        <v>353</v>
      </c>
      <c r="AD3657" s="203">
        <v>43180</v>
      </c>
      <c r="AE3657" s="203">
        <v>0</v>
      </c>
      <c r="AF3657" s="167" t="s">
        <v>3469</v>
      </c>
    </row>
    <row r="3658" spans="28:32" x14ac:dyDescent="0.25">
      <c r="AB3658" s="167" t="s">
        <v>2721</v>
      </c>
      <c r="AC3658" s="167">
        <v>323</v>
      </c>
      <c r="AD3658" s="203">
        <v>43074</v>
      </c>
      <c r="AE3658" s="203">
        <v>43111</v>
      </c>
      <c r="AF3658" s="167" t="s">
        <v>3470</v>
      </c>
    </row>
    <row r="3659" spans="28:32" x14ac:dyDescent="0.25">
      <c r="AB3659" s="167" t="s">
        <v>2721</v>
      </c>
      <c r="AC3659" s="167">
        <v>323</v>
      </c>
      <c r="AD3659" s="203">
        <v>43074</v>
      </c>
      <c r="AE3659" s="203">
        <v>43111</v>
      </c>
      <c r="AF3659" s="167" t="s">
        <v>3470</v>
      </c>
    </row>
    <row r="3660" spans="28:32" x14ac:dyDescent="0.25">
      <c r="AB3660" s="167" t="s">
        <v>2721</v>
      </c>
      <c r="AC3660" s="167">
        <v>347</v>
      </c>
      <c r="AD3660" s="203">
        <v>43118</v>
      </c>
      <c r="AE3660" s="203">
        <v>43133</v>
      </c>
      <c r="AF3660" s="167" t="s">
        <v>3470</v>
      </c>
    </row>
    <row r="3661" spans="28:32" x14ac:dyDescent="0.25">
      <c r="AB3661" s="167" t="s">
        <v>2721</v>
      </c>
      <c r="AC3661" s="167">
        <v>335</v>
      </c>
      <c r="AD3661" s="203">
        <v>43133</v>
      </c>
      <c r="AE3661" s="203">
        <v>43147</v>
      </c>
      <c r="AF3661" s="167" t="s">
        <v>3470</v>
      </c>
    </row>
    <row r="3662" spans="28:32" x14ac:dyDescent="0.25">
      <c r="AB3662" s="167" t="s">
        <v>2721</v>
      </c>
      <c r="AC3662" s="167">
        <v>340</v>
      </c>
      <c r="AD3662" s="203">
        <v>43133</v>
      </c>
      <c r="AE3662" s="203">
        <v>43168</v>
      </c>
      <c r="AF3662" s="167" t="s">
        <v>3470</v>
      </c>
    </row>
    <row r="3663" spans="28:32" x14ac:dyDescent="0.25">
      <c r="AB3663" s="167" t="s">
        <v>2721</v>
      </c>
      <c r="AC3663" s="167">
        <v>340</v>
      </c>
      <c r="AD3663" s="203">
        <v>43133</v>
      </c>
      <c r="AE3663" s="203">
        <v>43168</v>
      </c>
      <c r="AF3663" s="167" t="s">
        <v>3470</v>
      </c>
    </row>
    <row r="3664" spans="28:32" x14ac:dyDescent="0.25">
      <c r="AB3664" s="167" t="s">
        <v>2721</v>
      </c>
      <c r="AC3664" s="167">
        <v>357</v>
      </c>
      <c r="AD3664" s="203">
        <v>43139</v>
      </c>
      <c r="AE3664" s="203">
        <v>43164</v>
      </c>
      <c r="AF3664" s="167" t="s">
        <v>3470</v>
      </c>
    </row>
    <row r="3665" spans="28:32" x14ac:dyDescent="0.25">
      <c r="AB3665" s="167" t="s">
        <v>2721</v>
      </c>
      <c r="AC3665" s="167">
        <v>364</v>
      </c>
      <c r="AD3665" s="203">
        <v>43168</v>
      </c>
      <c r="AE3665" s="203">
        <v>43179</v>
      </c>
      <c r="AF3665" s="167" t="s">
        <v>3470</v>
      </c>
    </row>
    <row r="3666" spans="28:32" x14ac:dyDescent="0.25">
      <c r="AB3666" s="167" t="s">
        <v>2721</v>
      </c>
      <c r="AC3666" s="167">
        <v>353</v>
      </c>
      <c r="AD3666" s="203">
        <v>43180</v>
      </c>
      <c r="AE3666" s="203">
        <v>0</v>
      </c>
      <c r="AF3666" s="167" t="s">
        <v>3469</v>
      </c>
    </row>
    <row r="3667" spans="28:32" x14ac:dyDescent="0.25">
      <c r="AB3667" s="167" t="s">
        <v>2721</v>
      </c>
      <c r="AC3667" s="167">
        <v>353</v>
      </c>
      <c r="AD3667" s="203">
        <v>43180</v>
      </c>
      <c r="AE3667" s="203">
        <v>0</v>
      </c>
      <c r="AF3667" s="167" t="s">
        <v>3469</v>
      </c>
    </row>
    <row r="3668" spans="28:32" x14ac:dyDescent="0.25">
      <c r="AB3668" s="167" t="s">
        <v>2721</v>
      </c>
      <c r="AC3668" s="167">
        <v>353</v>
      </c>
      <c r="AD3668" s="203">
        <v>43180</v>
      </c>
      <c r="AE3668" s="203">
        <v>0</v>
      </c>
      <c r="AF3668" s="167" t="s">
        <v>3469</v>
      </c>
    </row>
    <row r="3669" spans="28:32" x14ac:dyDescent="0.25">
      <c r="AB3669" s="167" t="s">
        <v>2721</v>
      </c>
      <c r="AC3669" s="167">
        <v>353</v>
      </c>
      <c r="AD3669" s="203">
        <v>43180</v>
      </c>
      <c r="AE3669" s="203">
        <v>0</v>
      </c>
      <c r="AF3669" s="167" t="s">
        <v>3469</v>
      </c>
    </row>
    <row r="3670" spans="28:32" x14ac:dyDescent="0.25">
      <c r="AB3670" s="167" t="s">
        <v>2721</v>
      </c>
      <c r="AC3670" s="167">
        <v>353</v>
      </c>
      <c r="AD3670" s="203">
        <v>43180</v>
      </c>
      <c r="AE3670" s="203">
        <v>0</v>
      </c>
      <c r="AF3670" s="167" t="s">
        <v>3469</v>
      </c>
    </row>
    <row r="3671" spans="28:32" x14ac:dyDescent="0.25">
      <c r="AB3671" s="167" t="s">
        <v>3513</v>
      </c>
      <c r="AC3671" s="167">
        <v>323</v>
      </c>
      <c r="AD3671" s="203">
        <v>43074</v>
      </c>
      <c r="AE3671" s="203">
        <v>43111</v>
      </c>
      <c r="AF3671" s="167" t="s">
        <v>3470</v>
      </c>
    </row>
    <row r="3672" spans="28:32" x14ac:dyDescent="0.25">
      <c r="AB3672" s="167" t="s">
        <v>3513</v>
      </c>
      <c r="AC3672" s="167">
        <v>347</v>
      </c>
      <c r="AD3672" s="203">
        <v>43118</v>
      </c>
      <c r="AE3672" s="203">
        <v>43133</v>
      </c>
      <c r="AF3672" s="167" t="s">
        <v>3470</v>
      </c>
    </row>
    <row r="3673" spans="28:32" x14ac:dyDescent="0.25">
      <c r="AB3673" s="167" t="s">
        <v>3513</v>
      </c>
      <c r="AC3673" s="167">
        <v>340</v>
      </c>
      <c r="AD3673" s="203">
        <v>43133</v>
      </c>
      <c r="AE3673" s="203">
        <v>43168</v>
      </c>
      <c r="AF3673" s="167" t="s">
        <v>3470</v>
      </c>
    </row>
    <row r="3674" spans="28:32" x14ac:dyDescent="0.25">
      <c r="AB3674" s="167" t="s">
        <v>2723</v>
      </c>
      <c r="AC3674" s="167">
        <v>340</v>
      </c>
      <c r="AD3674" s="203">
        <v>43133</v>
      </c>
      <c r="AE3674" s="203">
        <v>43168</v>
      </c>
      <c r="AF3674" s="167" t="s">
        <v>3470</v>
      </c>
    </row>
    <row r="3675" spans="28:32" x14ac:dyDescent="0.25">
      <c r="AB3675" s="167" t="s">
        <v>2723</v>
      </c>
      <c r="AC3675" s="167">
        <v>364</v>
      </c>
      <c r="AD3675" s="203">
        <v>43168</v>
      </c>
      <c r="AE3675" s="203">
        <v>43179</v>
      </c>
      <c r="AF3675" s="167" t="s">
        <v>3470</v>
      </c>
    </row>
    <row r="3676" spans="28:32" x14ac:dyDescent="0.25">
      <c r="AB3676" s="167" t="s">
        <v>2723</v>
      </c>
      <c r="AC3676" s="167">
        <v>353</v>
      </c>
      <c r="AD3676" s="203">
        <v>43180</v>
      </c>
      <c r="AE3676" s="203">
        <v>0</v>
      </c>
      <c r="AF3676" s="167" t="s">
        <v>3469</v>
      </c>
    </row>
    <row r="3677" spans="28:32" x14ac:dyDescent="0.25">
      <c r="AB3677" s="167" t="s">
        <v>2723</v>
      </c>
      <c r="AC3677" s="167">
        <v>353</v>
      </c>
      <c r="AD3677" s="203">
        <v>43180</v>
      </c>
      <c r="AE3677" s="203">
        <v>0</v>
      </c>
      <c r="AF3677" s="167" t="s">
        <v>3469</v>
      </c>
    </row>
    <row r="3678" spans="28:32" x14ac:dyDescent="0.25">
      <c r="AB3678" s="167" t="s">
        <v>2724</v>
      </c>
      <c r="AC3678" s="167">
        <v>323</v>
      </c>
      <c r="AD3678" s="203">
        <v>43074</v>
      </c>
      <c r="AE3678" s="203">
        <v>43111</v>
      </c>
      <c r="AF3678" s="167" t="s">
        <v>3470</v>
      </c>
    </row>
    <row r="3679" spans="28:32" x14ac:dyDescent="0.25">
      <c r="AB3679" s="167" t="s">
        <v>2725</v>
      </c>
      <c r="AC3679" s="167">
        <v>347</v>
      </c>
      <c r="AD3679" s="203">
        <v>43118</v>
      </c>
      <c r="AE3679" s="203">
        <v>43133</v>
      </c>
      <c r="AF3679" s="167" t="s">
        <v>3470</v>
      </c>
    </row>
    <row r="3680" spans="28:32" x14ac:dyDescent="0.25">
      <c r="AB3680" s="167" t="s">
        <v>2725</v>
      </c>
      <c r="AC3680" s="167">
        <v>340</v>
      </c>
      <c r="AD3680" s="203">
        <v>43133</v>
      </c>
      <c r="AE3680" s="203">
        <v>43168</v>
      </c>
      <c r="AF3680" s="167" t="s">
        <v>3470</v>
      </c>
    </row>
    <row r="3681" spans="28:32" x14ac:dyDescent="0.25">
      <c r="AB3681" s="167" t="s">
        <v>2727</v>
      </c>
      <c r="AC3681" s="167">
        <v>323</v>
      </c>
      <c r="AD3681" s="203">
        <v>43074</v>
      </c>
      <c r="AE3681" s="203">
        <v>43111</v>
      </c>
      <c r="AF3681" s="167" t="s">
        <v>3470</v>
      </c>
    </row>
    <row r="3682" spans="28:32" x14ac:dyDescent="0.25">
      <c r="AB3682" s="167" t="s">
        <v>2727</v>
      </c>
      <c r="AC3682" s="167">
        <v>347</v>
      </c>
      <c r="AD3682" s="203">
        <v>43118</v>
      </c>
      <c r="AE3682" s="203">
        <v>43133</v>
      </c>
      <c r="AF3682" s="167" t="s">
        <v>3470</v>
      </c>
    </row>
    <row r="3683" spans="28:32" x14ac:dyDescent="0.25">
      <c r="AB3683" s="167" t="s">
        <v>2727</v>
      </c>
      <c r="AC3683" s="167">
        <v>340</v>
      </c>
      <c r="AD3683" s="203">
        <v>43133</v>
      </c>
      <c r="AE3683" s="203">
        <v>43168</v>
      </c>
      <c r="AF3683" s="167" t="s">
        <v>3470</v>
      </c>
    </row>
    <row r="3684" spans="28:32" x14ac:dyDescent="0.25">
      <c r="AB3684" s="167" t="s">
        <v>2727</v>
      </c>
      <c r="AC3684" s="167">
        <v>340</v>
      </c>
      <c r="AD3684" s="203">
        <v>43133</v>
      </c>
      <c r="AE3684" s="203">
        <v>43168</v>
      </c>
      <c r="AF3684" s="167" t="s">
        <v>3470</v>
      </c>
    </row>
    <row r="3685" spans="28:32" x14ac:dyDescent="0.25">
      <c r="AB3685" s="167" t="s">
        <v>2727</v>
      </c>
      <c r="AC3685" s="167">
        <v>357</v>
      </c>
      <c r="AD3685" s="203">
        <v>43139</v>
      </c>
      <c r="AE3685" s="203">
        <v>43164</v>
      </c>
      <c r="AF3685" s="167" t="s">
        <v>3470</v>
      </c>
    </row>
    <row r="3686" spans="28:32" x14ac:dyDescent="0.25">
      <c r="AB3686" s="167" t="s">
        <v>2727</v>
      </c>
      <c r="AC3686" s="167">
        <v>364</v>
      </c>
      <c r="AD3686" s="203">
        <v>43168</v>
      </c>
      <c r="AE3686" s="203">
        <v>43179</v>
      </c>
      <c r="AF3686" s="167" t="s">
        <v>3470</v>
      </c>
    </row>
    <row r="3687" spans="28:32" x14ac:dyDescent="0.25">
      <c r="AB3687" s="167" t="s">
        <v>2727</v>
      </c>
      <c r="AC3687" s="167">
        <v>353</v>
      </c>
      <c r="AD3687" s="203">
        <v>43180</v>
      </c>
      <c r="AE3687" s="203">
        <v>0</v>
      </c>
      <c r="AF3687" s="167" t="s">
        <v>3469</v>
      </c>
    </row>
    <row r="3688" spans="28:32" x14ac:dyDescent="0.25">
      <c r="AB3688" s="167" t="s">
        <v>2727</v>
      </c>
      <c r="AC3688" s="167">
        <v>353</v>
      </c>
      <c r="AD3688" s="203">
        <v>43180</v>
      </c>
      <c r="AE3688" s="203">
        <v>0</v>
      </c>
      <c r="AF3688" s="167" t="s">
        <v>3469</v>
      </c>
    </row>
    <row r="3689" spans="28:32" x14ac:dyDescent="0.25">
      <c r="AB3689" s="167" t="s">
        <v>2728</v>
      </c>
      <c r="AC3689" s="167">
        <v>327</v>
      </c>
      <c r="AD3689" s="203">
        <v>43074</v>
      </c>
      <c r="AE3689" s="203">
        <v>43131</v>
      </c>
      <c r="AF3689" s="167" t="s">
        <v>3470</v>
      </c>
    </row>
    <row r="3690" spans="28:32" x14ac:dyDescent="0.25">
      <c r="AB3690" s="167" t="s">
        <v>2730</v>
      </c>
      <c r="AC3690" s="167">
        <v>347</v>
      </c>
      <c r="AD3690" s="203">
        <v>43118</v>
      </c>
      <c r="AE3690" s="203">
        <v>43133</v>
      </c>
      <c r="AF3690" s="167" t="s">
        <v>3470</v>
      </c>
    </row>
    <row r="3691" spans="28:32" x14ac:dyDescent="0.25">
      <c r="AB3691" s="167" t="s">
        <v>2730</v>
      </c>
      <c r="AC3691" s="167">
        <v>353</v>
      </c>
      <c r="AD3691" s="203">
        <v>43180</v>
      </c>
      <c r="AE3691" s="203">
        <v>0</v>
      </c>
      <c r="AF3691" s="167" t="s">
        <v>3469</v>
      </c>
    </row>
    <row r="3692" spans="28:32" x14ac:dyDescent="0.25">
      <c r="AB3692" s="167" t="s">
        <v>2730</v>
      </c>
      <c r="AC3692" s="167">
        <v>353</v>
      </c>
      <c r="AD3692" s="203">
        <v>43180</v>
      </c>
      <c r="AE3692" s="203">
        <v>0</v>
      </c>
      <c r="AF3692" s="167" t="s">
        <v>3469</v>
      </c>
    </row>
    <row r="3693" spans="28:32" x14ac:dyDescent="0.25">
      <c r="AB3693" s="167" t="s">
        <v>3514</v>
      </c>
      <c r="AC3693" s="167">
        <v>328</v>
      </c>
      <c r="AD3693" s="203">
        <v>43089</v>
      </c>
      <c r="AE3693" s="203">
        <v>43122</v>
      </c>
      <c r="AF3693" s="167" t="s">
        <v>3470</v>
      </c>
    </row>
    <row r="3694" spans="28:32" x14ac:dyDescent="0.25">
      <c r="AB3694" s="167" t="s">
        <v>3515</v>
      </c>
      <c r="AC3694" s="167">
        <v>347</v>
      </c>
      <c r="AD3694" s="203">
        <v>43118</v>
      </c>
      <c r="AE3694" s="203">
        <v>43133</v>
      </c>
      <c r="AF3694" s="167" t="s">
        <v>3470</v>
      </c>
    </row>
    <row r="3695" spans="28:32" x14ac:dyDescent="0.25">
      <c r="AB3695" s="167" t="s">
        <v>3515</v>
      </c>
      <c r="AC3695" s="167">
        <v>340</v>
      </c>
      <c r="AD3695" s="203">
        <v>43133</v>
      </c>
      <c r="AE3695" s="203">
        <v>43168</v>
      </c>
      <c r="AF3695" s="167" t="s">
        <v>3470</v>
      </c>
    </row>
    <row r="3696" spans="28:32" x14ac:dyDescent="0.25">
      <c r="AB3696" s="167" t="s">
        <v>2731</v>
      </c>
      <c r="AC3696" s="167">
        <v>333</v>
      </c>
      <c r="AD3696" s="203">
        <v>43206</v>
      </c>
      <c r="AE3696" s="203">
        <v>43210</v>
      </c>
      <c r="AF3696" s="167" t="s">
        <v>3470</v>
      </c>
    </row>
    <row r="3697" spans="28:32" x14ac:dyDescent="0.25">
      <c r="AB3697" s="167" t="s">
        <v>2732</v>
      </c>
      <c r="AC3697" s="167">
        <v>333</v>
      </c>
      <c r="AD3697" s="203">
        <v>43206</v>
      </c>
      <c r="AE3697" s="203">
        <v>43210</v>
      </c>
      <c r="AF3697" s="167" t="s">
        <v>3470</v>
      </c>
    </row>
    <row r="3698" spans="28:32" x14ac:dyDescent="0.25">
      <c r="AB3698" s="167" t="s">
        <v>2733</v>
      </c>
      <c r="AC3698" s="167">
        <v>350</v>
      </c>
      <c r="AD3698" s="203">
        <v>43132</v>
      </c>
      <c r="AE3698" s="203">
        <v>43195</v>
      </c>
      <c r="AF3698" s="167" t="s">
        <v>3470</v>
      </c>
    </row>
    <row r="3699" spans="28:32" x14ac:dyDescent="0.25">
      <c r="AB3699" s="167" t="s">
        <v>2733</v>
      </c>
      <c r="AC3699" s="167">
        <v>333</v>
      </c>
      <c r="AD3699" s="203">
        <v>43206</v>
      </c>
      <c r="AE3699" s="203">
        <v>43210</v>
      </c>
      <c r="AF3699" s="167" t="s">
        <v>3470</v>
      </c>
    </row>
    <row r="3700" spans="28:32" x14ac:dyDescent="0.25">
      <c r="AB3700" s="167" t="s">
        <v>3516</v>
      </c>
      <c r="AC3700" s="167">
        <v>333</v>
      </c>
      <c r="AD3700" s="203">
        <v>43206</v>
      </c>
      <c r="AE3700" s="203">
        <v>43210</v>
      </c>
      <c r="AF3700" s="167" t="s">
        <v>3470</v>
      </c>
    </row>
    <row r="3701" spans="28:32" x14ac:dyDescent="0.25">
      <c r="AB3701" s="167" t="s">
        <v>3516</v>
      </c>
      <c r="AC3701" s="167">
        <v>377</v>
      </c>
      <c r="AD3701" s="203">
        <v>43210</v>
      </c>
      <c r="AE3701" s="203">
        <v>43210</v>
      </c>
      <c r="AF3701" s="167" t="s">
        <v>3470</v>
      </c>
    </row>
    <row r="3702" spans="28:32" x14ac:dyDescent="0.25">
      <c r="AB3702" s="167" t="s">
        <v>2734</v>
      </c>
      <c r="AC3702" s="167">
        <v>350</v>
      </c>
      <c r="AD3702" s="203">
        <v>43132</v>
      </c>
      <c r="AE3702" s="203">
        <v>43195</v>
      </c>
      <c r="AF3702" s="167" t="s">
        <v>3470</v>
      </c>
    </row>
    <row r="3703" spans="28:32" x14ac:dyDescent="0.25">
      <c r="AB3703" s="167" t="s">
        <v>2734</v>
      </c>
      <c r="AC3703" s="167">
        <v>377</v>
      </c>
      <c r="AD3703" s="203">
        <v>43210</v>
      </c>
      <c r="AE3703" s="203">
        <v>43210</v>
      </c>
      <c r="AF3703" s="167" t="s">
        <v>3470</v>
      </c>
    </row>
    <row r="3704" spans="28:32" x14ac:dyDescent="0.25">
      <c r="AB3704" s="167" t="s">
        <v>2735</v>
      </c>
      <c r="AC3704" s="167">
        <v>333</v>
      </c>
      <c r="AD3704" s="203">
        <v>43206</v>
      </c>
      <c r="AE3704" s="203">
        <v>43210</v>
      </c>
      <c r="AF3704" s="167" t="s">
        <v>3470</v>
      </c>
    </row>
    <row r="3705" spans="28:32" x14ac:dyDescent="0.25">
      <c r="AB3705" s="167" t="s">
        <v>2735</v>
      </c>
      <c r="AC3705" s="167">
        <v>377</v>
      </c>
      <c r="AD3705" s="203">
        <v>43210</v>
      </c>
      <c r="AE3705" s="203">
        <v>43210</v>
      </c>
      <c r="AF3705" s="167" t="s">
        <v>3470</v>
      </c>
    </row>
    <row r="3706" spans="28:32" x14ac:dyDescent="0.25">
      <c r="AB3706" s="167" t="s">
        <v>2736</v>
      </c>
      <c r="AC3706" s="167">
        <v>350</v>
      </c>
      <c r="AD3706" s="203">
        <v>43132</v>
      </c>
      <c r="AE3706" s="203">
        <v>43195</v>
      </c>
      <c r="AF3706" s="167" t="s">
        <v>3470</v>
      </c>
    </row>
    <row r="3707" spans="28:32" x14ac:dyDescent="0.25">
      <c r="AB3707" s="167" t="s">
        <v>2736</v>
      </c>
      <c r="AC3707" s="167">
        <v>333</v>
      </c>
      <c r="AD3707" s="203">
        <v>43206</v>
      </c>
      <c r="AE3707" s="203">
        <v>43210</v>
      </c>
      <c r="AF3707" s="167" t="s">
        <v>3470</v>
      </c>
    </row>
    <row r="3708" spans="28:32" x14ac:dyDescent="0.25">
      <c r="AB3708" s="167" t="s">
        <v>2736</v>
      </c>
      <c r="AC3708" s="167">
        <v>333</v>
      </c>
      <c r="AD3708" s="203">
        <v>43206</v>
      </c>
      <c r="AE3708" s="203">
        <v>43210</v>
      </c>
      <c r="AF3708" s="167" t="s">
        <v>3470</v>
      </c>
    </row>
    <row r="3709" spans="28:32" x14ac:dyDescent="0.25">
      <c r="AB3709" s="167" t="s">
        <v>2736</v>
      </c>
      <c r="AC3709" s="167">
        <v>333</v>
      </c>
      <c r="AD3709" s="203">
        <v>43206</v>
      </c>
      <c r="AE3709" s="203">
        <v>43210</v>
      </c>
      <c r="AF3709" s="167" t="s">
        <v>3470</v>
      </c>
    </row>
    <row r="3710" spans="28:32" x14ac:dyDescent="0.25">
      <c r="AB3710" s="167" t="s">
        <v>2736</v>
      </c>
      <c r="AC3710" s="167">
        <v>377</v>
      </c>
      <c r="AD3710" s="203">
        <v>43210</v>
      </c>
      <c r="AE3710" s="203">
        <v>43210</v>
      </c>
      <c r="AF3710" s="167" t="s">
        <v>3470</v>
      </c>
    </row>
    <row r="3711" spans="28:32" x14ac:dyDescent="0.25">
      <c r="AB3711" s="167" t="s">
        <v>3517</v>
      </c>
      <c r="AC3711" s="167">
        <v>350</v>
      </c>
      <c r="AD3711" s="203">
        <v>43132</v>
      </c>
      <c r="AE3711" s="203">
        <v>43195</v>
      </c>
      <c r="AF3711" s="167" t="s">
        <v>3470</v>
      </c>
    </row>
    <row r="3712" spans="28:32" x14ac:dyDescent="0.25">
      <c r="AB3712" s="167" t="s">
        <v>3517</v>
      </c>
      <c r="AC3712" s="167">
        <v>377</v>
      </c>
      <c r="AD3712" s="203">
        <v>43210</v>
      </c>
      <c r="AE3712" s="203">
        <v>43210</v>
      </c>
      <c r="AF3712" s="167" t="s">
        <v>3470</v>
      </c>
    </row>
    <row r="3713" spans="28:32" x14ac:dyDescent="0.25">
      <c r="AB3713" s="167" t="s">
        <v>2737</v>
      </c>
      <c r="AC3713" s="167">
        <v>350</v>
      </c>
      <c r="AD3713" s="203">
        <v>43132</v>
      </c>
      <c r="AE3713" s="203">
        <v>43195</v>
      </c>
      <c r="AF3713" s="167" t="s">
        <v>3470</v>
      </c>
    </row>
    <row r="3714" spans="28:32" x14ac:dyDescent="0.25">
      <c r="AB3714" s="167" t="s">
        <v>2737</v>
      </c>
      <c r="AC3714" s="167">
        <v>333</v>
      </c>
      <c r="AD3714" s="203">
        <v>43206</v>
      </c>
      <c r="AE3714" s="203">
        <v>43210</v>
      </c>
      <c r="AF3714" s="167" t="s">
        <v>3470</v>
      </c>
    </row>
    <row r="3715" spans="28:32" x14ac:dyDescent="0.25">
      <c r="AB3715" s="167" t="s">
        <v>2738</v>
      </c>
      <c r="AC3715" s="167">
        <v>350</v>
      </c>
      <c r="AD3715" s="203">
        <v>43132</v>
      </c>
      <c r="AE3715" s="203">
        <v>43195</v>
      </c>
      <c r="AF3715" s="167" t="s">
        <v>3470</v>
      </c>
    </row>
    <row r="3716" spans="28:32" x14ac:dyDescent="0.25">
      <c r="AB3716" s="167" t="s">
        <v>2738</v>
      </c>
      <c r="AC3716" s="167">
        <v>333</v>
      </c>
      <c r="AD3716" s="203">
        <v>43206</v>
      </c>
      <c r="AE3716" s="203">
        <v>43210</v>
      </c>
      <c r="AF3716" s="167" t="s">
        <v>3470</v>
      </c>
    </row>
    <row r="3717" spans="28:32" x14ac:dyDescent="0.25">
      <c r="AB3717" s="167" t="s">
        <v>2738</v>
      </c>
      <c r="AC3717" s="167">
        <v>333</v>
      </c>
      <c r="AD3717" s="203">
        <v>43206</v>
      </c>
      <c r="AE3717" s="203">
        <v>43210</v>
      </c>
      <c r="AF3717" s="167" t="s">
        <v>3470</v>
      </c>
    </row>
    <row r="3718" spans="28:32" x14ac:dyDescent="0.25">
      <c r="AB3718" s="167" t="s">
        <v>2739</v>
      </c>
      <c r="AC3718" s="167">
        <v>333</v>
      </c>
      <c r="AD3718" s="203">
        <v>43206</v>
      </c>
      <c r="AE3718" s="203">
        <v>43210</v>
      </c>
      <c r="AF3718" s="167" t="s">
        <v>3470</v>
      </c>
    </row>
    <row r="3719" spans="28:32" x14ac:dyDescent="0.25">
      <c r="AB3719" s="167" t="s">
        <v>2739</v>
      </c>
      <c r="AC3719" s="167">
        <v>377</v>
      </c>
      <c r="AD3719" s="203">
        <v>43210</v>
      </c>
      <c r="AE3719" s="203">
        <v>43210</v>
      </c>
      <c r="AF3719" s="167" t="s">
        <v>3470</v>
      </c>
    </row>
    <row r="3720" spans="28:32" x14ac:dyDescent="0.25">
      <c r="AB3720" s="167" t="s">
        <v>2740</v>
      </c>
      <c r="AC3720" s="167">
        <v>377</v>
      </c>
      <c r="AD3720" s="203">
        <v>43210</v>
      </c>
      <c r="AE3720" s="203">
        <v>43210</v>
      </c>
      <c r="AF3720" s="167" t="s">
        <v>3470</v>
      </c>
    </row>
    <row r="3721" spans="28:32" x14ac:dyDescent="0.25">
      <c r="AB3721" s="167" t="s">
        <v>3518</v>
      </c>
      <c r="AC3721" s="167">
        <v>350</v>
      </c>
      <c r="AD3721" s="203">
        <v>43132</v>
      </c>
      <c r="AE3721" s="203">
        <v>43195</v>
      </c>
      <c r="AF3721" s="167" t="s">
        <v>3470</v>
      </c>
    </row>
    <row r="3722" spans="28:32" x14ac:dyDescent="0.25">
      <c r="AB3722" s="167" t="s">
        <v>3518</v>
      </c>
      <c r="AC3722" s="167">
        <v>377</v>
      </c>
      <c r="AD3722" s="203">
        <v>43210</v>
      </c>
      <c r="AE3722" s="203">
        <v>43210</v>
      </c>
      <c r="AF3722" s="167" t="s">
        <v>3470</v>
      </c>
    </row>
    <row r="3723" spans="28:32" x14ac:dyDescent="0.25">
      <c r="AB3723" s="167" t="s">
        <v>2741</v>
      </c>
      <c r="AC3723" s="167">
        <v>333</v>
      </c>
      <c r="AD3723" s="203">
        <v>43206</v>
      </c>
      <c r="AE3723" s="203">
        <v>43210</v>
      </c>
      <c r="AF3723" s="167" t="s">
        <v>3470</v>
      </c>
    </row>
    <row r="3724" spans="28:32" x14ac:dyDescent="0.25">
      <c r="AB3724" s="167" t="s">
        <v>2741</v>
      </c>
      <c r="AC3724" s="167">
        <v>377</v>
      </c>
      <c r="AD3724" s="203">
        <v>43210</v>
      </c>
      <c r="AE3724" s="203">
        <v>43210</v>
      </c>
      <c r="AF3724" s="167" t="s">
        <v>3470</v>
      </c>
    </row>
    <row r="3725" spans="28:32" x14ac:dyDescent="0.25">
      <c r="AB3725" s="167" t="s">
        <v>3519</v>
      </c>
      <c r="AC3725" s="167">
        <v>350</v>
      </c>
      <c r="AD3725" s="203">
        <v>43132</v>
      </c>
      <c r="AE3725" s="203">
        <v>43195</v>
      </c>
      <c r="AF3725" s="167" t="s">
        <v>3470</v>
      </c>
    </row>
    <row r="3726" spans="28:32" x14ac:dyDescent="0.25">
      <c r="AB3726" s="167" t="s">
        <v>3519</v>
      </c>
      <c r="AC3726" s="167">
        <v>333</v>
      </c>
      <c r="AD3726" s="203">
        <v>43206</v>
      </c>
      <c r="AE3726" s="203">
        <v>43210</v>
      </c>
      <c r="AF3726" s="167" t="s">
        <v>3470</v>
      </c>
    </row>
    <row r="3727" spans="28:32" x14ac:dyDescent="0.25">
      <c r="AB3727" s="167" t="s">
        <v>3519</v>
      </c>
      <c r="AC3727" s="167">
        <v>377</v>
      </c>
      <c r="AD3727" s="203">
        <v>43210</v>
      </c>
      <c r="AE3727" s="203">
        <v>43210</v>
      </c>
      <c r="AF3727" s="167" t="s">
        <v>3470</v>
      </c>
    </row>
    <row r="3728" spans="28:32" x14ac:dyDescent="0.25">
      <c r="AB3728" s="167" t="s">
        <v>2742</v>
      </c>
      <c r="AC3728" s="167">
        <v>350</v>
      </c>
      <c r="AD3728" s="203">
        <v>43132</v>
      </c>
      <c r="AE3728" s="203">
        <v>43195</v>
      </c>
      <c r="AF3728" s="167" t="s">
        <v>3470</v>
      </c>
    </row>
    <row r="3729" spans="28:32" x14ac:dyDescent="0.25">
      <c r="AB3729" s="167" t="s">
        <v>2742</v>
      </c>
      <c r="AC3729" s="167">
        <v>377</v>
      </c>
      <c r="AD3729" s="203">
        <v>43210</v>
      </c>
      <c r="AE3729" s="203">
        <v>43210</v>
      </c>
      <c r="AF3729" s="167" t="s">
        <v>3470</v>
      </c>
    </row>
    <row r="3730" spans="28:32" x14ac:dyDescent="0.25">
      <c r="AB3730" s="167" t="s">
        <v>2743</v>
      </c>
      <c r="AC3730" s="167">
        <v>377</v>
      </c>
      <c r="AD3730" s="203">
        <v>43210</v>
      </c>
      <c r="AE3730" s="203">
        <v>43210</v>
      </c>
      <c r="AF3730" s="167" t="s">
        <v>3470</v>
      </c>
    </row>
    <row r="3731" spans="28:32" x14ac:dyDescent="0.25">
      <c r="AB3731" s="167" t="s">
        <v>2744</v>
      </c>
      <c r="AC3731" s="167">
        <v>377</v>
      </c>
      <c r="AD3731" s="203">
        <v>43210</v>
      </c>
      <c r="AE3731" s="203">
        <v>43210</v>
      </c>
      <c r="AF3731" s="167" t="s">
        <v>3470</v>
      </c>
    </row>
    <row r="3732" spans="28:32" x14ac:dyDescent="0.25">
      <c r="AB3732" s="167" t="s">
        <v>2745</v>
      </c>
      <c r="AC3732" s="167">
        <v>350</v>
      </c>
      <c r="AD3732" s="203">
        <v>43132</v>
      </c>
      <c r="AE3732" s="203">
        <v>43195</v>
      </c>
      <c r="AF3732" s="167" t="s">
        <v>3470</v>
      </c>
    </row>
    <row r="3733" spans="28:32" x14ac:dyDescent="0.25">
      <c r="AB3733" s="167" t="s">
        <v>2745</v>
      </c>
      <c r="AC3733" s="167">
        <v>377</v>
      </c>
      <c r="AD3733" s="203">
        <v>43210</v>
      </c>
      <c r="AE3733" s="203">
        <v>43210</v>
      </c>
      <c r="AF3733" s="167" t="s">
        <v>3470</v>
      </c>
    </row>
    <row r="3734" spans="28:32" x14ac:dyDescent="0.25">
      <c r="AB3734" s="167" t="s">
        <v>2746</v>
      </c>
      <c r="AC3734" s="167">
        <v>350</v>
      </c>
      <c r="AD3734" s="203">
        <v>43132</v>
      </c>
      <c r="AE3734" s="203">
        <v>43195</v>
      </c>
      <c r="AF3734" s="167" t="s">
        <v>3470</v>
      </c>
    </row>
    <row r="3735" spans="28:32" x14ac:dyDescent="0.25">
      <c r="AB3735" s="167" t="s">
        <v>2746</v>
      </c>
      <c r="AC3735" s="167">
        <v>377</v>
      </c>
      <c r="AD3735" s="203">
        <v>43210</v>
      </c>
      <c r="AE3735" s="203">
        <v>43210</v>
      </c>
      <c r="AF3735" s="167" t="s">
        <v>3470</v>
      </c>
    </row>
    <row r="3736" spans="28:32" x14ac:dyDescent="0.25">
      <c r="AB3736" s="167" t="s">
        <v>2747</v>
      </c>
      <c r="AC3736" s="167">
        <v>333</v>
      </c>
      <c r="AD3736" s="203">
        <v>43206</v>
      </c>
      <c r="AE3736" s="203">
        <v>43210</v>
      </c>
      <c r="AF3736" s="167" t="s">
        <v>3470</v>
      </c>
    </row>
    <row r="3737" spans="28:32" x14ac:dyDescent="0.25">
      <c r="AB3737" s="167" t="s">
        <v>2748</v>
      </c>
      <c r="AC3737" s="167">
        <v>333</v>
      </c>
      <c r="AD3737" s="203">
        <v>43206</v>
      </c>
      <c r="AE3737" s="203">
        <v>43210</v>
      </c>
      <c r="AF3737" s="167" t="s">
        <v>3470</v>
      </c>
    </row>
    <row r="3738" spans="28:32" x14ac:dyDescent="0.25">
      <c r="AB3738" s="167" t="s">
        <v>2748</v>
      </c>
      <c r="AC3738" s="167">
        <v>377</v>
      </c>
      <c r="AD3738" s="203">
        <v>43210</v>
      </c>
      <c r="AE3738" s="203">
        <v>43210</v>
      </c>
      <c r="AF3738" s="167" t="s">
        <v>3470</v>
      </c>
    </row>
    <row r="3739" spans="28:32" x14ac:dyDescent="0.25">
      <c r="AB3739" s="167" t="s">
        <v>2749</v>
      </c>
      <c r="AC3739" s="167">
        <v>350</v>
      </c>
      <c r="AD3739" s="203">
        <v>43132</v>
      </c>
      <c r="AE3739" s="203">
        <v>43195</v>
      </c>
      <c r="AF3739" s="167" t="s">
        <v>3470</v>
      </c>
    </row>
    <row r="3740" spans="28:32" x14ac:dyDescent="0.25">
      <c r="AB3740" s="167" t="s">
        <v>2749</v>
      </c>
      <c r="AC3740" s="167">
        <v>377</v>
      </c>
      <c r="AD3740" s="203">
        <v>43210</v>
      </c>
      <c r="AE3740" s="203">
        <v>43210</v>
      </c>
      <c r="AF3740" s="167" t="s">
        <v>3470</v>
      </c>
    </row>
    <row r="3741" spans="28:32" x14ac:dyDescent="0.25">
      <c r="AB3741" s="167" t="s">
        <v>2751</v>
      </c>
      <c r="AC3741" s="167">
        <v>374</v>
      </c>
      <c r="AD3741" s="203">
        <v>43195</v>
      </c>
      <c r="AE3741" s="203">
        <v>0</v>
      </c>
      <c r="AF3741" s="167" t="s">
        <v>3469</v>
      </c>
    </row>
    <row r="3742" spans="28:32" x14ac:dyDescent="0.25">
      <c r="AB3742" s="167" t="s">
        <v>2752</v>
      </c>
      <c r="AC3742" s="167">
        <v>353</v>
      </c>
      <c r="AD3742" s="203">
        <v>43180</v>
      </c>
      <c r="AE3742" s="203">
        <v>0</v>
      </c>
      <c r="AF3742" s="167" t="s">
        <v>3469</v>
      </c>
    </row>
    <row r="3743" spans="28:32" x14ac:dyDescent="0.25">
      <c r="AB3743" s="167" t="s">
        <v>2752</v>
      </c>
      <c r="AC3743" s="167">
        <v>353</v>
      </c>
      <c r="AD3743" s="203">
        <v>43180</v>
      </c>
      <c r="AE3743" s="203">
        <v>0</v>
      </c>
      <c r="AF3743" s="167" t="s">
        <v>3469</v>
      </c>
    </row>
    <row r="3744" spans="28:32" x14ac:dyDescent="0.25">
      <c r="AB3744" s="167" t="s">
        <v>2753</v>
      </c>
      <c r="AC3744" s="167">
        <v>335</v>
      </c>
      <c r="AD3744" s="203">
        <v>43133</v>
      </c>
      <c r="AE3744" s="203">
        <v>43147</v>
      </c>
      <c r="AF3744" s="167" t="s">
        <v>3470</v>
      </c>
    </row>
    <row r="3745" spans="28:32" x14ac:dyDescent="0.25">
      <c r="AB3745" s="167" t="s">
        <v>2754</v>
      </c>
      <c r="AC3745" s="167">
        <v>340</v>
      </c>
      <c r="AD3745" s="203">
        <v>43133</v>
      </c>
      <c r="AE3745" s="203">
        <v>43168</v>
      </c>
      <c r="AF3745" s="167" t="s">
        <v>3470</v>
      </c>
    </row>
    <row r="3746" spans="28:32" x14ac:dyDescent="0.25">
      <c r="AB3746" s="167" t="s">
        <v>2755</v>
      </c>
      <c r="AC3746" s="167">
        <v>347</v>
      </c>
      <c r="AD3746" s="203">
        <v>43118</v>
      </c>
      <c r="AE3746" s="203">
        <v>43133</v>
      </c>
      <c r="AF3746" s="167" t="s">
        <v>3470</v>
      </c>
    </row>
    <row r="3747" spans="28:32" x14ac:dyDescent="0.25">
      <c r="AB3747" s="167" t="s">
        <v>2755</v>
      </c>
      <c r="AC3747" s="167">
        <v>340</v>
      </c>
      <c r="AD3747" s="203">
        <v>43133</v>
      </c>
      <c r="AE3747" s="203">
        <v>43168</v>
      </c>
      <c r="AF3747" s="167" t="s">
        <v>3470</v>
      </c>
    </row>
    <row r="3748" spans="28:32" x14ac:dyDescent="0.25">
      <c r="AB3748" s="167" t="s">
        <v>2757</v>
      </c>
      <c r="AC3748" s="167">
        <v>357</v>
      </c>
      <c r="AD3748" s="203">
        <v>43139</v>
      </c>
      <c r="AE3748" s="203">
        <v>43164</v>
      </c>
      <c r="AF3748" s="167" t="s">
        <v>3470</v>
      </c>
    </row>
    <row r="3749" spans="28:32" x14ac:dyDescent="0.25">
      <c r="AB3749" s="167" t="s">
        <v>2757</v>
      </c>
      <c r="AC3749" s="167">
        <v>353</v>
      </c>
      <c r="AD3749" s="203">
        <v>43180</v>
      </c>
      <c r="AE3749" s="203">
        <v>0</v>
      </c>
      <c r="AF3749" s="167" t="s">
        <v>3469</v>
      </c>
    </row>
    <row r="3750" spans="28:32" x14ac:dyDescent="0.25">
      <c r="AB3750" s="167" t="s">
        <v>2759</v>
      </c>
      <c r="AC3750" s="167">
        <v>323</v>
      </c>
      <c r="AD3750" s="203">
        <v>43074</v>
      </c>
      <c r="AE3750" s="203">
        <v>43111</v>
      </c>
      <c r="AF3750" s="167" t="s">
        <v>3470</v>
      </c>
    </row>
    <row r="3751" spans="28:32" x14ac:dyDescent="0.25">
      <c r="AB3751" s="167" t="s">
        <v>2759</v>
      </c>
      <c r="AC3751" s="167">
        <v>347</v>
      </c>
      <c r="AD3751" s="203">
        <v>43118</v>
      </c>
      <c r="AE3751" s="203">
        <v>43133</v>
      </c>
      <c r="AF3751" s="167" t="s">
        <v>3470</v>
      </c>
    </row>
    <row r="3752" spans="28:32" x14ac:dyDescent="0.25">
      <c r="AB3752" s="167" t="s">
        <v>2759</v>
      </c>
      <c r="AC3752" s="167">
        <v>340</v>
      </c>
      <c r="AD3752" s="203">
        <v>43133</v>
      </c>
      <c r="AE3752" s="203">
        <v>43168</v>
      </c>
      <c r="AF3752" s="167" t="s">
        <v>3470</v>
      </c>
    </row>
    <row r="3753" spans="28:32" x14ac:dyDescent="0.25">
      <c r="AB3753" s="167" t="s">
        <v>2759</v>
      </c>
      <c r="AC3753" s="167">
        <v>364</v>
      </c>
      <c r="AD3753" s="203">
        <v>43168</v>
      </c>
      <c r="AE3753" s="203">
        <v>43179</v>
      </c>
      <c r="AF3753" s="167" t="s">
        <v>3470</v>
      </c>
    </row>
    <row r="3754" spans="28:32" x14ac:dyDescent="0.25">
      <c r="AB3754" s="167" t="s">
        <v>2759</v>
      </c>
      <c r="AC3754" s="167">
        <v>353</v>
      </c>
      <c r="AD3754" s="203">
        <v>43180</v>
      </c>
      <c r="AE3754" s="203">
        <v>0</v>
      </c>
      <c r="AF3754" s="167" t="s">
        <v>3469</v>
      </c>
    </row>
    <row r="3755" spans="28:32" x14ac:dyDescent="0.25">
      <c r="AB3755" s="167" t="s">
        <v>2759</v>
      </c>
      <c r="AC3755" s="167">
        <v>353</v>
      </c>
      <c r="AD3755" s="203">
        <v>43180</v>
      </c>
      <c r="AE3755" s="203">
        <v>0</v>
      </c>
      <c r="AF3755" s="167" t="s">
        <v>3469</v>
      </c>
    </row>
    <row r="3756" spans="28:32" x14ac:dyDescent="0.25">
      <c r="AB3756" s="167" t="s">
        <v>2760</v>
      </c>
      <c r="AC3756" s="167">
        <v>323</v>
      </c>
      <c r="AD3756" s="203">
        <v>43074</v>
      </c>
      <c r="AE3756" s="203">
        <v>43111</v>
      </c>
      <c r="AF3756" s="167" t="s">
        <v>3470</v>
      </c>
    </row>
    <row r="3757" spans="28:32" x14ac:dyDescent="0.25">
      <c r="AB3757" s="167" t="s">
        <v>2760</v>
      </c>
      <c r="AC3757" s="167">
        <v>347</v>
      </c>
      <c r="AD3757" s="203">
        <v>43118</v>
      </c>
      <c r="AE3757" s="203">
        <v>43133</v>
      </c>
      <c r="AF3757" s="167" t="s">
        <v>3470</v>
      </c>
    </row>
    <row r="3758" spans="28:32" x14ac:dyDescent="0.25">
      <c r="AB3758" s="167" t="s">
        <v>2760</v>
      </c>
      <c r="AC3758" s="167">
        <v>340</v>
      </c>
      <c r="AD3758" s="203">
        <v>43133</v>
      </c>
      <c r="AE3758" s="203">
        <v>43168</v>
      </c>
      <c r="AF3758" s="167" t="s">
        <v>3470</v>
      </c>
    </row>
    <row r="3759" spans="28:32" x14ac:dyDescent="0.25">
      <c r="AB3759" s="167" t="s">
        <v>2760</v>
      </c>
      <c r="AC3759" s="167">
        <v>340</v>
      </c>
      <c r="AD3759" s="203">
        <v>43133</v>
      </c>
      <c r="AE3759" s="203">
        <v>43168</v>
      </c>
      <c r="AF3759" s="167" t="s">
        <v>3470</v>
      </c>
    </row>
    <row r="3760" spans="28:32" x14ac:dyDescent="0.25">
      <c r="AB3760" s="167" t="s">
        <v>3434</v>
      </c>
      <c r="AC3760" s="167">
        <v>364</v>
      </c>
      <c r="AD3760" s="203">
        <v>43168</v>
      </c>
      <c r="AE3760" s="203">
        <v>43179</v>
      </c>
      <c r="AF3760" s="167" t="s">
        <v>3470</v>
      </c>
    </row>
    <row r="3761" spans="28:32" x14ac:dyDescent="0.25">
      <c r="AB3761" s="167" t="s">
        <v>3434</v>
      </c>
      <c r="AC3761" s="167">
        <v>353</v>
      </c>
      <c r="AD3761" s="203">
        <v>43180</v>
      </c>
      <c r="AE3761" s="203">
        <v>0</v>
      </c>
      <c r="AF3761" s="167" t="s">
        <v>3469</v>
      </c>
    </row>
    <row r="3762" spans="28:32" x14ac:dyDescent="0.25">
      <c r="AB3762" s="167" t="s">
        <v>2762</v>
      </c>
      <c r="AC3762" s="167">
        <v>364</v>
      </c>
      <c r="AD3762" s="203">
        <v>43168</v>
      </c>
      <c r="AE3762" s="203">
        <v>43179</v>
      </c>
      <c r="AF3762" s="167" t="s">
        <v>3470</v>
      </c>
    </row>
    <row r="3763" spans="28:32" x14ac:dyDescent="0.25">
      <c r="AB3763" s="167" t="s">
        <v>2762</v>
      </c>
      <c r="AC3763" s="167">
        <v>353</v>
      </c>
      <c r="AD3763" s="203">
        <v>43180</v>
      </c>
      <c r="AE3763" s="203">
        <v>0</v>
      </c>
      <c r="AF3763" s="167" t="s">
        <v>3469</v>
      </c>
    </row>
    <row r="3764" spans="28:32" x14ac:dyDescent="0.25">
      <c r="AB3764" s="167" t="s">
        <v>2764</v>
      </c>
      <c r="AC3764" s="167">
        <v>347</v>
      </c>
      <c r="AD3764" s="203">
        <v>43118</v>
      </c>
      <c r="AE3764" s="203">
        <v>43133</v>
      </c>
      <c r="AF3764" s="167" t="s">
        <v>3470</v>
      </c>
    </row>
    <row r="3765" spans="28:32" x14ac:dyDescent="0.25">
      <c r="AB3765" s="167" t="s">
        <v>2764</v>
      </c>
      <c r="AC3765" s="167">
        <v>340</v>
      </c>
      <c r="AD3765" s="203">
        <v>43133</v>
      </c>
      <c r="AE3765" s="203">
        <v>43168</v>
      </c>
      <c r="AF3765" s="167" t="s">
        <v>3470</v>
      </c>
    </row>
    <row r="3766" spans="28:32" x14ac:dyDescent="0.25">
      <c r="AB3766" s="167" t="s">
        <v>2764</v>
      </c>
      <c r="AC3766" s="167">
        <v>374</v>
      </c>
      <c r="AD3766" s="203">
        <v>43195</v>
      </c>
      <c r="AE3766" s="203">
        <v>0</v>
      </c>
      <c r="AF3766" s="167" t="s">
        <v>3469</v>
      </c>
    </row>
    <row r="3767" spans="28:32" x14ac:dyDescent="0.25">
      <c r="AB3767" s="167" t="s">
        <v>2766</v>
      </c>
      <c r="AC3767" s="167">
        <v>323</v>
      </c>
      <c r="AD3767" s="203">
        <v>43074</v>
      </c>
      <c r="AE3767" s="203">
        <v>43111</v>
      </c>
      <c r="AF3767" s="167" t="s">
        <v>3470</v>
      </c>
    </row>
    <row r="3768" spans="28:32" x14ac:dyDescent="0.25">
      <c r="AB3768" s="167" t="s">
        <v>2766</v>
      </c>
      <c r="AC3768" s="167">
        <v>347</v>
      </c>
      <c r="AD3768" s="203">
        <v>43118</v>
      </c>
      <c r="AE3768" s="203">
        <v>43133</v>
      </c>
      <c r="AF3768" s="167" t="s">
        <v>3470</v>
      </c>
    </row>
    <row r="3769" spans="28:32" x14ac:dyDescent="0.25">
      <c r="AB3769" s="167" t="s">
        <v>2766</v>
      </c>
      <c r="AC3769" s="167">
        <v>340</v>
      </c>
      <c r="AD3769" s="203">
        <v>43133</v>
      </c>
      <c r="AE3769" s="203">
        <v>43168</v>
      </c>
      <c r="AF3769" s="167" t="s">
        <v>3470</v>
      </c>
    </row>
    <row r="3770" spans="28:32" x14ac:dyDescent="0.25">
      <c r="AB3770" s="167" t="s">
        <v>2766</v>
      </c>
      <c r="AC3770" s="167">
        <v>340</v>
      </c>
      <c r="AD3770" s="203">
        <v>43133</v>
      </c>
      <c r="AE3770" s="203">
        <v>43168</v>
      </c>
      <c r="AF3770" s="167" t="s">
        <v>3470</v>
      </c>
    </row>
    <row r="3771" spans="28:32" x14ac:dyDescent="0.25">
      <c r="AB3771" s="167" t="s">
        <v>2766</v>
      </c>
      <c r="AC3771" s="167">
        <v>374</v>
      </c>
      <c r="AD3771" s="203">
        <v>43195</v>
      </c>
      <c r="AE3771" s="203">
        <v>0</v>
      </c>
      <c r="AF3771" s="167" t="s">
        <v>3469</v>
      </c>
    </row>
    <row r="3772" spans="28:32" x14ac:dyDescent="0.25">
      <c r="AB3772" s="167" t="s">
        <v>2768</v>
      </c>
      <c r="AC3772" s="167">
        <v>323</v>
      </c>
      <c r="AD3772" s="203">
        <v>43074</v>
      </c>
      <c r="AE3772" s="203">
        <v>43111</v>
      </c>
      <c r="AF3772" s="167" t="s">
        <v>3470</v>
      </c>
    </row>
    <row r="3773" spans="28:32" x14ac:dyDescent="0.25">
      <c r="AB3773" s="167" t="s">
        <v>2768</v>
      </c>
      <c r="AC3773" s="167">
        <v>347</v>
      </c>
      <c r="AD3773" s="203">
        <v>43118</v>
      </c>
      <c r="AE3773" s="203">
        <v>43133</v>
      </c>
      <c r="AF3773" s="167" t="s">
        <v>3470</v>
      </c>
    </row>
    <row r="3774" spans="28:32" x14ac:dyDescent="0.25">
      <c r="AB3774" s="167" t="s">
        <v>2768</v>
      </c>
      <c r="AC3774" s="167">
        <v>340</v>
      </c>
      <c r="AD3774" s="203">
        <v>43133</v>
      </c>
      <c r="AE3774" s="203">
        <v>43168</v>
      </c>
      <c r="AF3774" s="167" t="s">
        <v>3470</v>
      </c>
    </row>
    <row r="3775" spans="28:32" x14ac:dyDescent="0.25">
      <c r="AB3775" s="167" t="s">
        <v>2768</v>
      </c>
      <c r="AC3775" s="167">
        <v>357</v>
      </c>
      <c r="AD3775" s="203">
        <v>43139</v>
      </c>
      <c r="AE3775" s="203">
        <v>43164</v>
      </c>
      <c r="AF3775" s="167" t="s">
        <v>3470</v>
      </c>
    </row>
    <row r="3776" spans="28:32" x14ac:dyDescent="0.25">
      <c r="AB3776" s="167" t="s">
        <v>2768</v>
      </c>
      <c r="AC3776" s="167">
        <v>353</v>
      </c>
      <c r="AD3776" s="203">
        <v>43180</v>
      </c>
      <c r="AE3776" s="203">
        <v>0</v>
      </c>
      <c r="AF3776" s="167" t="s">
        <v>3469</v>
      </c>
    </row>
    <row r="3777" spans="28:32" x14ac:dyDescent="0.25">
      <c r="AB3777" s="167" t="s">
        <v>2769</v>
      </c>
      <c r="AC3777" s="167">
        <v>347</v>
      </c>
      <c r="AD3777" s="203">
        <v>43118</v>
      </c>
      <c r="AE3777" s="203">
        <v>43133</v>
      </c>
      <c r="AF3777" s="167" t="s">
        <v>3470</v>
      </c>
    </row>
    <row r="3778" spans="28:32" x14ac:dyDescent="0.25">
      <c r="AB3778" s="167" t="s">
        <v>2769</v>
      </c>
      <c r="AC3778" s="167">
        <v>340</v>
      </c>
      <c r="AD3778" s="203">
        <v>43133</v>
      </c>
      <c r="AE3778" s="203">
        <v>43168</v>
      </c>
      <c r="AF3778" s="167" t="s">
        <v>3470</v>
      </c>
    </row>
    <row r="3779" spans="28:32" x14ac:dyDescent="0.25">
      <c r="AB3779" s="167" t="s">
        <v>2771</v>
      </c>
      <c r="AC3779" s="167">
        <v>364</v>
      </c>
      <c r="AD3779" s="203">
        <v>43168</v>
      </c>
      <c r="AE3779" s="203">
        <v>43179</v>
      </c>
      <c r="AF3779" s="167" t="s">
        <v>3470</v>
      </c>
    </row>
    <row r="3780" spans="28:32" x14ac:dyDescent="0.25">
      <c r="AB3780" s="167" t="s">
        <v>2771</v>
      </c>
      <c r="AC3780" s="167">
        <v>353</v>
      </c>
      <c r="AD3780" s="203">
        <v>43180</v>
      </c>
      <c r="AE3780" s="203">
        <v>0</v>
      </c>
      <c r="AF3780" s="167" t="s">
        <v>3469</v>
      </c>
    </row>
    <row r="3781" spans="28:32" x14ac:dyDescent="0.25">
      <c r="AB3781" s="167" t="s">
        <v>2773</v>
      </c>
      <c r="AC3781" s="167">
        <v>323</v>
      </c>
      <c r="AD3781" s="203">
        <v>43074</v>
      </c>
      <c r="AE3781" s="203">
        <v>43111</v>
      </c>
      <c r="AF3781" s="167" t="s">
        <v>3470</v>
      </c>
    </row>
    <row r="3782" spans="28:32" x14ac:dyDescent="0.25">
      <c r="AB3782" s="167" t="s">
        <v>2773</v>
      </c>
      <c r="AC3782" s="167">
        <v>327</v>
      </c>
      <c r="AD3782" s="203">
        <v>43074</v>
      </c>
      <c r="AE3782" s="203">
        <v>43131</v>
      </c>
      <c r="AF3782" s="167" t="s">
        <v>3470</v>
      </c>
    </row>
    <row r="3783" spans="28:32" x14ac:dyDescent="0.25">
      <c r="AB3783" s="167" t="s">
        <v>2773</v>
      </c>
      <c r="AC3783" s="167">
        <v>347</v>
      </c>
      <c r="AD3783" s="203">
        <v>43118</v>
      </c>
      <c r="AE3783" s="203">
        <v>43133</v>
      </c>
      <c r="AF3783" s="167" t="s">
        <v>3470</v>
      </c>
    </row>
    <row r="3784" spans="28:32" x14ac:dyDescent="0.25">
      <c r="AB3784" s="167" t="s">
        <v>2773</v>
      </c>
      <c r="AC3784" s="167">
        <v>340</v>
      </c>
      <c r="AD3784" s="203">
        <v>43133</v>
      </c>
      <c r="AE3784" s="203">
        <v>43168</v>
      </c>
      <c r="AF3784" s="167" t="s">
        <v>3470</v>
      </c>
    </row>
    <row r="3785" spans="28:32" x14ac:dyDescent="0.25">
      <c r="AB3785" s="167" t="s">
        <v>2773</v>
      </c>
      <c r="AC3785" s="167">
        <v>340</v>
      </c>
      <c r="AD3785" s="203">
        <v>43133</v>
      </c>
      <c r="AE3785" s="203">
        <v>43168</v>
      </c>
      <c r="AF3785" s="167" t="s">
        <v>3470</v>
      </c>
    </row>
    <row r="3786" spans="28:32" x14ac:dyDescent="0.25">
      <c r="AB3786" s="167" t="s">
        <v>2773</v>
      </c>
      <c r="AC3786" s="167">
        <v>374</v>
      </c>
      <c r="AD3786" s="203">
        <v>43195</v>
      </c>
      <c r="AE3786" s="203">
        <v>0</v>
      </c>
      <c r="AF3786" s="167" t="s">
        <v>3469</v>
      </c>
    </row>
    <row r="3787" spans="28:32" x14ac:dyDescent="0.25">
      <c r="AB3787" s="167" t="s">
        <v>3520</v>
      </c>
      <c r="AC3787" s="167">
        <v>347</v>
      </c>
      <c r="AD3787" s="203">
        <v>43118</v>
      </c>
      <c r="AE3787" s="203">
        <v>43133</v>
      </c>
      <c r="AF3787" s="167" t="s">
        <v>3470</v>
      </c>
    </row>
    <row r="3788" spans="28:32" x14ac:dyDescent="0.25">
      <c r="AB3788" s="167" t="s">
        <v>3520</v>
      </c>
      <c r="AC3788" s="167">
        <v>340</v>
      </c>
      <c r="AD3788" s="203">
        <v>43133</v>
      </c>
      <c r="AE3788" s="203">
        <v>43168</v>
      </c>
      <c r="AF3788" s="167" t="s">
        <v>3470</v>
      </c>
    </row>
    <row r="3789" spans="28:32" x14ac:dyDescent="0.25">
      <c r="AB3789" s="167" t="s">
        <v>2775</v>
      </c>
      <c r="AC3789" s="167">
        <v>364</v>
      </c>
      <c r="AD3789" s="203">
        <v>43168</v>
      </c>
      <c r="AE3789" s="203">
        <v>43179</v>
      </c>
      <c r="AF3789" s="167" t="s">
        <v>3470</v>
      </c>
    </row>
    <row r="3790" spans="28:32" x14ac:dyDescent="0.25">
      <c r="AB3790" s="167" t="s">
        <v>2775</v>
      </c>
      <c r="AC3790" s="167">
        <v>353</v>
      </c>
      <c r="AD3790" s="203">
        <v>43180</v>
      </c>
      <c r="AE3790" s="203">
        <v>0</v>
      </c>
      <c r="AF3790" s="167" t="s">
        <v>3469</v>
      </c>
    </row>
    <row r="3791" spans="28:32" x14ac:dyDescent="0.25">
      <c r="AB3791" s="167" t="s">
        <v>2777</v>
      </c>
      <c r="AC3791" s="167">
        <v>347</v>
      </c>
      <c r="AD3791" s="203">
        <v>43118</v>
      </c>
      <c r="AE3791" s="203">
        <v>43133</v>
      </c>
      <c r="AF3791" s="167" t="s">
        <v>3470</v>
      </c>
    </row>
    <row r="3792" spans="28:32" x14ac:dyDescent="0.25">
      <c r="AB3792" s="167" t="s">
        <v>2777</v>
      </c>
      <c r="AC3792" s="167">
        <v>340</v>
      </c>
      <c r="AD3792" s="203">
        <v>43133</v>
      </c>
      <c r="AE3792" s="203">
        <v>43168</v>
      </c>
      <c r="AF3792" s="167" t="s">
        <v>3470</v>
      </c>
    </row>
    <row r="3793" spans="28:32" x14ac:dyDescent="0.25">
      <c r="AB3793" s="167" t="s">
        <v>2777</v>
      </c>
      <c r="AC3793" s="167">
        <v>357</v>
      </c>
      <c r="AD3793" s="203">
        <v>43139</v>
      </c>
      <c r="AE3793" s="203">
        <v>43164</v>
      </c>
      <c r="AF3793" s="167" t="s">
        <v>3470</v>
      </c>
    </row>
    <row r="3794" spans="28:32" x14ac:dyDescent="0.25">
      <c r="AB3794" s="167" t="s">
        <v>2777</v>
      </c>
      <c r="AC3794" s="167">
        <v>353</v>
      </c>
      <c r="AD3794" s="203">
        <v>43180</v>
      </c>
      <c r="AE3794" s="203">
        <v>0</v>
      </c>
      <c r="AF3794" s="167" t="s">
        <v>3469</v>
      </c>
    </row>
    <row r="3795" spans="28:32" x14ac:dyDescent="0.25">
      <c r="AB3795" s="167" t="s">
        <v>2779</v>
      </c>
      <c r="AC3795" s="167">
        <v>323</v>
      </c>
      <c r="AD3795" s="203">
        <v>43074</v>
      </c>
      <c r="AE3795" s="203">
        <v>43111</v>
      </c>
      <c r="AF3795" s="167" t="s">
        <v>3470</v>
      </c>
    </row>
    <row r="3796" spans="28:32" x14ac:dyDescent="0.25">
      <c r="AB3796" s="167" t="s">
        <v>2779</v>
      </c>
      <c r="AC3796" s="167">
        <v>347</v>
      </c>
      <c r="AD3796" s="203">
        <v>43118</v>
      </c>
      <c r="AE3796" s="203">
        <v>43133</v>
      </c>
      <c r="AF3796" s="167" t="s">
        <v>3470</v>
      </c>
    </row>
    <row r="3797" spans="28:32" x14ac:dyDescent="0.25">
      <c r="AB3797" s="167" t="s">
        <v>2779</v>
      </c>
      <c r="AC3797" s="167">
        <v>340</v>
      </c>
      <c r="AD3797" s="203">
        <v>43133</v>
      </c>
      <c r="AE3797" s="203">
        <v>43168</v>
      </c>
      <c r="AF3797" s="167" t="s">
        <v>3470</v>
      </c>
    </row>
    <row r="3798" spans="28:32" x14ac:dyDescent="0.25">
      <c r="AB3798" s="167" t="s">
        <v>2779</v>
      </c>
      <c r="AC3798" s="167">
        <v>357</v>
      </c>
      <c r="AD3798" s="203">
        <v>43139</v>
      </c>
      <c r="AE3798" s="203">
        <v>43164</v>
      </c>
      <c r="AF3798" s="167" t="s">
        <v>3470</v>
      </c>
    </row>
    <row r="3799" spans="28:32" x14ac:dyDescent="0.25">
      <c r="AB3799" s="167" t="s">
        <v>2779</v>
      </c>
      <c r="AC3799" s="167">
        <v>353</v>
      </c>
      <c r="AD3799" s="203">
        <v>43180</v>
      </c>
      <c r="AE3799" s="203">
        <v>0</v>
      </c>
      <c r="AF3799" s="167" t="s">
        <v>3469</v>
      </c>
    </row>
    <row r="3800" spans="28:32" x14ac:dyDescent="0.25">
      <c r="AB3800" s="167" t="s">
        <v>2779</v>
      </c>
      <c r="AC3800" s="167">
        <v>353</v>
      </c>
      <c r="AD3800" s="203">
        <v>43180</v>
      </c>
      <c r="AE3800" s="203">
        <v>0</v>
      </c>
      <c r="AF3800" s="167" t="s">
        <v>3469</v>
      </c>
    </row>
    <row r="3801" spans="28:32" x14ac:dyDescent="0.25">
      <c r="AB3801" s="167" t="s">
        <v>2779</v>
      </c>
      <c r="AC3801" s="167">
        <v>353</v>
      </c>
      <c r="AD3801" s="203">
        <v>43180</v>
      </c>
      <c r="AE3801" s="203">
        <v>0</v>
      </c>
      <c r="AF3801" s="167" t="s">
        <v>3469</v>
      </c>
    </row>
    <row r="3802" spans="28:32" x14ac:dyDescent="0.25">
      <c r="AB3802" s="167" t="s">
        <v>3521</v>
      </c>
      <c r="AC3802" s="167">
        <v>340</v>
      </c>
      <c r="AD3802" s="203">
        <v>43133</v>
      </c>
      <c r="AE3802" s="203">
        <v>43168</v>
      </c>
      <c r="AF3802" s="167" t="s">
        <v>3470</v>
      </c>
    </row>
    <row r="3803" spans="28:32" x14ac:dyDescent="0.25">
      <c r="AB3803" s="167" t="s">
        <v>2780</v>
      </c>
      <c r="AC3803" s="167">
        <v>328</v>
      </c>
      <c r="AD3803" s="203">
        <v>43089</v>
      </c>
      <c r="AE3803" s="203">
        <v>43122</v>
      </c>
      <c r="AF3803" s="167" t="s">
        <v>3470</v>
      </c>
    </row>
    <row r="3804" spans="28:32" x14ac:dyDescent="0.25">
      <c r="AB3804" s="167" t="s">
        <v>2782</v>
      </c>
      <c r="AC3804" s="167">
        <v>323</v>
      </c>
      <c r="AD3804" s="203">
        <v>43074</v>
      </c>
      <c r="AE3804" s="203">
        <v>43111</v>
      </c>
      <c r="AF3804" s="167" t="s">
        <v>3470</v>
      </c>
    </row>
    <row r="3805" spans="28:32" x14ac:dyDescent="0.25">
      <c r="AB3805" s="167" t="s">
        <v>2782</v>
      </c>
      <c r="AC3805" s="167">
        <v>327</v>
      </c>
      <c r="AD3805" s="203">
        <v>43074</v>
      </c>
      <c r="AE3805" s="203">
        <v>43131</v>
      </c>
      <c r="AF3805" s="167" t="s">
        <v>3470</v>
      </c>
    </row>
    <row r="3806" spans="28:32" x14ac:dyDescent="0.25">
      <c r="AB3806" s="167" t="s">
        <v>2782</v>
      </c>
      <c r="AC3806" s="167">
        <v>364</v>
      </c>
      <c r="AD3806" s="203">
        <v>43168</v>
      </c>
      <c r="AE3806" s="203">
        <v>43179</v>
      </c>
      <c r="AF3806" s="167" t="s">
        <v>3470</v>
      </c>
    </row>
    <row r="3807" spans="28:32" x14ac:dyDescent="0.25">
      <c r="AB3807" s="167" t="s">
        <v>2782</v>
      </c>
      <c r="AC3807" s="167">
        <v>353</v>
      </c>
      <c r="AD3807" s="203">
        <v>43180</v>
      </c>
      <c r="AE3807" s="203">
        <v>0</v>
      </c>
      <c r="AF3807" s="167" t="s">
        <v>3469</v>
      </c>
    </row>
    <row r="3808" spans="28:32" x14ac:dyDescent="0.25">
      <c r="AB3808" s="167" t="s">
        <v>2782</v>
      </c>
      <c r="AC3808" s="167">
        <v>353</v>
      </c>
      <c r="AD3808" s="203">
        <v>43180</v>
      </c>
      <c r="AE3808" s="203">
        <v>0</v>
      </c>
      <c r="AF3808" s="167" t="s">
        <v>3469</v>
      </c>
    </row>
    <row r="3809" spans="28:32" x14ac:dyDescent="0.25">
      <c r="AB3809" s="167" t="s">
        <v>2784</v>
      </c>
      <c r="AC3809" s="167">
        <v>353</v>
      </c>
      <c r="AD3809" s="203">
        <v>43180</v>
      </c>
      <c r="AE3809" s="203">
        <v>0</v>
      </c>
      <c r="AF3809" s="167" t="s">
        <v>3469</v>
      </c>
    </row>
    <row r="3810" spans="28:32" x14ac:dyDescent="0.25">
      <c r="AB3810" s="167" t="s">
        <v>2786</v>
      </c>
      <c r="AC3810" s="167">
        <v>357</v>
      </c>
      <c r="AD3810" s="203">
        <v>43139</v>
      </c>
      <c r="AE3810" s="203">
        <v>43164</v>
      </c>
      <c r="AF3810" s="167" t="s">
        <v>3470</v>
      </c>
    </row>
    <row r="3811" spans="28:32" x14ac:dyDescent="0.25">
      <c r="AB3811" s="167" t="s">
        <v>2786</v>
      </c>
      <c r="AC3811" s="167">
        <v>353</v>
      </c>
      <c r="AD3811" s="203">
        <v>43180</v>
      </c>
      <c r="AE3811" s="203">
        <v>0</v>
      </c>
      <c r="AF3811" s="167" t="s">
        <v>3469</v>
      </c>
    </row>
    <row r="3812" spans="28:32" x14ac:dyDescent="0.25">
      <c r="AB3812" s="167" t="s">
        <v>2788</v>
      </c>
      <c r="AC3812" s="167">
        <v>347</v>
      </c>
      <c r="AD3812" s="203">
        <v>43118</v>
      </c>
      <c r="AE3812" s="203">
        <v>43133</v>
      </c>
      <c r="AF3812" s="167" t="s">
        <v>3470</v>
      </c>
    </row>
    <row r="3813" spans="28:32" x14ac:dyDescent="0.25">
      <c r="AB3813" s="167" t="s">
        <v>2788</v>
      </c>
      <c r="AC3813" s="167">
        <v>340</v>
      </c>
      <c r="AD3813" s="203">
        <v>43133</v>
      </c>
      <c r="AE3813" s="203">
        <v>43168</v>
      </c>
      <c r="AF3813" s="167" t="s">
        <v>3470</v>
      </c>
    </row>
    <row r="3814" spans="28:32" x14ac:dyDescent="0.25">
      <c r="AB3814" s="167" t="s">
        <v>2788</v>
      </c>
      <c r="AC3814" s="167">
        <v>364</v>
      </c>
      <c r="AD3814" s="203">
        <v>43168</v>
      </c>
      <c r="AE3814" s="203">
        <v>43179</v>
      </c>
      <c r="AF3814" s="167" t="s">
        <v>3470</v>
      </c>
    </row>
    <row r="3815" spans="28:32" x14ac:dyDescent="0.25">
      <c r="AB3815" s="167" t="s">
        <v>2788</v>
      </c>
      <c r="AC3815" s="167">
        <v>374</v>
      </c>
      <c r="AD3815" s="203">
        <v>43195</v>
      </c>
      <c r="AE3815" s="203">
        <v>0</v>
      </c>
      <c r="AF3815" s="167" t="s">
        <v>3469</v>
      </c>
    </row>
    <row r="3816" spans="28:32" x14ac:dyDescent="0.25">
      <c r="AB3816" s="167" t="s">
        <v>2789</v>
      </c>
      <c r="AC3816" s="167">
        <v>358</v>
      </c>
      <c r="AD3816" s="203">
        <v>43140</v>
      </c>
      <c r="AE3816" s="203">
        <v>43153</v>
      </c>
      <c r="AF3816" s="167" t="s">
        <v>3470</v>
      </c>
    </row>
    <row r="3817" spans="28:32" x14ac:dyDescent="0.25">
      <c r="AB3817" s="167" t="s">
        <v>3522</v>
      </c>
      <c r="AC3817" s="167">
        <v>358</v>
      </c>
      <c r="AD3817" s="203">
        <v>43140</v>
      </c>
      <c r="AE3817" s="203">
        <v>43153</v>
      </c>
      <c r="AF3817" s="167" t="s">
        <v>3470</v>
      </c>
    </row>
    <row r="3818" spans="28:32" x14ac:dyDescent="0.25">
      <c r="AB3818" s="167" t="s">
        <v>3523</v>
      </c>
      <c r="AC3818" s="167">
        <v>358</v>
      </c>
      <c r="AD3818" s="203">
        <v>43140</v>
      </c>
      <c r="AE3818" s="203">
        <v>43153</v>
      </c>
      <c r="AF3818" s="167" t="s">
        <v>3470</v>
      </c>
    </row>
    <row r="3819" spans="28:32" x14ac:dyDescent="0.25">
      <c r="AB3819" s="167" t="s">
        <v>2790</v>
      </c>
      <c r="AC3819" s="167">
        <v>358</v>
      </c>
      <c r="AD3819" s="203">
        <v>43140</v>
      </c>
      <c r="AE3819" s="203">
        <v>43153</v>
      </c>
      <c r="AF3819" s="167" t="s">
        <v>3470</v>
      </c>
    </row>
    <row r="3820" spans="28:32" x14ac:dyDescent="0.25">
      <c r="AB3820" s="167" t="s">
        <v>2792</v>
      </c>
      <c r="AC3820" s="167">
        <v>353</v>
      </c>
      <c r="AD3820" s="203">
        <v>43180</v>
      </c>
      <c r="AE3820" s="203">
        <v>0</v>
      </c>
      <c r="AF3820" s="167" t="s">
        <v>3469</v>
      </c>
    </row>
    <row r="3821" spans="28:32" x14ac:dyDescent="0.25">
      <c r="AB3821" s="167" t="s">
        <v>3401</v>
      </c>
      <c r="AC3821" s="167">
        <v>356</v>
      </c>
      <c r="AD3821" s="203">
        <v>43139</v>
      </c>
      <c r="AE3821" s="203">
        <v>0</v>
      </c>
      <c r="AF3821" s="167" t="s">
        <v>3469</v>
      </c>
    </row>
    <row r="3822" spans="28:32" x14ac:dyDescent="0.25">
      <c r="AB3822" s="167" t="s">
        <v>3402</v>
      </c>
      <c r="AC3822" s="167">
        <v>356</v>
      </c>
      <c r="AD3822" s="203">
        <v>43139</v>
      </c>
      <c r="AE3822" s="203">
        <v>0</v>
      </c>
      <c r="AF3822" s="167" t="s">
        <v>3469</v>
      </c>
    </row>
    <row r="3823" spans="28:32" x14ac:dyDescent="0.25">
      <c r="AB3823" s="167" t="s">
        <v>3435</v>
      </c>
      <c r="AC3823" s="167">
        <v>353</v>
      </c>
      <c r="AD3823" s="203">
        <v>43180</v>
      </c>
      <c r="AE3823" s="203">
        <v>0</v>
      </c>
      <c r="AF3823" s="167" t="s">
        <v>3469</v>
      </c>
    </row>
    <row r="3824" spans="28:32" x14ac:dyDescent="0.25">
      <c r="AB3824" s="167" t="s">
        <v>3461</v>
      </c>
      <c r="AC3824" s="167">
        <v>323</v>
      </c>
      <c r="AD3824" s="203">
        <v>43074</v>
      </c>
      <c r="AE3824" s="203">
        <v>43111</v>
      </c>
      <c r="AF3824" s="167" t="s">
        <v>3470</v>
      </c>
    </row>
    <row r="3825" spans="28:32" x14ac:dyDescent="0.25">
      <c r="AB3825" s="167" t="s">
        <v>3461</v>
      </c>
      <c r="AC3825" s="167">
        <v>327</v>
      </c>
      <c r="AD3825" s="203">
        <v>43074</v>
      </c>
      <c r="AE3825" s="203">
        <v>43131</v>
      </c>
      <c r="AF3825" s="167" t="s">
        <v>3470</v>
      </c>
    </row>
    <row r="3826" spans="28:32" x14ac:dyDescent="0.25">
      <c r="AB3826" s="167" t="s">
        <v>3461</v>
      </c>
      <c r="AC3826" s="167">
        <v>327</v>
      </c>
      <c r="AD3826" s="203">
        <v>43074</v>
      </c>
      <c r="AE3826" s="203">
        <v>43131</v>
      </c>
      <c r="AF3826" s="167" t="s">
        <v>3470</v>
      </c>
    </row>
    <row r="3827" spans="28:32" x14ac:dyDescent="0.25">
      <c r="AB3827" s="167" t="s">
        <v>3461</v>
      </c>
      <c r="AC3827" s="167">
        <v>347</v>
      </c>
      <c r="AD3827" s="203">
        <v>43118</v>
      </c>
      <c r="AE3827" s="203">
        <v>43133</v>
      </c>
      <c r="AF3827" s="167" t="s">
        <v>3470</v>
      </c>
    </row>
    <row r="3828" spans="28:32" x14ac:dyDescent="0.25">
      <c r="AB3828" s="167" t="s">
        <v>3461</v>
      </c>
      <c r="AC3828" s="167">
        <v>340</v>
      </c>
      <c r="AD3828" s="203">
        <v>43133</v>
      </c>
      <c r="AE3828" s="203">
        <v>43168</v>
      </c>
      <c r="AF3828" s="167" t="s">
        <v>3470</v>
      </c>
    </row>
    <row r="3829" spans="28:32" x14ac:dyDescent="0.25">
      <c r="AB3829" s="167" t="s">
        <v>3461</v>
      </c>
      <c r="AC3829" s="167">
        <v>364</v>
      </c>
      <c r="AD3829" s="203">
        <v>43168</v>
      </c>
      <c r="AE3829" s="203">
        <v>43179</v>
      </c>
      <c r="AF3829" s="167" t="s">
        <v>3470</v>
      </c>
    </row>
    <row r="3830" spans="28:32" x14ac:dyDescent="0.25">
      <c r="AB3830" s="167" t="s">
        <v>3461</v>
      </c>
      <c r="AC3830" s="167">
        <v>374</v>
      </c>
      <c r="AD3830" s="203">
        <v>43195</v>
      </c>
      <c r="AE3830" s="203">
        <v>0</v>
      </c>
      <c r="AF3830" s="167" t="s">
        <v>3469</v>
      </c>
    </row>
    <row r="3831" spans="28:32" x14ac:dyDescent="0.25">
      <c r="AB3831" s="167" t="s">
        <v>2793</v>
      </c>
      <c r="AC3831" s="167">
        <v>323</v>
      </c>
      <c r="AD3831" s="203">
        <v>43074</v>
      </c>
      <c r="AE3831" s="203">
        <v>43111</v>
      </c>
      <c r="AF3831" s="167" t="s">
        <v>3470</v>
      </c>
    </row>
    <row r="3832" spans="28:32" x14ac:dyDescent="0.25">
      <c r="AB3832" s="167" t="s">
        <v>2793</v>
      </c>
      <c r="AC3832" s="167">
        <v>327</v>
      </c>
      <c r="AD3832" s="203">
        <v>43074</v>
      </c>
      <c r="AE3832" s="203">
        <v>43131</v>
      </c>
      <c r="AF3832" s="167" t="s">
        <v>3470</v>
      </c>
    </row>
    <row r="3833" spans="28:32" x14ac:dyDescent="0.25">
      <c r="AB3833" s="167" t="s">
        <v>2793</v>
      </c>
      <c r="AC3833" s="167">
        <v>347</v>
      </c>
      <c r="AD3833" s="203">
        <v>43118</v>
      </c>
      <c r="AE3833" s="203">
        <v>43133</v>
      </c>
      <c r="AF3833" s="167" t="s">
        <v>3470</v>
      </c>
    </row>
    <row r="3834" spans="28:32" x14ac:dyDescent="0.25">
      <c r="AB3834" s="167" t="s">
        <v>2793</v>
      </c>
      <c r="AC3834" s="167">
        <v>364</v>
      </c>
      <c r="AD3834" s="203">
        <v>43168</v>
      </c>
      <c r="AE3834" s="203">
        <v>43179</v>
      </c>
      <c r="AF3834" s="167" t="s">
        <v>3470</v>
      </c>
    </row>
    <row r="3835" spans="28:32" x14ac:dyDescent="0.25">
      <c r="AB3835" s="167" t="s">
        <v>2793</v>
      </c>
      <c r="AC3835" s="167">
        <v>374</v>
      </c>
      <c r="AD3835" s="203">
        <v>43195</v>
      </c>
      <c r="AE3835" s="203">
        <v>0</v>
      </c>
      <c r="AF3835" s="167" t="s">
        <v>3469</v>
      </c>
    </row>
    <row r="3836" spans="28:32" x14ac:dyDescent="0.25">
      <c r="AB3836" s="167" t="s">
        <v>2794</v>
      </c>
      <c r="AC3836" s="167">
        <v>323</v>
      </c>
      <c r="AD3836" s="203">
        <v>43074</v>
      </c>
      <c r="AE3836" s="203">
        <v>43111</v>
      </c>
      <c r="AF3836" s="167" t="s">
        <v>3470</v>
      </c>
    </row>
    <row r="3837" spans="28:32" x14ac:dyDescent="0.25">
      <c r="AB3837" s="167" t="s">
        <v>2796</v>
      </c>
      <c r="AC3837" s="167">
        <v>340</v>
      </c>
      <c r="AD3837" s="203">
        <v>43133</v>
      </c>
      <c r="AE3837" s="203">
        <v>43168</v>
      </c>
      <c r="AF3837" s="167" t="s">
        <v>3470</v>
      </c>
    </row>
    <row r="3838" spans="28:32" x14ac:dyDescent="0.25">
      <c r="AB3838" s="167" t="s">
        <v>2796</v>
      </c>
      <c r="AC3838" s="167">
        <v>357</v>
      </c>
      <c r="AD3838" s="203">
        <v>43139</v>
      </c>
      <c r="AE3838" s="203">
        <v>43164</v>
      </c>
      <c r="AF3838" s="167" t="s">
        <v>3470</v>
      </c>
    </row>
    <row r="3839" spans="28:32" x14ac:dyDescent="0.25">
      <c r="AB3839" s="167" t="s">
        <v>2796</v>
      </c>
      <c r="AC3839" s="167">
        <v>374</v>
      </c>
      <c r="AD3839" s="203">
        <v>43195</v>
      </c>
      <c r="AE3839" s="203">
        <v>0</v>
      </c>
      <c r="AF3839" s="167" t="s">
        <v>3469</v>
      </c>
    </row>
    <row r="3840" spans="28:32" x14ac:dyDescent="0.25">
      <c r="AB3840" s="167" t="s">
        <v>2797</v>
      </c>
      <c r="AC3840" s="167">
        <v>327</v>
      </c>
      <c r="AD3840" s="203">
        <v>43074</v>
      </c>
      <c r="AE3840" s="203">
        <v>43131</v>
      </c>
      <c r="AF3840" s="167" t="s">
        <v>3470</v>
      </c>
    </row>
    <row r="3841" spans="28:32" x14ac:dyDescent="0.25">
      <c r="AB3841" s="167" t="s">
        <v>2798</v>
      </c>
      <c r="AC3841" s="167">
        <v>327</v>
      </c>
      <c r="AD3841" s="203">
        <v>43074</v>
      </c>
      <c r="AE3841" s="203">
        <v>43131</v>
      </c>
      <c r="AF3841" s="167" t="s">
        <v>3470</v>
      </c>
    </row>
    <row r="3842" spans="28:32" x14ac:dyDescent="0.25">
      <c r="AB3842" s="167" t="s">
        <v>2799</v>
      </c>
      <c r="AC3842" s="167">
        <v>323</v>
      </c>
      <c r="AD3842" s="203">
        <v>43074</v>
      </c>
      <c r="AE3842" s="203">
        <v>43111</v>
      </c>
      <c r="AF3842" s="167" t="s">
        <v>3470</v>
      </c>
    </row>
    <row r="3843" spans="28:32" x14ac:dyDescent="0.25">
      <c r="AB3843" s="167" t="s">
        <v>2799</v>
      </c>
      <c r="AC3843" s="167">
        <v>340</v>
      </c>
      <c r="AD3843" s="203">
        <v>43133</v>
      </c>
      <c r="AE3843" s="203">
        <v>43168</v>
      </c>
      <c r="AF3843" s="167" t="s">
        <v>3470</v>
      </c>
    </row>
    <row r="3844" spans="28:32" x14ac:dyDescent="0.25">
      <c r="AB3844" s="167" t="s">
        <v>3524</v>
      </c>
      <c r="AC3844" s="167">
        <v>358</v>
      </c>
      <c r="AD3844" s="203">
        <v>43140</v>
      </c>
      <c r="AE3844" s="203">
        <v>43153</v>
      </c>
      <c r="AF3844" s="167" t="s">
        <v>3470</v>
      </c>
    </row>
    <row r="3845" spans="28:32" x14ac:dyDescent="0.25">
      <c r="AB3845" s="167" t="s">
        <v>2801</v>
      </c>
      <c r="AC3845" s="167">
        <v>357</v>
      </c>
      <c r="AD3845" s="203">
        <v>43139</v>
      </c>
      <c r="AE3845" s="203">
        <v>43164</v>
      </c>
      <c r="AF3845" s="167" t="s">
        <v>3470</v>
      </c>
    </row>
    <row r="3846" spans="28:32" x14ac:dyDescent="0.25">
      <c r="AB3846" s="167" t="s">
        <v>2801</v>
      </c>
      <c r="AC3846" s="167">
        <v>364</v>
      </c>
      <c r="AD3846" s="203">
        <v>43168</v>
      </c>
      <c r="AE3846" s="203">
        <v>43179</v>
      </c>
      <c r="AF3846" s="167" t="s">
        <v>3470</v>
      </c>
    </row>
    <row r="3847" spans="28:32" x14ac:dyDescent="0.25">
      <c r="AB3847" s="167" t="s">
        <v>2801</v>
      </c>
      <c r="AC3847" s="167">
        <v>353</v>
      </c>
      <c r="AD3847" s="203">
        <v>43180</v>
      </c>
      <c r="AE3847" s="203">
        <v>0</v>
      </c>
      <c r="AF3847" s="167" t="s">
        <v>3469</v>
      </c>
    </row>
    <row r="3848" spans="28:32" x14ac:dyDescent="0.25">
      <c r="AB3848" s="167" t="s">
        <v>2801</v>
      </c>
      <c r="AC3848" s="167">
        <v>374</v>
      </c>
      <c r="AD3848" s="203">
        <v>43195</v>
      </c>
      <c r="AE3848" s="203">
        <v>0</v>
      </c>
      <c r="AF3848" s="167" t="s">
        <v>3469</v>
      </c>
    </row>
    <row r="3849" spans="28:32" x14ac:dyDescent="0.25">
      <c r="AB3849" s="167" t="s">
        <v>2803</v>
      </c>
      <c r="AC3849" s="167">
        <v>347</v>
      </c>
      <c r="AD3849" s="203">
        <v>43118</v>
      </c>
      <c r="AE3849" s="203">
        <v>43133</v>
      </c>
      <c r="AF3849" s="167" t="s">
        <v>3470</v>
      </c>
    </row>
    <row r="3850" spans="28:32" x14ac:dyDescent="0.25">
      <c r="AB3850" s="167" t="s">
        <v>2803</v>
      </c>
      <c r="AC3850" s="167">
        <v>340</v>
      </c>
      <c r="AD3850" s="203">
        <v>43133</v>
      </c>
      <c r="AE3850" s="203">
        <v>43168</v>
      </c>
      <c r="AF3850" s="167" t="s">
        <v>3470</v>
      </c>
    </row>
    <row r="3851" spans="28:32" x14ac:dyDescent="0.25">
      <c r="AB3851" s="167" t="s">
        <v>2803</v>
      </c>
      <c r="AC3851" s="167">
        <v>357</v>
      </c>
      <c r="AD3851" s="203">
        <v>43139</v>
      </c>
      <c r="AE3851" s="203">
        <v>43164</v>
      </c>
      <c r="AF3851" s="167" t="s">
        <v>3470</v>
      </c>
    </row>
    <row r="3852" spans="28:32" x14ac:dyDescent="0.25">
      <c r="AB3852" s="167" t="s">
        <v>2803</v>
      </c>
      <c r="AC3852" s="167">
        <v>364</v>
      </c>
      <c r="AD3852" s="203">
        <v>43168</v>
      </c>
      <c r="AE3852" s="203">
        <v>43179</v>
      </c>
      <c r="AF3852" s="167" t="s">
        <v>3470</v>
      </c>
    </row>
    <row r="3853" spans="28:32" x14ac:dyDescent="0.25">
      <c r="AB3853" s="167" t="s">
        <v>2803</v>
      </c>
      <c r="AC3853" s="167">
        <v>353</v>
      </c>
      <c r="AD3853" s="203">
        <v>43180</v>
      </c>
      <c r="AE3853" s="203">
        <v>0</v>
      </c>
      <c r="AF3853" s="167" t="s">
        <v>3469</v>
      </c>
    </row>
    <row r="3854" spans="28:32" x14ac:dyDescent="0.25">
      <c r="AB3854" s="167" t="s">
        <v>2803</v>
      </c>
      <c r="AC3854" s="167">
        <v>353</v>
      </c>
      <c r="AD3854" s="203">
        <v>43180</v>
      </c>
      <c r="AE3854" s="203">
        <v>0</v>
      </c>
      <c r="AF3854" s="167" t="s">
        <v>3469</v>
      </c>
    </row>
    <row r="3855" spans="28:32" x14ac:dyDescent="0.25">
      <c r="AB3855" s="167" t="s">
        <v>2803</v>
      </c>
      <c r="AC3855" s="167">
        <v>353</v>
      </c>
      <c r="AD3855" s="203">
        <v>43180</v>
      </c>
      <c r="AE3855" s="203">
        <v>0</v>
      </c>
      <c r="AF3855" s="167" t="s">
        <v>3469</v>
      </c>
    </row>
    <row r="3856" spans="28:32" x14ac:dyDescent="0.25">
      <c r="AB3856" s="167" t="s">
        <v>2803</v>
      </c>
      <c r="AC3856" s="167">
        <v>353</v>
      </c>
      <c r="AD3856" s="203">
        <v>43180</v>
      </c>
      <c r="AE3856" s="203">
        <v>0</v>
      </c>
      <c r="AF3856" s="167" t="s">
        <v>3469</v>
      </c>
    </row>
    <row r="3857" spans="28:32" x14ac:dyDescent="0.25">
      <c r="AB3857" s="167" t="s">
        <v>2803</v>
      </c>
      <c r="AC3857" s="167">
        <v>353</v>
      </c>
      <c r="AD3857" s="203">
        <v>43180</v>
      </c>
      <c r="AE3857" s="203">
        <v>0</v>
      </c>
      <c r="AF3857" s="167" t="s">
        <v>3469</v>
      </c>
    </row>
    <row r="3858" spans="28:32" x14ac:dyDescent="0.25">
      <c r="AB3858" s="167" t="s">
        <v>2805</v>
      </c>
      <c r="AC3858" s="167">
        <v>347</v>
      </c>
      <c r="AD3858" s="203">
        <v>43118</v>
      </c>
      <c r="AE3858" s="203">
        <v>43133</v>
      </c>
      <c r="AF3858" s="167" t="s">
        <v>3470</v>
      </c>
    </row>
    <row r="3859" spans="28:32" x14ac:dyDescent="0.25">
      <c r="AB3859" s="167" t="s">
        <v>2805</v>
      </c>
      <c r="AC3859" s="167">
        <v>340</v>
      </c>
      <c r="AD3859" s="203">
        <v>43133</v>
      </c>
      <c r="AE3859" s="203">
        <v>43168</v>
      </c>
      <c r="AF3859" s="167" t="s">
        <v>3470</v>
      </c>
    </row>
    <row r="3860" spans="28:32" x14ac:dyDescent="0.25">
      <c r="AB3860" s="167" t="s">
        <v>2805</v>
      </c>
      <c r="AC3860" s="167">
        <v>364</v>
      </c>
      <c r="AD3860" s="203">
        <v>43168</v>
      </c>
      <c r="AE3860" s="203">
        <v>43179</v>
      </c>
      <c r="AF3860" s="167" t="s">
        <v>3470</v>
      </c>
    </row>
    <row r="3861" spans="28:32" x14ac:dyDescent="0.25">
      <c r="AB3861" s="167" t="s">
        <v>2805</v>
      </c>
      <c r="AC3861" s="167">
        <v>353</v>
      </c>
      <c r="AD3861" s="203">
        <v>43180</v>
      </c>
      <c r="AE3861" s="203">
        <v>0</v>
      </c>
      <c r="AF3861" s="167" t="s">
        <v>3469</v>
      </c>
    </row>
    <row r="3862" spans="28:32" x14ac:dyDescent="0.25">
      <c r="AB3862" s="167" t="s">
        <v>2805</v>
      </c>
      <c r="AC3862" s="167">
        <v>353</v>
      </c>
      <c r="AD3862" s="203">
        <v>43180</v>
      </c>
      <c r="AE3862" s="203">
        <v>0</v>
      </c>
      <c r="AF3862" s="167" t="s">
        <v>3469</v>
      </c>
    </row>
    <row r="3863" spans="28:32" x14ac:dyDescent="0.25">
      <c r="AB3863" s="167" t="s">
        <v>2807</v>
      </c>
      <c r="AC3863" s="167">
        <v>347</v>
      </c>
      <c r="AD3863" s="203">
        <v>43118</v>
      </c>
      <c r="AE3863" s="203">
        <v>43133</v>
      </c>
      <c r="AF3863" s="167" t="s">
        <v>3470</v>
      </c>
    </row>
    <row r="3864" spans="28:32" x14ac:dyDescent="0.25">
      <c r="AB3864" s="167" t="s">
        <v>2807</v>
      </c>
      <c r="AC3864" s="167">
        <v>340</v>
      </c>
      <c r="AD3864" s="203">
        <v>43133</v>
      </c>
      <c r="AE3864" s="203">
        <v>43168</v>
      </c>
      <c r="AF3864" s="167" t="s">
        <v>3470</v>
      </c>
    </row>
    <row r="3865" spans="28:32" x14ac:dyDescent="0.25">
      <c r="AB3865" s="167" t="s">
        <v>2807</v>
      </c>
      <c r="AC3865" s="167">
        <v>364</v>
      </c>
      <c r="AD3865" s="203">
        <v>43168</v>
      </c>
      <c r="AE3865" s="203">
        <v>43179</v>
      </c>
      <c r="AF3865" s="167" t="s">
        <v>3470</v>
      </c>
    </row>
    <row r="3866" spans="28:32" x14ac:dyDescent="0.25">
      <c r="AB3866" s="167" t="s">
        <v>2807</v>
      </c>
      <c r="AC3866" s="167">
        <v>353</v>
      </c>
      <c r="AD3866" s="203">
        <v>43180</v>
      </c>
      <c r="AE3866" s="203">
        <v>0</v>
      </c>
      <c r="AF3866" s="167" t="s">
        <v>3469</v>
      </c>
    </row>
    <row r="3867" spans="28:32" x14ac:dyDescent="0.25">
      <c r="AB3867" s="167" t="s">
        <v>2809</v>
      </c>
      <c r="AC3867" s="167">
        <v>364</v>
      </c>
      <c r="AD3867" s="203">
        <v>43168</v>
      </c>
      <c r="AE3867" s="203">
        <v>43179</v>
      </c>
      <c r="AF3867" s="167" t="s">
        <v>3470</v>
      </c>
    </row>
    <row r="3868" spans="28:32" x14ac:dyDescent="0.25">
      <c r="AB3868" s="167" t="s">
        <v>2809</v>
      </c>
      <c r="AC3868" s="167">
        <v>353</v>
      </c>
      <c r="AD3868" s="203">
        <v>43180</v>
      </c>
      <c r="AE3868" s="203">
        <v>0</v>
      </c>
      <c r="AF3868" s="167" t="s">
        <v>3469</v>
      </c>
    </row>
    <row r="3869" spans="28:32" x14ac:dyDescent="0.25">
      <c r="AB3869" s="167" t="s">
        <v>2811</v>
      </c>
      <c r="AC3869" s="167">
        <v>364</v>
      </c>
      <c r="AD3869" s="203">
        <v>43168</v>
      </c>
      <c r="AE3869" s="203">
        <v>43179</v>
      </c>
      <c r="AF3869" s="167" t="s">
        <v>3470</v>
      </c>
    </row>
    <row r="3870" spans="28:32" x14ac:dyDescent="0.25">
      <c r="AB3870" s="167" t="s">
        <v>2811</v>
      </c>
      <c r="AC3870" s="167">
        <v>353</v>
      </c>
      <c r="AD3870" s="203">
        <v>43180</v>
      </c>
      <c r="AE3870" s="203">
        <v>0</v>
      </c>
      <c r="AF3870" s="167" t="s">
        <v>3469</v>
      </c>
    </row>
    <row r="3871" spans="28:32" x14ac:dyDescent="0.25">
      <c r="AB3871" s="167" t="s">
        <v>2813</v>
      </c>
      <c r="AC3871" s="167">
        <v>323</v>
      </c>
      <c r="AD3871" s="203">
        <v>43074</v>
      </c>
      <c r="AE3871" s="203">
        <v>43111</v>
      </c>
      <c r="AF3871" s="167" t="s">
        <v>3470</v>
      </c>
    </row>
    <row r="3872" spans="28:32" x14ac:dyDescent="0.25">
      <c r="AB3872" s="167" t="s">
        <v>2813</v>
      </c>
      <c r="AC3872" s="167">
        <v>327</v>
      </c>
      <c r="AD3872" s="203">
        <v>43074</v>
      </c>
      <c r="AE3872" s="203">
        <v>43131</v>
      </c>
      <c r="AF3872" s="167" t="s">
        <v>3470</v>
      </c>
    </row>
    <row r="3873" spans="28:32" x14ac:dyDescent="0.25">
      <c r="AB3873" s="167" t="s">
        <v>2813</v>
      </c>
      <c r="AC3873" s="167">
        <v>347</v>
      </c>
      <c r="AD3873" s="203">
        <v>43118</v>
      </c>
      <c r="AE3873" s="203">
        <v>43133</v>
      </c>
      <c r="AF3873" s="167" t="s">
        <v>3470</v>
      </c>
    </row>
    <row r="3874" spans="28:32" x14ac:dyDescent="0.25">
      <c r="AB3874" s="167" t="s">
        <v>2813</v>
      </c>
      <c r="AC3874" s="167">
        <v>340</v>
      </c>
      <c r="AD3874" s="203">
        <v>43133</v>
      </c>
      <c r="AE3874" s="203">
        <v>43168</v>
      </c>
      <c r="AF3874" s="167" t="s">
        <v>3470</v>
      </c>
    </row>
    <row r="3875" spans="28:32" x14ac:dyDescent="0.25">
      <c r="AB3875" s="167" t="s">
        <v>2813</v>
      </c>
      <c r="AC3875" s="167">
        <v>340</v>
      </c>
      <c r="AD3875" s="203">
        <v>43133</v>
      </c>
      <c r="AE3875" s="203">
        <v>43168</v>
      </c>
      <c r="AF3875" s="167" t="s">
        <v>3470</v>
      </c>
    </row>
    <row r="3876" spans="28:32" x14ac:dyDescent="0.25">
      <c r="AB3876" s="167" t="s">
        <v>2813</v>
      </c>
      <c r="AC3876" s="167">
        <v>357</v>
      </c>
      <c r="AD3876" s="203">
        <v>43139</v>
      </c>
      <c r="AE3876" s="203">
        <v>43164</v>
      </c>
      <c r="AF3876" s="167" t="s">
        <v>3470</v>
      </c>
    </row>
    <row r="3877" spans="28:32" x14ac:dyDescent="0.25">
      <c r="AB3877" s="167" t="s">
        <v>2813</v>
      </c>
      <c r="AC3877" s="167">
        <v>353</v>
      </c>
      <c r="AD3877" s="203">
        <v>43180</v>
      </c>
      <c r="AE3877" s="203">
        <v>0</v>
      </c>
      <c r="AF3877" s="167" t="s">
        <v>3469</v>
      </c>
    </row>
    <row r="3878" spans="28:32" x14ac:dyDescent="0.25">
      <c r="AB3878" s="167" t="s">
        <v>2814</v>
      </c>
      <c r="AC3878" s="167">
        <v>347</v>
      </c>
      <c r="AD3878" s="203">
        <v>43118</v>
      </c>
      <c r="AE3878" s="203">
        <v>43133</v>
      </c>
      <c r="AF3878" s="167" t="s">
        <v>3470</v>
      </c>
    </row>
    <row r="3879" spans="28:32" x14ac:dyDescent="0.25">
      <c r="AB3879" s="167" t="s">
        <v>2814</v>
      </c>
      <c r="AC3879" s="167">
        <v>340</v>
      </c>
      <c r="AD3879" s="203">
        <v>43133</v>
      </c>
      <c r="AE3879" s="203">
        <v>43168</v>
      </c>
      <c r="AF3879" s="167" t="s">
        <v>3470</v>
      </c>
    </row>
    <row r="3880" spans="28:32" x14ac:dyDescent="0.25">
      <c r="AB3880" s="167" t="s">
        <v>2816</v>
      </c>
      <c r="AC3880" s="167">
        <v>323</v>
      </c>
      <c r="AD3880" s="203">
        <v>43074</v>
      </c>
      <c r="AE3880" s="203">
        <v>43111</v>
      </c>
      <c r="AF3880" s="167" t="s">
        <v>3470</v>
      </c>
    </row>
    <row r="3881" spans="28:32" x14ac:dyDescent="0.25">
      <c r="AB3881" s="167" t="s">
        <v>2816</v>
      </c>
      <c r="AC3881" s="167">
        <v>335</v>
      </c>
      <c r="AD3881" s="203">
        <v>43133</v>
      </c>
      <c r="AE3881" s="203">
        <v>43147</v>
      </c>
      <c r="AF3881" s="167" t="s">
        <v>3470</v>
      </c>
    </row>
    <row r="3882" spans="28:32" x14ac:dyDescent="0.25">
      <c r="AB3882" s="167" t="s">
        <v>2816</v>
      </c>
      <c r="AC3882" s="167">
        <v>340</v>
      </c>
      <c r="AD3882" s="203">
        <v>43133</v>
      </c>
      <c r="AE3882" s="203">
        <v>43168</v>
      </c>
      <c r="AF3882" s="167" t="s">
        <v>3470</v>
      </c>
    </row>
    <row r="3883" spans="28:32" x14ac:dyDescent="0.25">
      <c r="AB3883" s="167" t="s">
        <v>2816</v>
      </c>
      <c r="AC3883" s="167">
        <v>364</v>
      </c>
      <c r="AD3883" s="203">
        <v>43168</v>
      </c>
      <c r="AE3883" s="203">
        <v>43179</v>
      </c>
      <c r="AF3883" s="167" t="s">
        <v>3470</v>
      </c>
    </row>
    <row r="3884" spans="28:32" x14ac:dyDescent="0.25">
      <c r="AB3884" s="167" t="s">
        <v>2816</v>
      </c>
      <c r="AC3884" s="167">
        <v>353</v>
      </c>
      <c r="AD3884" s="203">
        <v>43180</v>
      </c>
      <c r="AE3884" s="203">
        <v>0</v>
      </c>
      <c r="AF3884" s="167" t="s">
        <v>3469</v>
      </c>
    </row>
    <row r="3885" spans="28:32" x14ac:dyDescent="0.25">
      <c r="AB3885" s="167" t="s">
        <v>2816</v>
      </c>
      <c r="AC3885" s="167">
        <v>353</v>
      </c>
      <c r="AD3885" s="203">
        <v>43180</v>
      </c>
      <c r="AE3885" s="203">
        <v>0</v>
      </c>
      <c r="AF3885" s="167" t="s">
        <v>3469</v>
      </c>
    </row>
    <row r="3886" spans="28:32" x14ac:dyDescent="0.25">
      <c r="AB3886" s="167" t="s">
        <v>2818</v>
      </c>
      <c r="AC3886" s="167">
        <v>340</v>
      </c>
      <c r="AD3886" s="203">
        <v>43133</v>
      </c>
      <c r="AE3886" s="203">
        <v>43168</v>
      </c>
      <c r="AF3886" s="167" t="s">
        <v>3470</v>
      </c>
    </row>
    <row r="3887" spans="28:32" x14ac:dyDescent="0.25">
      <c r="AB3887" s="167" t="s">
        <v>2818</v>
      </c>
      <c r="AC3887" s="167">
        <v>353</v>
      </c>
      <c r="AD3887" s="203">
        <v>43180</v>
      </c>
      <c r="AE3887" s="203">
        <v>0</v>
      </c>
      <c r="AF3887" s="167" t="s">
        <v>3469</v>
      </c>
    </row>
    <row r="3888" spans="28:32" x14ac:dyDescent="0.25">
      <c r="AB3888" s="167" t="s">
        <v>2820</v>
      </c>
      <c r="AC3888" s="167">
        <v>323</v>
      </c>
      <c r="AD3888" s="203">
        <v>43074</v>
      </c>
      <c r="AE3888" s="203">
        <v>43111</v>
      </c>
      <c r="AF3888" s="167" t="s">
        <v>3470</v>
      </c>
    </row>
    <row r="3889" spans="28:32" x14ac:dyDescent="0.25">
      <c r="AB3889" s="167" t="s">
        <v>2820</v>
      </c>
      <c r="AC3889" s="167">
        <v>340</v>
      </c>
      <c r="AD3889" s="203">
        <v>43133</v>
      </c>
      <c r="AE3889" s="203">
        <v>43168</v>
      </c>
      <c r="AF3889" s="167" t="s">
        <v>3470</v>
      </c>
    </row>
    <row r="3890" spans="28:32" x14ac:dyDescent="0.25">
      <c r="AB3890" s="167" t="s">
        <v>2820</v>
      </c>
      <c r="AC3890" s="167">
        <v>364</v>
      </c>
      <c r="AD3890" s="203">
        <v>43168</v>
      </c>
      <c r="AE3890" s="203">
        <v>43179</v>
      </c>
      <c r="AF3890" s="167" t="s">
        <v>3470</v>
      </c>
    </row>
    <row r="3891" spans="28:32" x14ac:dyDescent="0.25">
      <c r="AB3891" s="167" t="s">
        <v>2820</v>
      </c>
      <c r="AC3891" s="167">
        <v>353</v>
      </c>
      <c r="AD3891" s="203">
        <v>43180</v>
      </c>
      <c r="AE3891" s="203">
        <v>0</v>
      </c>
      <c r="AF3891" s="167" t="s">
        <v>3469</v>
      </c>
    </row>
    <row r="3892" spans="28:32" x14ac:dyDescent="0.25">
      <c r="AB3892" s="167" t="s">
        <v>3525</v>
      </c>
      <c r="AC3892" s="167">
        <v>347</v>
      </c>
      <c r="AD3892" s="203">
        <v>43118</v>
      </c>
      <c r="AE3892" s="203">
        <v>43133</v>
      </c>
      <c r="AF3892" s="167" t="s">
        <v>3470</v>
      </c>
    </row>
    <row r="3893" spans="28:32" x14ac:dyDescent="0.25">
      <c r="AB3893" s="167" t="s">
        <v>3525</v>
      </c>
      <c r="AC3893" s="167">
        <v>357</v>
      </c>
      <c r="AD3893" s="203">
        <v>43139</v>
      </c>
      <c r="AE3893" s="203">
        <v>43164</v>
      </c>
      <c r="AF3893" s="167" t="s">
        <v>3470</v>
      </c>
    </row>
    <row r="3894" spans="28:32" x14ac:dyDescent="0.25">
      <c r="AB3894" s="167" t="s">
        <v>3525</v>
      </c>
      <c r="AC3894" s="167">
        <v>364</v>
      </c>
      <c r="AD3894" s="203">
        <v>43168</v>
      </c>
      <c r="AE3894" s="203">
        <v>43179</v>
      </c>
      <c r="AF3894" s="167" t="s">
        <v>3470</v>
      </c>
    </row>
    <row r="3895" spans="28:32" x14ac:dyDescent="0.25">
      <c r="AB3895" s="167" t="s">
        <v>2821</v>
      </c>
      <c r="AC3895" s="167">
        <v>347</v>
      </c>
      <c r="AD3895" s="203">
        <v>43118</v>
      </c>
      <c r="AE3895" s="203">
        <v>43133</v>
      </c>
      <c r="AF3895" s="167" t="s">
        <v>3470</v>
      </c>
    </row>
    <row r="3896" spans="28:32" x14ac:dyDescent="0.25">
      <c r="AB3896" s="167" t="s">
        <v>2821</v>
      </c>
      <c r="AC3896" s="167">
        <v>340</v>
      </c>
      <c r="AD3896" s="203">
        <v>43133</v>
      </c>
      <c r="AE3896" s="203">
        <v>43168</v>
      </c>
      <c r="AF3896" s="167" t="s">
        <v>3470</v>
      </c>
    </row>
    <row r="3897" spans="28:32" x14ac:dyDescent="0.25">
      <c r="AB3897" s="167" t="s">
        <v>2822</v>
      </c>
      <c r="AC3897" s="167">
        <v>333</v>
      </c>
      <c r="AD3897" s="203">
        <v>43206</v>
      </c>
      <c r="AE3897" s="203">
        <v>43210</v>
      </c>
      <c r="AF3897" s="167" t="s">
        <v>3470</v>
      </c>
    </row>
    <row r="3898" spans="28:32" x14ac:dyDescent="0.25">
      <c r="AB3898" s="167" t="s">
        <v>2823</v>
      </c>
      <c r="AC3898" s="167">
        <v>350</v>
      </c>
      <c r="AD3898" s="203">
        <v>43132</v>
      </c>
      <c r="AE3898" s="203">
        <v>43195</v>
      </c>
      <c r="AF3898" s="167" t="s">
        <v>3470</v>
      </c>
    </row>
    <row r="3899" spans="28:32" x14ac:dyDescent="0.25">
      <c r="AB3899" s="167" t="s">
        <v>2823</v>
      </c>
      <c r="AC3899" s="167">
        <v>333</v>
      </c>
      <c r="AD3899" s="203">
        <v>43206</v>
      </c>
      <c r="AE3899" s="203">
        <v>43210</v>
      </c>
      <c r="AF3899" s="167" t="s">
        <v>3470</v>
      </c>
    </row>
    <row r="3900" spans="28:32" x14ac:dyDescent="0.25">
      <c r="AB3900" s="167" t="s">
        <v>2823</v>
      </c>
      <c r="AC3900" s="167">
        <v>377</v>
      </c>
      <c r="AD3900" s="203">
        <v>43210</v>
      </c>
      <c r="AE3900" s="203">
        <v>43210</v>
      </c>
      <c r="AF3900" s="167" t="s">
        <v>3470</v>
      </c>
    </row>
    <row r="3901" spans="28:32" x14ac:dyDescent="0.25">
      <c r="AB3901" s="167" t="s">
        <v>2824</v>
      </c>
      <c r="AC3901" s="167">
        <v>377</v>
      </c>
      <c r="AD3901" s="203">
        <v>43210</v>
      </c>
      <c r="AE3901" s="203">
        <v>43210</v>
      </c>
      <c r="AF3901" s="167" t="s">
        <v>3470</v>
      </c>
    </row>
    <row r="3902" spans="28:32" x14ac:dyDescent="0.25">
      <c r="AB3902" s="167" t="s">
        <v>2825</v>
      </c>
      <c r="AC3902" s="167">
        <v>350</v>
      </c>
      <c r="AD3902" s="203">
        <v>43132</v>
      </c>
      <c r="AE3902" s="203">
        <v>43195</v>
      </c>
      <c r="AF3902" s="167" t="s">
        <v>3470</v>
      </c>
    </row>
    <row r="3903" spans="28:32" x14ac:dyDescent="0.25">
      <c r="AB3903" s="167" t="s">
        <v>2825</v>
      </c>
      <c r="AC3903" s="167">
        <v>333</v>
      </c>
      <c r="AD3903" s="203">
        <v>43206</v>
      </c>
      <c r="AE3903" s="203">
        <v>43210</v>
      </c>
      <c r="AF3903" s="167" t="s">
        <v>3470</v>
      </c>
    </row>
    <row r="3904" spans="28:32" x14ac:dyDescent="0.25">
      <c r="AB3904" s="167" t="s">
        <v>2825</v>
      </c>
      <c r="AC3904" s="167">
        <v>377</v>
      </c>
      <c r="AD3904" s="203">
        <v>43210</v>
      </c>
      <c r="AE3904" s="203">
        <v>43210</v>
      </c>
      <c r="AF3904" s="167" t="s">
        <v>3470</v>
      </c>
    </row>
    <row r="3905" spans="28:32" x14ac:dyDescent="0.25">
      <c r="AB3905" s="167" t="s">
        <v>3526</v>
      </c>
      <c r="AC3905" s="167">
        <v>377</v>
      </c>
      <c r="AD3905" s="203">
        <v>43210</v>
      </c>
      <c r="AE3905" s="203">
        <v>43210</v>
      </c>
      <c r="AF3905" s="167" t="s">
        <v>3470</v>
      </c>
    </row>
    <row r="3906" spans="28:32" x14ac:dyDescent="0.25">
      <c r="AB3906" s="167" t="s">
        <v>2826</v>
      </c>
      <c r="AC3906" s="167">
        <v>347</v>
      </c>
      <c r="AD3906" s="203">
        <v>43118</v>
      </c>
      <c r="AE3906" s="203">
        <v>43133</v>
      </c>
      <c r="AF3906" s="167" t="s">
        <v>3470</v>
      </c>
    </row>
    <row r="3907" spans="28:32" x14ac:dyDescent="0.25">
      <c r="AB3907" s="167" t="s">
        <v>2826</v>
      </c>
      <c r="AC3907" s="167">
        <v>340</v>
      </c>
      <c r="AD3907" s="203">
        <v>43133</v>
      </c>
      <c r="AE3907" s="203">
        <v>43168</v>
      </c>
      <c r="AF3907" s="167" t="s">
        <v>3470</v>
      </c>
    </row>
    <row r="3908" spans="28:32" x14ac:dyDescent="0.25">
      <c r="AB3908" s="167" t="s">
        <v>2828</v>
      </c>
      <c r="AC3908" s="167">
        <v>357</v>
      </c>
      <c r="AD3908" s="203">
        <v>43139</v>
      </c>
      <c r="AE3908" s="203">
        <v>43164</v>
      </c>
      <c r="AF3908" s="167" t="s">
        <v>3470</v>
      </c>
    </row>
    <row r="3909" spans="28:32" x14ac:dyDescent="0.25">
      <c r="AB3909" s="167" t="s">
        <v>2828</v>
      </c>
      <c r="AC3909" s="167">
        <v>364</v>
      </c>
      <c r="AD3909" s="203">
        <v>43168</v>
      </c>
      <c r="AE3909" s="203">
        <v>43179</v>
      </c>
      <c r="AF3909" s="167" t="s">
        <v>3470</v>
      </c>
    </row>
    <row r="3910" spans="28:32" x14ac:dyDescent="0.25">
      <c r="AB3910" s="167" t="s">
        <v>2828</v>
      </c>
      <c r="AC3910" s="167">
        <v>353</v>
      </c>
      <c r="AD3910" s="203">
        <v>43180</v>
      </c>
      <c r="AE3910" s="203">
        <v>0</v>
      </c>
      <c r="AF3910" s="167" t="s">
        <v>3469</v>
      </c>
    </row>
    <row r="3911" spans="28:32" x14ac:dyDescent="0.25">
      <c r="AB3911" s="167" t="s">
        <v>2828</v>
      </c>
      <c r="AC3911" s="167">
        <v>353</v>
      </c>
      <c r="AD3911" s="203">
        <v>43180</v>
      </c>
      <c r="AE3911" s="203">
        <v>0</v>
      </c>
      <c r="AF3911" s="167" t="s">
        <v>3469</v>
      </c>
    </row>
    <row r="3912" spans="28:32" x14ac:dyDescent="0.25">
      <c r="AB3912" s="167" t="s">
        <v>2830</v>
      </c>
      <c r="AC3912" s="167">
        <v>323</v>
      </c>
      <c r="AD3912" s="203">
        <v>43074</v>
      </c>
      <c r="AE3912" s="203">
        <v>43111</v>
      </c>
      <c r="AF3912" s="167" t="s">
        <v>3470</v>
      </c>
    </row>
    <row r="3913" spans="28:32" x14ac:dyDescent="0.25">
      <c r="AB3913" s="167" t="s">
        <v>2830</v>
      </c>
      <c r="AC3913" s="167">
        <v>347</v>
      </c>
      <c r="AD3913" s="203">
        <v>43118</v>
      </c>
      <c r="AE3913" s="203">
        <v>43133</v>
      </c>
      <c r="AF3913" s="167" t="s">
        <v>3470</v>
      </c>
    </row>
    <row r="3914" spans="28:32" x14ac:dyDescent="0.25">
      <c r="AB3914" s="167" t="s">
        <v>2830</v>
      </c>
      <c r="AC3914" s="167">
        <v>340</v>
      </c>
      <c r="AD3914" s="203">
        <v>43133</v>
      </c>
      <c r="AE3914" s="203">
        <v>43168</v>
      </c>
      <c r="AF3914" s="167" t="s">
        <v>3470</v>
      </c>
    </row>
    <row r="3915" spans="28:32" x14ac:dyDescent="0.25">
      <c r="AB3915" s="167" t="s">
        <v>2830</v>
      </c>
      <c r="AC3915" s="167">
        <v>364</v>
      </c>
      <c r="AD3915" s="203">
        <v>43168</v>
      </c>
      <c r="AE3915" s="203">
        <v>43179</v>
      </c>
      <c r="AF3915" s="167" t="s">
        <v>3470</v>
      </c>
    </row>
    <row r="3916" spans="28:32" x14ac:dyDescent="0.25">
      <c r="AB3916" s="167" t="s">
        <v>2830</v>
      </c>
      <c r="AC3916" s="167">
        <v>353</v>
      </c>
      <c r="AD3916" s="203">
        <v>43180</v>
      </c>
      <c r="AE3916" s="203">
        <v>0</v>
      </c>
      <c r="AF3916" s="167" t="s">
        <v>3469</v>
      </c>
    </row>
    <row r="3917" spans="28:32" x14ac:dyDescent="0.25">
      <c r="AB3917" s="167" t="s">
        <v>2832</v>
      </c>
      <c r="AC3917" s="167">
        <v>323</v>
      </c>
      <c r="AD3917" s="203">
        <v>43074</v>
      </c>
      <c r="AE3917" s="203">
        <v>43111</v>
      </c>
      <c r="AF3917" s="167" t="s">
        <v>3470</v>
      </c>
    </row>
    <row r="3918" spans="28:32" x14ac:dyDescent="0.25">
      <c r="AB3918" s="167" t="s">
        <v>2832</v>
      </c>
      <c r="AC3918" s="167">
        <v>347</v>
      </c>
      <c r="AD3918" s="203">
        <v>43118</v>
      </c>
      <c r="AE3918" s="203">
        <v>43133</v>
      </c>
      <c r="AF3918" s="167" t="s">
        <v>3470</v>
      </c>
    </row>
    <row r="3919" spans="28:32" x14ac:dyDescent="0.25">
      <c r="AB3919" s="167" t="s">
        <v>2832</v>
      </c>
      <c r="AC3919" s="167">
        <v>340</v>
      </c>
      <c r="AD3919" s="203">
        <v>43133</v>
      </c>
      <c r="AE3919" s="203">
        <v>43168</v>
      </c>
      <c r="AF3919" s="167" t="s">
        <v>3470</v>
      </c>
    </row>
    <row r="3920" spans="28:32" x14ac:dyDescent="0.25">
      <c r="AB3920" s="167" t="s">
        <v>2832</v>
      </c>
      <c r="AC3920" s="167">
        <v>357</v>
      </c>
      <c r="AD3920" s="203">
        <v>43139</v>
      </c>
      <c r="AE3920" s="203">
        <v>43164</v>
      </c>
      <c r="AF3920" s="167" t="s">
        <v>3470</v>
      </c>
    </row>
    <row r="3921" spans="28:32" x14ac:dyDescent="0.25">
      <c r="AB3921" s="167" t="s">
        <v>2832</v>
      </c>
      <c r="AC3921" s="167">
        <v>364</v>
      </c>
      <c r="AD3921" s="203">
        <v>43168</v>
      </c>
      <c r="AE3921" s="203">
        <v>43179</v>
      </c>
      <c r="AF3921" s="167" t="s">
        <v>3470</v>
      </c>
    </row>
    <row r="3922" spans="28:32" x14ac:dyDescent="0.25">
      <c r="AB3922" s="167" t="s">
        <v>2832</v>
      </c>
      <c r="AC3922" s="167">
        <v>353</v>
      </c>
      <c r="AD3922" s="203">
        <v>43180</v>
      </c>
      <c r="AE3922" s="203">
        <v>0</v>
      </c>
      <c r="AF3922" s="167" t="s">
        <v>3469</v>
      </c>
    </row>
    <row r="3923" spans="28:32" x14ac:dyDescent="0.25">
      <c r="AB3923" s="167" t="s">
        <v>2832</v>
      </c>
      <c r="AC3923" s="167">
        <v>353</v>
      </c>
      <c r="AD3923" s="203">
        <v>43180</v>
      </c>
      <c r="AE3923" s="203">
        <v>0</v>
      </c>
      <c r="AF3923" s="167" t="s">
        <v>3469</v>
      </c>
    </row>
    <row r="3924" spans="28:32" x14ac:dyDescent="0.25">
      <c r="AB3924" s="167" t="s">
        <v>2834</v>
      </c>
      <c r="AC3924" s="167">
        <v>323</v>
      </c>
      <c r="AD3924" s="203">
        <v>43074</v>
      </c>
      <c r="AE3924" s="203">
        <v>43111</v>
      </c>
      <c r="AF3924" s="167" t="s">
        <v>3470</v>
      </c>
    </row>
    <row r="3925" spans="28:32" x14ac:dyDescent="0.25">
      <c r="AB3925" s="167" t="s">
        <v>2834</v>
      </c>
      <c r="AC3925" s="167">
        <v>347</v>
      </c>
      <c r="AD3925" s="203">
        <v>43118</v>
      </c>
      <c r="AE3925" s="203">
        <v>43133</v>
      </c>
      <c r="AF3925" s="167" t="s">
        <v>3470</v>
      </c>
    </row>
    <row r="3926" spans="28:32" x14ac:dyDescent="0.25">
      <c r="AB3926" s="167" t="s">
        <v>2834</v>
      </c>
      <c r="AC3926" s="167">
        <v>340</v>
      </c>
      <c r="AD3926" s="203">
        <v>43133</v>
      </c>
      <c r="AE3926" s="203">
        <v>43168</v>
      </c>
      <c r="AF3926" s="167" t="s">
        <v>3470</v>
      </c>
    </row>
    <row r="3927" spans="28:32" x14ac:dyDescent="0.25">
      <c r="AB3927" s="167" t="s">
        <v>2834</v>
      </c>
      <c r="AC3927" s="167">
        <v>357</v>
      </c>
      <c r="AD3927" s="203">
        <v>43139</v>
      </c>
      <c r="AE3927" s="203">
        <v>43164</v>
      </c>
      <c r="AF3927" s="167" t="s">
        <v>3470</v>
      </c>
    </row>
    <row r="3928" spans="28:32" x14ac:dyDescent="0.25">
      <c r="AB3928" s="167" t="s">
        <v>2834</v>
      </c>
      <c r="AC3928" s="167">
        <v>364</v>
      </c>
      <c r="AD3928" s="203">
        <v>43168</v>
      </c>
      <c r="AE3928" s="203">
        <v>43179</v>
      </c>
      <c r="AF3928" s="167" t="s">
        <v>3470</v>
      </c>
    </row>
    <row r="3929" spans="28:32" x14ac:dyDescent="0.25">
      <c r="AB3929" s="167" t="s">
        <v>2834</v>
      </c>
      <c r="AC3929" s="167">
        <v>353</v>
      </c>
      <c r="AD3929" s="203">
        <v>43180</v>
      </c>
      <c r="AE3929" s="203">
        <v>0</v>
      </c>
      <c r="AF3929" s="167" t="s">
        <v>3469</v>
      </c>
    </row>
    <row r="3930" spans="28:32" x14ac:dyDescent="0.25">
      <c r="AB3930" s="167" t="s">
        <v>2834</v>
      </c>
      <c r="AC3930" s="167">
        <v>353</v>
      </c>
      <c r="AD3930" s="203">
        <v>43180</v>
      </c>
      <c r="AE3930" s="203">
        <v>0</v>
      </c>
      <c r="AF3930" s="167" t="s">
        <v>3469</v>
      </c>
    </row>
    <row r="3931" spans="28:32" x14ac:dyDescent="0.25">
      <c r="AB3931" s="167" t="s">
        <v>2835</v>
      </c>
      <c r="AC3931" s="167">
        <v>347</v>
      </c>
      <c r="AD3931" s="203">
        <v>43118</v>
      </c>
      <c r="AE3931" s="203">
        <v>43133</v>
      </c>
      <c r="AF3931" s="167" t="s">
        <v>3470</v>
      </c>
    </row>
    <row r="3932" spans="28:32" x14ac:dyDescent="0.25">
      <c r="AB3932" s="167" t="s">
        <v>2835</v>
      </c>
      <c r="AC3932" s="167">
        <v>340</v>
      </c>
      <c r="AD3932" s="203">
        <v>43133</v>
      </c>
      <c r="AE3932" s="203">
        <v>43168</v>
      </c>
      <c r="AF3932" s="167" t="s">
        <v>3470</v>
      </c>
    </row>
    <row r="3933" spans="28:32" x14ac:dyDescent="0.25">
      <c r="AB3933" s="167" t="s">
        <v>2835</v>
      </c>
      <c r="AC3933" s="167">
        <v>340</v>
      </c>
      <c r="AD3933" s="203">
        <v>43133</v>
      </c>
      <c r="AE3933" s="203">
        <v>43168</v>
      </c>
      <c r="AF3933" s="167" t="s">
        <v>3470</v>
      </c>
    </row>
    <row r="3934" spans="28:32" x14ac:dyDescent="0.25">
      <c r="AB3934" s="167" t="s">
        <v>2835</v>
      </c>
      <c r="AC3934" s="167">
        <v>357</v>
      </c>
      <c r="AD3934" s="203">
        <v>43139</v>
      </c>
      <c r="AE3934" s="203">
        <v>43164</v>
      </c>
      <c r="AF3934" s="167" t="s">
        <v>3470</v>
      </c>
    </row>
    <row r="3935" spans="28:32" x14ac:dyDescent="0.25">
      <c r="AB3935" s="167" t="s">
        <v>2835</v>
      </c>
      <c r="AC3935" s="167">
        <v>364</v>
      </c>
      <c r="AD3935" s="203">
        <v>43168</v>
      </c>
      <c r="AE3935" s="203">
        <v>43179</v>
      </c>
      <c r="AF3935" s="167" t="s">
        <v>3470</v>
      </c>
    </row>
    <row r="3936" spans="28:32" x14ac:dyDescent="0.25">
      <c r="AB3936" s="167" t="s">
        <v>2835</v>
      </c>
      <c r="AC3936" s="167">
        <v>353</v>
      </c>
      <c r="AD3936" s="203">
        <v>43180</v>
      </c>
      <c r="AE3936" s="203">
        <v>0</v>
      </c>
      <c r="AF3936" s="167" t="s">
        <v>3469</v>
      </c>
    </row>
    <row r="3937" spans="28:32" x14ac:dyDescent="0.25">
      <c r="AB3937" s="167" t="s">
        <v>3527</v>
      </c>
      <c r="AC3937" s="167">
        <v>328</v>
      </c>
      <c r="AD3937" s="203">
        <v>43089</v>
      </c>
      <c r="AE3937" s="203">
        <v>43122</v>
      </c>
      <c r="AF3937" s="167" t="s">
        <v>3470</v>
      </c>
    </row>
    <row r="3938" spans="28:32" x14ac:dyDescent="0.25">
      <c r="AB3938" s="167" t="s">
        <v>2837</v>
      </c>
      <c r="AC3938" s="167">
        <v>353</v>
      </c>
      <c r="AD3938" s="203">
        <v>43180</v>
      </c>
      <c r="AE3938" s="203">
        <v>0</v>
      </c>
      <c r="AF3938" s="167" t="s">
        <v>3469</v>
      </c>
    </row>
    <row r="3939" spans="28:32" x14ac:dyDescent="0.25">
      <c r="AB3939" s="167" t="s">
        <v>3528</v>
      </c>
      <c r="AC3939" s="167">
        <v>350</v>
      </c>
      <c r="AD3939" s="203">
        <v>43132</v>
      </c>
      <c r="AE3939" s="203">
        <v>43195</v>
      </c>
      <c r="AF3939" s="167" t="s">
        <v>3470</v>
      </c>
    </row>
    <row r="3940" spans="28:32" x14ac:dyDescent="0.25">
      <c r="AB3940" s="167" t="s">
        <v>3528</v>
      </c>
      <c r="AC3940" s="167">
        <v>377</v>
      </c>
      <c r="AD3940" s="203">
        <v>43210</v>
      </c>
      <c r="AE3940" s="203">
        <v>43210</v>
      </c>
      <c r="AF3940" s="167" t="s">
        <v>3470</v>
      </c>
    </row>
    <row r="3941" spans="28:32" x14ac:dyDescent="0.25">
      <c r="AB3941" s="167" t="s">
        <v>2839</v>
      </c>
      <c r="AC3941" s="167">
        <v>323</v>
      </c>
      <c r="AD3941" s="203">
        <v>43074</v>
      </c>
      <c r="AE3941" s="203">
        <v>43111</v>
      </c>
      <c r="AF3941" s="167" t="s">
        <v>3470</v>
      </c>
    </row>
    <row r="3942" spans="28:32" x14ac:dyDescent="0.25">
      <c r="AB3942" s="167" t="s">
        <v>2839</v>
      </c>
      <c r="AC3942" s="167">
        <v>347</v>
      </c>
      <c r="AD3942" s="203">
        <v>43118</v>
      </c>
      <c r="AE3942" s="203">
        <v>43133</v>
      </c>
      <c r="AF3942" s="167" t="s">
        <v>3470</v>
      </c>
    </row>
    <row r="3943" spans="28:32" x14ac:dyDescent="0.25">
      <c r="AB3943" s="167" t="s">
        <v>2839</v>
      </c>
      <c r="AC3943" s="167">
        <v>340</v>
      </c>
      <c r="AD3943" s="203">
        <v>43133</v>
      </c>
      <c r="AE3943" s="203">
        <v>43168</v>
      </c>
      <c r="AF3943" s="167" t="s">
        <v>3470</v>
      </c>
    </row>
    <row r="3944" spans="28:32" x14ac:dyDescent="0.25">
      <c r="AB3944" s="167" t="s">
        <v>2839</v>
      </c>
      <c r="AC3944" s="167">
        <v>374</v>
      </c>
      <c r="AD3944" s="203">
        <v>43195</v>
      </c>
      <c r="AE3944" s="203">
        <v>0</v>
      </c>
      <c r="AF3944" s="167" t="s">
        <v>3469</v>
      </c>
    </row>
    <row r="3945" spans="28:32" x14ac:dyDescent="0.25">
      <c r="AB3945" s="167" t="s">
        <v>2840</v>
      </c>
      <c r="AC3945" s="167">
        <v>327</v>
      </c>
      <c r="AD3945" s="203">
        <v>43074</v>
      </c>
      <c r="AE3945" s="203">
        <v>43131</v>
      </c>
      <c r="AF3945" s="167" t="s">
        <v>3470</v>
      </c>
    </row>
    <row r="3946" spans="28:32" x14ac:dyDescent="0.25">
      <c r="AB3946" s="167" t="s">
        <v>2841</v>
      </c>
      <c r="AC3946" s="167">
        <v>323</v>
      </c>
      <c r="AD3946" s="203">
        <v>43074</v>
      </c>
      <c r="AE3946" s="203">
        <v>43111</v>
      </c>
      <c r="AF3946" s="167" t="s">
        <v>3470</v>
      </c>
    </row>
    <row r="3947" spans="28:32" x14ac:dyDescent="0.25">
      <c r="AB3947" s="167" t="s">
        <v>2841</v>
      </c>
      <c r="AC3947" s="167">
        <v>323</v>
      </c>
      <c r="AD3947" s="203">
        <v>43074</v>
      </c>
      <c r="AE3947" s="203">
        <v>43111</v>
      </c>
      <c r="AF3947" s="167" t="s">
        <v>3470</v>
      </c>
    </row>
    <row r="3948" spans="28:32" x14ac:dyDescent="0.25">
      <c r="AB3948" s="167" t="s">
        <v>2843</v>
      </c>
      <c r="AC3948" s="167">
        <v>364</v>
      </c>
      <c r="AD3948" s="203">
        <v>43168</v>
      </c>
      <c r="AE3948" s="203">
        <v>43179</v>
      </c>
      <c r="AF3948" s="167" t="s">
        <v>3470</v>
      </c>
    </row>
    <row r="3949" spans="28:32" x14ac:dyDescent="0.25">
      <c r="AB3949" s="167" t="s">
        <v>2843</v>
      </c>
      <c r="AC3949" s="167">
        <v>353</v>
      </c>
      <c r="AD3949" s="203">
        <v>43180</v>
      </c>
      <c r="AE3949" s="203">
        <v>0</v>
      </c>
      <c r="AF3949" s="167" t="s">
        <v>3469</v>
      </c>
    </row>
    <row r="3950" spans="28:32" x14ac:dyDescent="0.25">
      <c r="AB3950" s="167" t="s">
        <v>2843</v>
      </c>
      <c r="AC3950" s="167">
        <v>353</v>
      </c>
      <c r="AD3950" s="203">
        <v>43180</v>
      </c>
      <c r="AE3950" s="203">
        <v>0</v>
      </c>
      <c r="AF3950" s="167" t="s">
        <v>3469</v>
      </c>
    </row>
    <row r="3951" spans="28:32" x14ac:dyDescent="0.25">
      <c r="AB3951" s="167" t="s">
        <v>2845</v>
      </c>
      <c r="AC3951" s="167">
        <v>364</v>
      </c>
      <c r="AD3951" s="203">
        <v>43168</v>
      </c>
      <c r="AE3951" s="203">
        <v>43179</v>
      </c>
      <c r="AF3951" s="167" t="s">
        <v>3470</v>
      </c>
    </row>
    <row r="3952" spans="28:32" x14ac:dyDescent="0.25">
      <c r="AB3952" s="167" t="s">
        <v>2845</v>
      </c>
      <c r="AC3952" s="167">
        <v>353</v>
      </c>
      <c r="AD3952" s="203">
        <v>43180</v>
      </c>
      <c r="AE3952" s="203">
        <v>0</v>
      </c>
      <c r="AF3952" s="167" t="s">
        <v>3469</v>
      </c>
    </row>
    <row r="3953" spans="28:32" x14ac:dyDescent="0.25">
      <c r="AB3953" s="167" t="s">
        <v>2847</v>
      </c>
      <c r="AC3953" s="167">
        <v>327</v>
      </c>
      <c r="AD3953" s="203">
        <v>43074</v>
      </c>
      <c r="AE3953" s="203">
        <v>43131</v>
      </c>
      <c r="AF3953" s="167" t="s">
        <v>3470</v>
      </c>
    </row>
    <row r="3954" spans="28:32" x14ac:dyDescent="0.25">
      <c r="AB3954" s="167" t="s">
        <v>2847</v>
      </c>
      <c r="AC3954" s="167">
        <v>340</v>
      </c>
      <c r="AD3954" s="203">
        <v>43133</v>
      </c>
      <c r="AE3954" s="203">
        <v>43168</v>
      </c>
      <c r="AF3954" s="167" t="s">
        <v>3470</v>
      </c>
    </row>
    <row r="3955" spans="28:32" x14ac:dyDescent="0.25">
      <c r="AB3955" s="167" t="s">
        <v>2847</v>
      </c>
      <c r="AC3955" s="167">
        <v>357</v>
      </c>
      <c r="AD3955" s="203">
        <v>43139</v>
      </c>
      <c r="AE3955" s="203">
        <v>43164</v>
      </c>
      <c r="AF3955" s="167" t="s">
        <v>3470</v>
      </c>
    </row>
    <row r="3956" spans="28:32" x14ac:dyDescent="0.25">
      <c r="AB3956" s="167" t="s">
        <v>2847</v>
      </c>
      <c r="AC3956" s="167">
        <v>353</v>
      </c>
      <c r="AD3956" s="203">
        <v>43180</v>
      </c>
      <c r="AE3956" s="203">
        <v>0</v>
      </c>
      <c r="AF3956" s="167" t="s">
        <v>3469</v>
      </c>
    </row>
    <row r="3957" spans="28:32" x14ac:dyDescent="0.25">
      <c r="AB3957" s="167" t="s">
        <v>2849</v>
      </c>
      <c r="AC3957" s="167">
        <v>323</v>
      </c>
      <c r="AD3957" s="203">
        <v>43074</v>
      </c>
      <c r="AE3957" s="203">
        <v>43111</v>
      </c>
      <c r="AF3957" s="167" t="s">
        <v>3470</v>
      </c>
    </row>
    <row r="3958" spans="28:32" x14ac:dyDescent="0.25">
      <c r="AB3958" s="167" t="s">
        <v>2849</v>
      </c>
      <c r="AC3958" s="167">
        <v>347</v>
      </c>
      <c r="AD3958" s="203">
        <v>43118</v>
      </c>
      <c r="AE3958" s="203">
        <v>43133</v>
      </c>
      <c r="AF3958" s="167" t="s">
        <v>3470</v>
      </c>
    </row>
    <row r="3959" spans="28:32" x14ac:dyDescent="0.25">
      <c r="AB3959" s="167" t="s">
        <v>2849</v>
      </c>
      <c r="AC3959" s="167">
        <v>340</v>
      </c>
      <c r="AD3959" s="203">
        <v>43133</v>
      </c>
      <c r="AE3959" s="203">
        <v>43168</v>
      </c>
      <c r="AF3959" s="167" t="s">
        <v>3470</v>
      </c>
    </row>
    <row r="3960" spans="28:32" x14ac:dyDescent="0.25">
      <c r="AB3960" s="167" t="s">
        <v>2849</v>
      </c>
      <c r="AC3960" s="167">
        <v>340</v>
      </c>
      <c r="AD3960" s="203">
        <v>43133</v>
      </c>
      <c r="AE3960" s="203">
        <v>43168</v>
      </c>
      <c r="AF3960" s="167" t="s">
        <v>3470</v>
      </c>
    </row>
    <row r="3961" spans="28:32" x14ac:dyDescent="0.25">
      <c r="AB3961" s="167" t="s">
        <v>2849</v>
      </c>
      <c r="AC3961" s="167">
        <v>357</v>
      </c>
      <c r="AD3961" s="203">
        <v>43139</v>
      </c>
      <c r="AE3961" s="203">
        <v>43164</v>
      </c>
      <c r="AF3961" s="167" t="s">
        <v>3470</v>
      </c>
    </row>
    <row r="3962" spans="28:32" x14ac:dyDescent="0.25">
      <c r="AB3962" s="167" t="s">
        <v>2849</v>
      </c>
      <c r="AC3962" s="167">
        <v>364</v>
      </c>
      <c r="AD3962" s="203">
        <v>43168</v>
      </c>
      <c r="AE3962" s="203">
        <v>43179</v>
      </c>
      <c r="AF3962" s="167" t="s">
        <v>3470</v>
      </c>
    </row>
    <row r="3963" spans="28:32" x14ac:dyDescent="0.25">
      <c r="AB3963" s="167" t="s">
        <v>2849</v>
      </c>
      <c r="AC3963" s="167">
        <v>353</v>
      </c>
      <c r="AD3963" s="203">
        <v>43180</v>
      </c>
      <c r="AE3963" s="203">
        <v>0</v>
      </c>
      <c r="AF3963" s="167" t="s">
        <v>3469</v>
      </c>
    </row>
    <row r="3964" spans="28:32" x14ac:dyDescent="0.25">
      <c r="AB3964" s="167" t="s">
        <v>2849</v>
      </c>
      <c r="AC3964" s="167">
        <v>353</v>
      </c>
      <c r="AD3964" s="203">
        <v>43180</v>
      </c>
      <c r="AE3964" s="203">
        <v>0</v>
      </c>
      <c r="AF3964" s="167" t="s">
        <v>3469</v>
      </c>
    </row>
    <row r="3965" spans="28:32" x14ac:dyDescent="0.25">
      <c r="AB3965" s="167" t="s">
        <v>2849</v>
      </c>
      <c r="AC3965" s="167">
        <v>353</v>
      </c>
      <c r="AD3965" s="203">
        <v>43180</v>
      </c>
      <c r="AE3965" s="203">
        <v>0</v>
      </c>
      <c r="AF3965" s="167" t="s">
        <v>3469</v>
      </c>
    </row>
    <row r="3966" spans="28:32" x14ac:dyDescent="0.25">
      <c r="AB3966" s="167" t="s">
        <v>2851</v>
      </c>
      <c r="AC3966" s="167">
        <v>323</v>
      </c>
      <c r="AD3966" s="203">
        <v>43074</v>
      </c>
      <c r="AE3966" s="203">
        <v>43111</v>
      </c>
      <c r="AF3966" s="167" t="s">
        <v>3470</v>
      </c>
    </row>
    <row r="3967" spans="28:32" x14ac:dyDescent="0.25">
      <c r="AB3967" s="167" t="s">
        <v>2851</v>
      </c>
      <c r="AC3967" s="167">
        <v>347</v>
      </c>
      <c r="AD3967" s="203">
        <v>43118</v>
      </c>
      <c r="AE3967" s="203">
        <v>43133</v>
      </c>
      <c r="AF3967" s="167" t="s">
        <v>3470</v>
      </c>
    </row>
    <row r="3968" spans="28:32" x14ac:dyDescent="0.25">
      <c r="AB3968" s="167" t="s">
        <v>2851</v>
      </c>
      <c r="AC3968" s="167">
        <v>340</v>
      </c>
      <c r="AD3968" s="203">
        <v>43133</v>
      </c>
      <c r="AE3968" s="203">
        <v>43168</v>
      </c>
      <c r="AF3968" s="167" t="s">
        <v>3470</v>
      </c>
    </row>
    <row r="3969" spans="28:32" x14ac:dyDescent="0.25">
      <c r="AB3969" s="167" t="s">
        <v>2851</v>
      </c>
      <c r="AC3969" s="167">
        <v>340</v>
      </c>
      <c r="AD3969" s="203">
        <v>43133</v>
      </c>
      <c r="AE3969" s="203">
        <v>43168</v>
      </c>
      <c r="AF3969" s="167" t="s">
        <v>3470</v>
      </c>
    </row>
    <row r="3970" spans="28:32" x14ac:dyDescent="0.25">
      <c r="AB3970" s="167" t="s">
        <v>2851</v>
      </c>
      <c r="AC3970" s="167">
        <v>357</v>
      </c>
      <c r="AD3970" s="203">
        <v>43139</v>
      </c>
      <c r="AE3970" s="203">
        <v>43164</v>
      </c>
      <c r="AF3970" s="167" t="s">
        <v>3470</v>
      </c>
    </row>
    <row r="3971" spans="28:32" x14ac:dyDescent="0.25">
      <c r="AB3971" s="167" t="s">
        <v>2851</v>
      </c>
      <c r="AC3971" s="167">
        <v>353</v>
      </c>
      <c r="AD3971" s="203">
        <v>43180</v>
      </c>
      <c r="AE3971" s="203">
        <v>0</v>
      </c>
      <c r="AF3971" s="167" t="s">
        <v>3469</v>
      </c>
    </row>
    <row r="3972" spans="28:32" x14ac:dyDescent="0.25">
      <c r="AB3972" s="167" t="s">
        <v>2851</v>
      </c>
      <c r="AC3972" s="167">
        <v>353</v>
      </c>
      <c r="AD3972" s="203">
        <v>43180</v>
      </c>
      <c r="AE3972" s="203">
        <v>0</v>
      </c>
      <c r="AF3972" s="167" t="s">
        <v>3469</v>
      </c>
    </row>
    <row r="3973" spans="28:32" x14ac:dyDescent="0.25">
      <c r="AB3973" s="167" t="s">
        <v>2853</v>
      </c>
      <c r="AC3973" s="167">
        <v>323</v>
      </c>
      <c r="AD3973" s="203">
        <v>43074</v>
      </c>
      <c r="AE3973" s="203">
        <v>43111</v>
      </c>
      <c r="AF3973" s="167" t="s">
        <v>3470</v>
      </c>
    </row>
    <row r="3974" spans="28:32" x14ac:dyDescent="0.25">
      <c r="AB3974" s="167" t="s">
        <v>2853</v>
      </c>
      <c r="AC3974" s="167">
        <v>327</v>
      </c>
      <c r="AD3974" s="203">
        <v>43074</v>
      </c>
      <c r="AE3974" s="203">
        <v>43131</v>
      </c>
      <c r="AF3974" s="167" t="s">
        <v>3470</v>
      </c>
    </row>
    <row r="3975" spans="28:32" x14ac:dyDescent="0.25">
      <c r="AB3975" s="167" t="s">
        <v>2853</v>
      </c>
      <c r="AC3975" s="167">
        <v>347</v>
      </c>
      <c r="AD3975" s="203">
        <v>43118</v>
      </c>
      <c r="AE3975" s="203">
        <v>43133</v>
      </c>
      <c r="AF3975" s="167" t="s">
        <v>3470</v>
      </c>
    </row>
    <row r="3976" spans="28:32" x14ac:dyDescent="0.25">
      <c r="AB3976" s="167" t="s">
        <v>2853</v>
      </c>
      <c r="AC3976" s="167">
        <v>340</v>
      </c>
      <c r="AD3976" s="203">
        <v>43133</v>
      </c>
      <c r="AE3976" s="203">
        <v>43168</v>
      </c>
      <c r="AF3976" s="167" t="s">
        <v>3470</v>
      </c>
    </row>
    <row r="3977" spans="28:32" x14ac:dyDescent="0.25">
      <c r="AB3977" s="167" t="s">
        <v>2853</v>
      </c>
      <c r="AC3977" s="167">
        <v>357</v>
      </c>
      <c r="AD3977" s="203">
        <v>43139</v>
      </c>
      <c r="AE3977" s="203">
        <v>43164</v>
      </c>
      <c r="AF3977" s="167" t="s">
        <v>3470</v>
      </c>
    </row>
    <row r="3978" spans="28:32" x14ac:dyDescent="0.25">
      <c r="AB3978" s="167" t="s">
        <v>2853</v>
      </c>
      <c r="AC3978" s="167">
        <v>364</v>
      </c>
      <c r="AD3978" s="203">
        <v>43168</v>
      </c>
      <c r="AE3978" s="203">
        <v>43179</v>
      </c>
      <c r="AF3978" s="167" t="s">
        <v>3470</v>
      </c>
    </row>
    <row r="3979" spans="28:32" x14ac:dyDescent="0.25">
      <c r="AB3979" s="167" t="s">
        <v>2853</v>
      </c>
      <c r="AC3979" s="167">
        <v>353</v>
      </c>
      <c r="AD3979" s="203">
        <v>43180</v>
      </c>
      <c r="AE3979" s="203">
        <v>0</v>
      </c>
      <c r="AF3979" s="167" t="s">
        <v>3469</v>
      </c>
    </row>
    <row r="3980" spans="28:32" x14ac:dyDescent="0.25">
      <c r="AB3980" s="167" t="s">
        <v>2854</v>
      </c>
      <c r="AC3980" s="167">
        <v>323</v>
      </c>
      <c r="AD3980" s="203">
        <v>43074</v>
      </c>
      <c r="AE3980" s="203">
        <v>43111</v>
      </c>
      <c r="AF3980" s="167" t="s">
        <v>3470</v>
      </c>
    </row>
    <row r="3981" spans="28:32" x14ac:dyDescent="0.25">
      <c r="AB3981" s="167" t="s">
        <v>2854</v>
      </c>
      <c r="AC3981" s="167">
        <v>327</v>
      </c>
      <c r="AD3981" s="203">
        <v>43074</v>
      </c>
      <c r="AE3981" s="203">
        <v>43131</v>
      </c>
      <c r="AF3981" s="167" t="s">
        <v>3470</v>
      </c>
    </row>
    <row r="3982" spans="28:32" x14ac:dyDescent="0.25">
      <c r="AB3982" s="167" t="s">
        <v>2854</v>
      </c>
      <c r="AC3982" s="167">
        <v>347</v>
      </c>
      <c r="AD3982" s="203">
        <v>43118</v>
      </c>
      <c r="AE3982" s="203">
        <v>43133</v>
      </c>
      <c r="AF3982" s="167" t="s">
        <v>3470</v>
      </c>
    </row>
    <row r="3983" spans="28:32" x14ac:dyDescent="0.25">
      <c r="AB3983" s="167" t="s">
        <v>2854</v>
      </c>
      <c r="AC3983" s="167">
        <v>340</v>
      </c>
      <c r="AD3983" s="203">
        <v>43133</v>
      </c>
      <c r="AE3983" s="203">
        <v>43168</v>
      </c>
      <c r="AF3983" s="167" t="s">
        <v>3470</v>
      </c>
    </row>
    <row r="3984" spans="28:32" x14ac:dyDescent="0.25">
      <c r="AB3984" s="167" t="s">
        <v>2854</v>
      </c>
      <c r="AC3984" s="167">
        <v>357</v>
      </c>
      <c r="AD3984" s="203">
        <v>43139</v>
      </c>
      <c r="AE3984" s="203">
        <v>43164</v>
      </c>
      <c r="AF3984" s="167" t="s">
        <v>3470</v>
      </c>
    </row>
    <row r="3985" spans="28:32" x14ac:dyDescent="0.25">
      <c r="AB3985" s="167" t="s">
        <v>2854</v>
      </c>
      <c r="AC3985" s="167">
        <v>364</v>
      </c>
      <c r="AD3985" s="203">
        <v>43168</v>
      </c>
      <c r="AE3985" s="203">
        <v>43179</v>
      </c>
      <c r="AF3985" s="167" t="s">
        <v>3470</v>
      </c>
    </row>
    <row r="3986" spans="28:32" x14ac:dyDescent="0.25">
      <c r="AB3986" s="167" t="s">
        <v>2854</v>
      </c>
      <c r="AC3986" s="167">
        <v>374</v>
      </c>
      <c r="AD3986" s="203">
        <v>43195</v>
      </c>
      <c r="AE3986" s="203">
        <v>0</v>
      </c>
      <c r="AF3986" s="167" t="s">
        <v>3469</v>
      </c>
    </row>
    <row r="3987" spans="28:32" x14ac:dyDescent="0.25">
      <c r="AB3987" s="167" t="s">
        <v>2856</v>
      </c>
      <c r="AC3987" s="167">
        <v>357</v>
      </c>
      <c r="AD3987" s="203">
        <v>43139</v>
      </c>
      <c r="AE3987" s="203">
        <v>43164</v>
      </c>
      <c r="AF3987" s="167" t="s">
        <v>3470</v>
      </c>
    </row>
    <row r="3988" spans="28:32" x14ac:dyDescent="0.25">
      <c r="AB3988" s="167" t="s">
        <v>2856</v>
      </c>
      <c r="AC3988" s="167">
        <v>353</v>
      </c>
      <c r="AD3988" s="203">
        <v>43180</v>
      </c>
      <c r="AE3988" s="203">
        <v>0</v>
      </c>
      <c r="AF3988" s="167" t="s">
        <v>3469</v>
      </c>
    </row>
    <row r="3989" spans="28:32" x14ac:dyDescent="0.25">
      <c r="AB3989" s="167" t="s">
        <v>2856</v>
      </c>
      <c r="AC3989" s="167">
        <v>353</v>
      </c>
      <c r="AD3989" s="203">
        <v>43180</v>
      </c>
      <c r="AE3989" s="203">
        <v>0</v>
      </c>
      <c r="AF3989" s="167" t="s">
        <v>3469</v>
      </c>
    </row>
    <row r="3990" spans="28:32" x14ac:dyDescent="0.25">
      <c r="AB3990" s="167" t="s">
        <v>2858</v>
      </c>
      <c r="AC3990" s="167">
        <v>353</v>
      </c>
      <c r="AD3990" s="203">
        <v>43180</v>
      </c>
      <c r="AE3990" s="203">
        <v>0</v>
      </c>
      <c r="AF3990" s="167" t="s">
        <v>3469</v>
      </c>
    </row>
    <row r="3991" spans="28:32" x14ac:dyDescent="0.25">
      <c r="AB3991" s="167" t="s">
        <v>2860</v>
      </c>
      <c r="AC3991" s="167">
        <v>347</v>
      </c>
      <c r="AD3991" s="203">
        <v>43118</v>
      </c>
      <c r="AE3991" s="203">
        <v>43133</v>
      </c>
      <c r="AF3991" s="167" t="s">
        <v>3470</v>
      </c>
    </row>
    <row r="3992" spans="28:32" x14ac:dyDescent="0.25">
      <c r="AB3992" s="167" t="s">
        <v>2860</v>
      </c>
      <c r="AC3992" s="167">
        <v>340</v>
      </c>
      <c r="AD3992" s="203">
        <v>43133</v>
      </c>
      <c r="AE3992" s="203">
        <v>43168</v>
      </c>
      <c r="AF3992" s="167" t="s">
        <v>3470</v>
      </c>
    </row>
    <row r="3993" spans="28:32" x14ac:dyDescent="0.25">
      <c r="AB3993" s="167" t="s">
        <v>2860</v>
      </c>
      <c r="AC3993" s="167">
        <v>357</v>
      </c>
      <c r="AD3993" s="203">
        <v>43139</v>
      </c>
      <c r="AE3993" s="203">
        <v>43164</v>
      </c>
      <c r="AF3993" s="167" t="s">
        <v>3470</v>
      </c>
    </row>
    <row r="3994" spans="28:32" x14ac:dyDescent="0.25">
      <c r="AB3994" s="167" t="s">
        <v>2860</v>
      </c>
      <c r="AC3994" s="167">
        <v>353</v>
      </c>
      <c r="AD3994" s="203">
        <v>43180</v>
      </c>
      <c r="AE3994" s="203">
        <v>0</v>
      </c>
      <c r="AF3994" s="167" t="s">
        <v>3469</v>
      </c>
    </row>
    <row r="3995" spans="28:32" x14ac:dyDescent="0.25">
      <c r="AB3995" s="167" t="s">
        <v>2862</v>
      </c>
      <c r="AC3995" s="167">
        <v>323</v>
      </c>
      <c r="AD3995" s="203">
        <v>43074</v>
      </c>
      <c r="AE3995" s="203">
        <v>43111</v>
      </c>
      <c r="AF3995" s="167" t="s">
        <v>3470</v>
      </c>
    </row>
    <row r="3996" spans="28:32" x14ac:dyDescent="0.25">
      <c r="AB3996" s="167" t="s">
        <v>2862</v>
      </c>
      <c r="AC3996" s="167">
        <v>323</v>
      </c>
      <c r="AD3996" s="203">
        <v>43074</v>
      </c>
      <c r="AE3996" s="203">
        <v>43111</v>
      </c>
      <c r="AF3996" s="167" t="s">
        <v>3470</v>
      </c>
    </row>
    <row r="3997" spans="28:32" x14ac:dyDescent="0.25">
      <c r="AB3997" s="167" t="s">
        <v>2862</v>
      </c>
      <c r="AC3997" s="167">
        <v>347</v>
      </c>
      <c r="AD3997" s="203">
        <v>43118</v>
      </c>
      <c r="AE3997" s="203">
        <v>43133</v>
      </c>
      <c r="AF3997" s="167" t="s">
        <v>3470</v>
      </c>
    </row>
    <row r="3998" spans="28:32" x14ac:dyDescent="0.25">
      <c r="AB3998" s="167" t="s">
        <v>2862</v>
      </c>
      <c r="AC3998" s="167">
        <v>340</v>
      </c>
      <c r="AD3998" s="203">
        <v>43133</v>
      </c>
      <c r="AE3998" s="203">
        <v>43168</v>
      </c>
      <c r="AF3998" s="167" t="s">
        <v>3470</v>
      </c>
    </row>
    <row r="3999" spans="28:32" x14ac:dyDescent="0.25">
      <c r="AB3999" s="167" t="s">
        <v>2862</v>
      </c>
      <c r="AC3999" s="167">
        <v>374</v>
      </c>
      <c r="AD3999" s="203">
        <v>43195</v>
      </c>
      <c r="AE3999" s="203">
        <v>0</v>
      </c>
      <c r="AF3999" s="167" t="s">
        <v>3469</v>
      </c>
    </row>
    <row r="4000" spans="28:32" x14ac:dyDescent="0.25">
      <c r="AB4000" s="167" t="s">
        <v>2864</v>
      </c>
      <c r="AC4000" s="167">
        <v>323</v>
      </c>
      <c r="AD4000" s="203">
        <v>43074</v>
      </c>
      <c r="AE4000" s="203">
        <v>43111</v>
      </c>
      <c r="AF4000" s="167" t="s">
        <v>3470</v>
      </c>
    </row>
    <row r="4001" spans="28:32" x14ac:dyDescent="0.25">
      <c r="AB4001" s="167" t="s">
        <v>2864</v>
      </c>
      <c r="AC4001" s="167">
        <v>374</v>
      </c>
      <c r="AD4001" s="203">
        <v>43195</v>
      </c>
      <c r="AE4001" s="203">
        <v>0</v>
      </c>
      <c r="AF4001" s="167" t="s">
        <v>3469</v>
      </c>
    </row>
    <row r="4002" spans="28:32" x14ac:dyDescent="0.25">
      <c r="AB4002" s="167" t="s">
        <v>2866</v>
      </c>
      <c r="AC4002" s="167">
        <v>327</v>
      </c>
      <c r="AD4002" s="203">
        <v>43074</v>
      </c>
      <c r="AE4002" s="203">
        <v>43131</v>
      </c>
      <c r="AF4002" s="167" t="s">
        <v>3470</v>
      </c>
    </row>
    <row r="4003" spans="28:32" x14ac:dyDescent="0.25">
      <c r="AB4003" s="167" t="s">
        <v>2866</v>
      </c>
      <c r="AC4003" s="167">
        <v>357</v>
      </c>
      <c r="AD4003" s="203">
        <v>43139</v>
      </c>
      <c r="AE4003" s="203">
        <v>43164</v>
      </c>
      <c r="AF4003" s="167" t="s">
        <v>3470</v>
      </c>
    </row>
    <row r="4004" spans="28:32" x14ac:dyDescent="0.25">
      <c r="AB4004" s="167" t="s">
        <v>2866</v>
      </c>
      <c r="AC4004" s="167">
        <v>364</v>
      </c>
      <c r="AD4004" s="203">
        <v>43168</v>
      </c>
      <c r="AE4004" s="203">
        <v>43179</v>
      </c>
      <c r="AF4004" s="167" t="s">
        <v>3470</v>
      </c>
    </row>
    <row r="4005" spans="28:32" x14ac:dyDescent="0.25">
      <c r="AB4005" s="167" t="s">
        <v>2866</v>
      </c>
      <c r="AC4005" s="167">
        <v>353</v>
      </c>
      <c r="AD4005" s="203">
        <v>43180</v>
      </c>
      <c r="AE4005" s="203">
        <v>0</v>
      </c>
      <c r="AF4005" s="167" t="s">
        <v>3469</v>
      </c>
    </row>
    <row r="4006" spans="28:32" x14ac:dyDescent="0.25">
      <c r="AB4006" s="167" t="s">
        <v>2866</v>
      </c>
      <c r="AC4006" s="167">
        <v>353</v>
      </c>
      <c r="AD4006" s="203">
        <v>43180</v>
      </c>
      <c r="AE4006" s="203">
        <v>0</v>
      </c>
      <c r="AF4006" s="167" t="s">
        <v>3469</v>
      </c>
    </row>
    <row r="4007" spans="28:32" x14ac:dyDescent="0.25">
      <c r="AB4007" s="167" t="s">
        <v>3436</v>
      </c>
      <c r="AC4007" s="167">
        <v>364</v>
      </c>
      <c r="AD4007" s="203">
        <v>43168</v>
      </c>
      <c r="AE4007" s="203">
        <v>43179</v>
      </c>
      <c r="AF4007" s="167" t="s">
        <v>3470</v>
      </c>
    </row>
    <row r="4008" spans="28:32" x14ac:dyDescent="0.25">
      <c r="AB4008" s="167" t="s">
        <v>3436</v>
      </c>
      <c r="AC4008" s="167">
        <v>353</v>
      </c>
      <c r="AD4008" s="203">
        <v>43180</v>
      </c>
      <c r="AE4008" s="203">
        <v>0</v>
      </c>
      <c r="AF4008" s="167" t="s">
        <v>3469</v>
      </c>
    </row>
    <row r="4009" spans="28:32" x14ac:dyDescent="0.25">
      <c r="AB4009" s="167" t="s">
        <v>2868</v>
      </c>
      <c r="AC4009" s="167">
        <v>364</v>
      </c>
      <c r="AD4009" s="203">
        <v>43168</v>
      </c>
      <c r="AE4009" s="203">
        <v>43179</v>
      </c>
      <c r="AF4009" s="167" t="s">
        <v>3470</v>
      </c>
    </row>
    <row r="4010" spans="28:32" x14ac:dyDescent="0.25">
      <c r="AB4010" s="167" t="s">
        <v>2868</v>
      </c>
      <c r="AC4010" s="167">
        <v>353</v>
      </c>
      <c r="AD4010" s="203">
        <v>43180</v>
      </c>
      <c r="AE4010" s="203">
        <v>0</v>
      </c>
      <c r="AF4010" s="167" t="s">
        <v>3469</v>
      </c>
    </row>
    <row r="4011" spans="28:32" x14ac:dyDescent="0.25">
      <c r="AB4011" s="167" t="s">
        <v>2869</v>
      </c>
      <c r="AC4011" s="167">
        <v>347</v>
      </c>
      <c r="AD4011" s="203">
        <v>43118</v>
      </c>
      <c r="AE4011" s="203">
        <v>43133</v>
      </c>
      <c r="AF4011" s="167" t="s">
        <v>3470</v>
      </c>
    </row>
    <row r="4012" spans="28:32" x14ac:dyDescent="0.25">
      <c r="AB4012" s="167" t="s">
        <v>2869</v>
      </c>
      <c r="AC4012" s="167">
        <v>340</v>
      </c>
      <c r="AD4012" s="203">
        <v>43133</v>
      </c>
      <c r="AE4012" s="203">
        <v>43168</v>
      </c>
      <c r="AF4012" s="167" t="s">
        <v>3470</v>
      </c>
    </row>
    <row r="4013" spans="28:32" x14ac:dyDescent="0.25">
      <c r="AB4013" s="167" t="s">
        <v>2871</v>
      </c>
      <c r="AC4013" s="167">
        <v>335</v>
      </c>
      <c r="AD4013" s="203">
        <v>43133</v>
      </c>
      <c r="AE4013" s="203">
        <v>43147</v>
      </c>
      <c r="AF4013" s="167" t="s">
        <v>3470</v>
      </c>
    </row>
    <row r="4014" spans="28:32" x14ac:dyDescent="0.25">
      <c r="AB4014" s="167" t="s">
        <v>2871</v>
      </c>
      <c r="AC4014" s="167">
        <v>340</v>
      </c>
      <c r="AD4014" s="203">
        <v>43133</v>
      </c>
      <c r="AE4014" s="203">
        <v>43168</v>
      </c>
      <c r="AF4014" s="167" t="s">
        <v>3470</v>
      </c>
    </row>
    <row r="4015" spans="28:32" x14ac:dyDescent="0.25">
      <c r="AB4015" s="167" t="s">
        <v>2871</v>
      </c>
      <c r="AC4015" s="167">
        <v>364</v>
      </c>
      <c r="AD4015" s="203">
        <v>43168</v>
      </c>
      <c r="AE4015" s="203">
        <v>43179</v>
      </c>
      <c r="AF4015" s="167" t="s">
        <v>3470</v>
      </c>
    </row>
    <row r="4016" spans="28:32" x14ac:dyDescent="0.25">
      <c r="AB4016" s="167" t="s">
        <v>2871</v>
      </c>
      <c r="AC4016" s="167">
        <v>353</v>
      </c>
      <c r="AD4016" s="203">
        <v>43180</v>
      </c>
      <c r="AE4016" s="203">
        <v>0</v>
      </c>
      <c r="AF4016" s="167" t="s">
        <v>3469</v>
      </c>
    </row>
    <row r="4017" spans="28:32" x14ac:dyDescent="0.25">
      <c r="AB4017" s="167" t="s">
        <v>2873</v>
      </c>
      <c r="AC4017" s="167">
        <v>364</v>
      </c>
      <c r="AD4017" s="203">
        <v>43168</v>
      </c>
      <c r="AE4017" s="203">
        <v>43179</v>
      </c>
      <c r="AF4017" s="167" t="s">
        <v>3470</v>
      </c>
    </row>
    <row r="4018" spans="28:32" x14ac:dyDescent="0.25">
      <c r="AB4018" s="167" t="s">
        <v>2873</v>
      </c>
      <c r="AC4018" s="167">
        <v>353</v>
      </c>
      <c r="AD4018" s="203">
        <v>43180</v>
      </c>
      <c r="AE4018" s="203">
        <v>0</v>
      </c>
      <c r="AF4018" s="167" t="s">
        <v>3469</v>
      </c>
    </row>
    <row r="4019" spans="28:32" x14ac:dyDescent="0.25">
      <c r="AB4019" s="167" t="s">
        <v>2873</v>
      </c>
      <c r="AC4019" s="167">
        <v>353</v>
      </c>
      <c r="AD4019" s="203">
        <v>43180</v>
      </c>
      <c r="AE4019" s="203">
        <v>0</v>
      </c>
      <c r="AF4019" s="167" t="s">
        <v>3469</v>
      </c>
    </row>
    <row r="4020" spans="28:32" x14ac:dyDescent="0.25">
      <c r="AB4020" s="167" t="s">
        <v>2873</v>
      </c>
      <c r="AC4020" s="167">
        <v>353</v>
      </c>
      <c r="AD4020" s="203">
        <v>43180</v>
      </c>
      <c r="AE4020" s="203">
        <v>0</v>
      </c>
      <c r="AF4020" s="167" t="s">
        <v>3469</v>
      </c>
    </row>
    <row r="4021" spans="28:32" x14ac:dyDescent="0.25">
      <c r="AB4021" s="167" t="s">
        <v>2873</v>
      </c>
      <c r="AC4021" s="167">
        <v>353</v>
      </c>
      <c r="AD4021" s="203">
        <v>43180</v>
      </c>
      <c r="AE4021" s="203">
        <v>0</v>
      </c>
      <c r="AF4021" s="167" t="s">
        <v>3469</v>
      </c>
    </row>
    <row r="4022" spans="28:32" x14ac:dyDescent="0.25">
      <c r="AB4022" s="167" t="s">
        <v>2875</v>
      </c>
      <c r="AC4022" s="167">
        <v>323</v>
      </c>
      <c r="AD4022" s="203">
        <v>43074</v>
      </c>
      <c r="AE4022" s="203">
        <v>43111</v>
      </c>
      <c r="AF4022" s="167" t="s">
        <v>3470</v>
      </c>
    </row>
    <row r="4023" spans="28:32" x14ac:dyDescent="0.25">
      <c r="AB4023" s="167" t="s">
        <v>2875</v>
      </c>
      <c r="AC4023" s="167">
        <v>347</v>
      </c>
      <c r="AD4023" s="203">
        <v>43118</v>
      </c>
      <c r="AE4023" s="203">
        <v>43133</v>
      </c>
      <c r="AF4023" s="167" t="s">
        <v>3470</v>
      </c>
    </row>
    <row r="4024" spans="28:32" x14ac:dyDescent="0.25">
      <c r="AB4024" s="167" t="s">
        <v>2875</v>
      </c>
      <c r="AC4024" s="167">
        <v>340</v>
      </c>
      <c r="AD4024" s="203">
        <v>43133</v>
      </c>
      <c r="AE4024" s="203">
        <v>43168</v>
      </c>
      <c r="AF4024" s="167" t="s">
        <v>3470</v>
      </c>
    </row>
    <row r="4025" spans="28:32" x14ac:dyDescent="0.25">
      <c r="AB4025" s="167" t="s">
        <v>2875</v>
      </c>
      <c r="AC4025" s="167">
        <v>374</v>
      </c>
      <c r="AD4025" s="203">
        <v>43195</v>
      </c>
      <c r="AE4025" s="203">
        <v>0</v>
      </c>
      <c r="AF4025" s="167" t="s">
        <v>3469</v>
      </c>
    </row>
    <row r="4026" spans="28:32" x14ac:dyDescent="0.25">
      <c r="AB4026" s="167" t="s">
        <v>2877</v>
      </c>
      <c r="AC4026" s="167">
        <v>347</v>
      </c>
      <c r="AD4026" s="203">
        <v>43118</v>
      </c>
      <c r="AE4026" s="203">
        <v>43133</v>
      </c>
      <c r="AF4026" s="167" t="s">
        <v>3470</v>
      </c>
    </row>
    <row r="4027" spans="28:32" x14ac:dyDescent="0.25">
      <c r="AB4027" s="167" t="s">
        <v>2877</v>
      </c>
      <c r="AC4027" s="167">
        <v>340</v>
      </c>
      <c r="AD4027" s="203">
        <v>43133</v>
      </c>
      <c r="AE4027" s="203">
        <v>43168</v>
      </c>
      <c r="AF4027" s="167" t="s">
        <v>3470</v>
      </c>
    </row>
    <row r="4028" spans="28:32" x14ac:dyDescent="0.25">
      <c r="AB4028" s="167" t="s">
        <v>2877</v>
      </c>
      <c r="AC4028" s="167">
        <v>340</v>
      </c>
      <c r="AD4028" s="203">
        <v>43133</v>
      </c>
      <c r="AE4028" s="203">
        <v>43168</v>
      </c>
      <c r="AF4028" s="167" t="s">
        <v>3470</v>
      </c>
    </row>
    <row r="4029" spans="28:32" x14ac:dyDescent="0.25">
      <c r="AB4029" s="167" t="s">
        <v>2877</v>
      </c>
      <c r="AC4029" s="167">
        <v>357</v>
      </c>
      <c r="AD4029" s="203">
        <v>43139</v>
      </c>
      <c r="AE4029" s="203">
        <v>43164</v>
      </c>
      <c r="AF4029" s="167" t="s">
        <v>3470</v>
      </c>
    </row>
    <row r="4030" spans="28:32" x14ac:dyDescent="0.25">
      <c r="AB4030" s="167" t="s">
        <v>2877</v>
      </c>
      <c r="AC4030" s="167">
        <v>353</v>
      </c>
      <c r="AD4030" s="203">
        <v>43180</v>
      </c>
      <c r="AE4030" s="203">
        <v>0</v>
      </c>
      <c r="AF4030" s="167" t="s">
        <v>3469</v>
      </c>
    </row>
    <row r="4031" spans="28:32" x14ac:dyDescent="0.25">
      <c r="AB4031" s="167" t="s">
        <v>2879</v>
      </c>
      <c r="AC4031" s="167">
        <v>323</v>
      </c>
      <c r="AD4031" s="203">
        <v>43074</v>
      </c>
      <c r="AE4031" s="203">
        <v>43111</v>
      </c>
      <c r="AF4031" s="167" t="s">
        <v>3470</v>
      </c>
    </row>
    <row r="4032" spans="28:32" x14ac:dyDescent="0.25">
      <c r="AB4032" s="167" t="s">
        <v>2879</v>
      </c>
      <c r="AC4032" s="167">
        <v>347</v>
      </c>
      <c r="AD4032" s="203">
        <v>43118</v>
      </c>
      <c r="AE4032" s="203">
        <v>43133</v>
      </c>
      <c r="AF4032" s="167" t="s">
        <v>3470</v>
      </c>
    </row>
    <row r="4033" spans="28:32" x14ac:dyDescent="0.25">
      <c r="AB4033" s="167" t="s">
        <v>2879</v>
      </c>
      <c r="AC4033" s="167">
        <v>340</v>
      </c>
      <c r="AD4033" s="203">
        <v>43133</v>
      </c>
      <c r="AE4033" s="203">
        <v>43168</v>
      </c>
      <c r="AF4033" s="167" t="s">
        <v>3470</v>
      </c>
    </row>
    <row r="4034" spans="28:32" x14ac:dyDescent="0.25">
      <c r="AB4034" s="167" t="s">
        <v>2879</v>
      </c>
      <c r="AC4034" s="167">
        <v>374</v>
      </c>
      <c r="AD4034" s="203">
        <v>43195</v>
      </c>
      <c r="AE4034" s="203">
        <v>0</v>
      </c>
      <c r="AF4034" s="167" t="s">
        <v>3469</v>
      </c>
    </row>
    <row r="4035" spans="28:32" x14ac:dyDescent="0.25">
      <c r="AB4035" s="167" t="s">
        <v>2881</v>
      </c>
      <c r="AC4035" s="167">
        <v>327</v>
      </c>
      <c r="AD4035" s="203">
        <v>43074</v>
      </c>
      <c r="AE4035" s="203">
        <v>43131</v>
      </c>
      <c r="AF4035" s="167" t="s">
        <v>3470</v>
      </c>
    </row>
    <row r="4036" spans="28:32" x14ac:dyDescent="0.25">
      <c r="AB4036" s="167" t="s">
        <v>2881</v>
      </c>
      <c r="AC4036" s="167">
        <v>353</v>
      </c>
      <c r="AD4036" s="203">
        <v>43180</v>
      </c>
      <c r="AE4036" s="203">
        <v>0</v>
      </c>
      <c r="AF4036" s="167" t="s">
        <v>3469</v>
      </c>
    </row>
    <row r="4037" spans="28:32" x14ac:dyDescent="0.25">
      <c r="AB4037" s="167" t="s">
        <v>2881</v>
      </c>
      <c r="AC4037" s="167">
        <v>353</v>
      </c>
      <c r="AD4037" s="203">
        <v>43180</v>
      </c>
      <c r="AE4037" s="203">
        <v>0</v>
      </c>
      <c r="AF4037" s="167" t="s">
        <v>3469</v>
      </c>
    </row>
    <row r="4038" spans="28:32" x14ac:dyDescent="0.25">
      <c r="AB4038" s="167" t="s">
        <v>2882</v>
      </c>
      <c r="AC4038" s="167">
        <v>340</v>
      </c>
      <c r="AD4038" s="203">
        <v>43133</v>
      </c>
      <c r="AE4038" s="203">
        <v>43168</v>
      </c>
      <c r="AF4038" s="167" t="s">
        <v>3470</v>
      </c>
    </row>
    <row r="4039" spans="28:32" x14ac:dyDescent="0.25">
      <c r="AB4039" s="167" t="s">
        <v>2883</v>
      </c>
      <c r="AC4039" s="167">
        <v>347</v>
      </c>
      <c r="AD4039" s="203">
        <v>43118</v>
      </c>
      <c r="AE4039" s="203">
        <v>43133</v>
      </c>
      <c r="AF4039" s="167" t="s">
        <v>3470</v>
      </c>
    </row>
    <row r="4040" spans="28:32" x14ac:dyDescent="0.25">
      <c r="AB4040" s="167" t="s">
        <v>2883</v>
      </c>
      <c r="AC4040" s="167">
        <v>340</v>
      </c>
      <c r="AD4040" s="203">
        <v>43133</v>
      </c>
      <c r="AE4040" s="203">
        <v>43168</v>
      </c>
      <c r="AF4040" s="167" t="s">
        <v>3470</v>
      </c>
    </row>
    <row r="4041" spans="28:32" x14ac:dyDescent="0.25">
      <c r="AB4041" s="167" t="s">
        <v>3529</v>
      </c>
      <c r="AC4041" s="167">
        <v>358</v>
      </c>
      <c r="AD4041" s="203">
        <v>43140</v>
      </c>
      <c r="AE4041" s="203">
        <v>43153</v>
      </c>
      <c r="AF4041" s="167" t="s">
        <v>3470</v>
      </c>
    </row>
    <row r="4042" spans="28:32" x14ac:dyDescent="0.25">
      <c r="AB4042" s="167" t="s">
        <v>2885</v>
      </c>
      <c r="AC4042" s="167">
        <v>347</v>
      </c>
      <c r="AD4042" s="203">
        <v>43118</v>
      </c>
      <c r="AE4042" s="203">
        <v>43133</v>
      </c>
      <c r="AF4042" s="167" t="s">
        <v>3470</v>
      </c>
    </row>
    <row r="4043" spans="28:32" x14ac:dyDescent="0.25">
      <c r="AB4043" s="167" t="s">
        <v>2885</v>
      </c>
      <c r="AC4043" s="167">
        <v>340</v>
      </c>
      <c r="AD4043" s="203">
        <v>43133</v>
      </c>
      <c r="AE4043" s="203">
        <v>43168</v>
      </c>
      <c r="AF4043" s="167" t="s">
        <v>3470</v>
      </c>
    </row>
    <row r="4044" spans="28:32" x14ac:dyDescent="0.25">
      <c r="AB4044" s="167" t="s">
        <v>2885</v>
      </c>
      <c r="AC4044" s="167">
        <v>340</v>
      </c>
      <c r="AD4044" s="203">
        <v>43133</v>
      </c>
      <c r="AE4044" s="203">
        <v>43168</v>
      </c>
      <c r="AF4044" s="167" t="s">
        <v>3470</v>
      </c>
    </row>
    <row r="4045" spans="28:32" x14ac:dyDescent="0.25">
      <c r="AB4045" s="167" t="s">
        <v>2885</v>
      </c>
      <c r="AC4045" s="167">
        <v>357</v>
      </c>
      <c r="AD4045" s="203">
        <v>43139</v>
      </c>
      <c r="AE4045" s="203">
        <v>43164</v>
      </c>
      <c r="AF4045" s="167" t="s">
        <v>3470</v>
      </c>
    </row>
    <row r="4046" spans="28:32" x14ac:dyDescent="0.25">
      <c r="AB4046" s="167" t="s">
        <v>2885</v>
      </c>
      <c r="AC4046" s="167">
        <v>353</v>
      </c>
      <c r="AD4046" s="203">
        <v>43180</v>
      </c>
      <c r="AE4046" s="203">
        <v>0</v>
      </c>
      <c r="AF4046" s="167" t="s">
        <v>3469</v>
      </c>
    </row>
    <row r="4047" spans="28:32" x14ac:dyDescent="0.25">
      <c r="AB4047" s="167" t="s">
        <v>2885</v>
      </c>
      <c r="AC4047" s="167">
        <v>353</v>
      </c>
      <c r="AD4047" s="203">
        <v>43180</v>
      </c>
      <c r="AE4047" s="203">
        <v>0</v>
      </c>
      <c r="AF4047" s="167" t="s">
        <v>3469</v>
      </c>
    </row>
    <row r="4048" spans="28:32" x14ac:dyDescent="0.25">
      <c r="AB4048" s="167" t="s">
        <v>2885</v>
      </c>
      <c r="AC4048" s="167">
        <v>353</v>
      </c>
      <c r="AD4048" s="203">
        <v>43180</v>
      </c>
      <c r="AE4048" s="203">
        <v>0</v>
      </c>
      <c r="AF4048" s="167" t="s">
        <v>3469</v>
      </c>
    </row>
    <row r="4049" spans="28:32" x14ac:dyDescent="0.25">
      <c r="AB4049" s="167" t="s">
        <v>2886</v>
      </c>
      <c r="AC4049" s="167">
        <v>350</v>
      </c>
      <c r="AD4049" s="203">
        <v>43132</v>
      </c>
      <c r="AE4049" s="203">
        <v>43195</v>
      </c>
      <c r="AF4049" s="167" t="s">
        <v>3470</v>
      </c>
    </row>
    <row r="4050" spans="28:32" x14ac:dyDescent="0.25">
      <c r="AB4050" s="167" t="s">
        <v>2886</v>
      </c>
      <c r="AC4050" s="167">
        <v>333</v>
      </c>
      <c r="AD4050" s="203">
        <v>43206</v>
      </c>
      <c r="AE4050" s="203">
        <v>43210</v>
      </c>
      <c r="AF4050" s="167" t="s">
        <v>3470</v>
      </c>
    </row>
    <row r="4051" spans="28:32" x14ac:dyDescent="0.25">
      <c r="AB4051" s="167" t="s">
        <v>2886</v>
      </c>
      <c r="AC4051" s="167">
        <v>377</v>
      </c>
      <c r="AD4051" s="203">
        <v>43210</v>
      </c>
      <c r="AE4051" s="203">
        <v>43210</v>
      </c>
      <c r="AF4051" s="167" t="s">
        <v>3470</v>
      </c>
    </row>
    <row r="4052" spans="28:32" x14ac:dyDescent="0.25">
      <c r="AB4052" s="167" t="s">
        <v>2887</v>
      </c>
      <c r="AC4052" s="167">
        <v>350</v>
      </c>
      <c r="AD4052" s="203">
        <v>43132</v>
      </c>
      <c r="AE4052" s="203">
        <v>43195</v>
      </c>
      <c r="AF4052" s="167" t="s">
        <v>3470</v>
      </c>
    </row>
    <row r="4053" spans="28:32" x14ac:dyDescent="0.25">
      <c r="AB4053" s="167" t="s">
        <v>2887</v>
      </c>
      <c r="AC4053" s="167">
        <v>333</v>
      </c>
      <c r="AD4053" s="203">
        <v>43206</v>
      </c>
      <c r="AE4053" s="203">
        <v>43210</v>
      </c>
      <c r="AF4053" s="167" t="s">
        <v>3470</v>
      </c>
    </row>
    <row r="4054" spans="28:32" x14ac:dyDescent="0.25">
      <c r="AB4054" s="167" t="s">
        <v>2888</v>
      </c>
      <c r="AC4054" s="167">
        <v>350</v>
      </c>
      <c r="AD4054" s="203">
        <v>43132</v>
      </c>
      <c r="AE4054" s="203">
        <v>43195</v>
      </c>
      <c r="AF4054" s="167" t="s">
        <v>3470</v>
      </c>
    </row>
    <row r="4055" spans="28:32" x14ac:dyDescent="0.25">
      <c r="AB4055" s="167" t="s">
        <v>2888</v>
      </c>
      <c r="AC4055" s="167">
        <v>333</v>
      </c>
      <c r="AD4055" s="203">
        <v>43206</v>
      </c>
      <c r="AE4055" s="203">
        <v>43210</v>
      </c>
      <c r="AF4055" s="167" t="s">
        <v>3470</v>
      </c>
    </row>
    <row r="4056" spans="28:32" x14ac:dyDescent="0.25">
      <c r="AB4056" s="167" t="s">
        <v>2888</v>
      </c>
      <c r="AC4056" s="167">
        <v>333</v>
      </c>
      <c r="AD4056" s="203">
        <v>43206</v>
      </c>
      <c r="AE4056" s="203">
        <v>43210</v>
      </c>
      <c r="AF4056" s="167" t="s">
        <v>3470</v>
      </c>
    </row>
    <row r="4057" spans="28:32" x14ac:dyDescent="0.25">
      <c r="AB4057" s="167" t="s">
        <v>2888</v>
      </c>
      <c r="AC4057" s="167">
        <v>377</v>
      </c>
      <c r="AD4057" s="203">
        <v>43210</v>
      </c>
      <c r="AE4057" s="203">
        <v>43210</v>
      </c>
      <c r="AF4057" s="167" t="s">
        <v>3470</v>
      </c>
    </row>
    <row r="4058" spans="28:32" x14ac:dyDescent="0.25">
      <c r="AB4058" s="167" t="s">
        <v>2889</v>
      </c>
      <c r="AC4058" s="167">
        <v>350</v>
      </c>
      <c r="AD4058" s="203">
        <v>43132</v>
      </c>
      <c r="AE4058" s="203">
        <v>43195</v>
      </c>
      <c r="AF4058" s="167" t="s">
        <v>3470</v>
      </c>
    </row>
    <row r="4059" spans="28:32" x14ac:dyDescent="0.25">
      <c r="AB4059" s="167" t="s">
        <v>2889</v>
      </c>
      <c r="AC4059" s="167">
        <v>333</v>
      </c>
      <c r="AD4059" s="203">
        <v>43206</v>
      </c>
      <c r="AE4059" s="203">
        <v>43210</v>
      </c>
      <c r="AF4059" s="167" t="s">
        <v>3470</v>
      </c>
    </row>
    <row r="4060" spans="28:32" x14ac:dyDescent="0.25">
      <c r="AB4060" s="167" t="s">
        <v>2889</v>
      </c>
      <c r="AC4060" s="167">
        <v>333</v>
      </c>
      <c r="AD4060" s="203">
        <v>43206</v>
      </c>
      <c r="AE4060" s="203">
        <v>43210</v>
      </c>
      <c r="AF4060" s="167" t="s">
        <v>3470</v>
      </c>
    </row>
    <row r="4061" spans="28:32" x14ac:dyDescent="0.25">
      <c r="AB4061" s="167" t="s">
        <v>2889</v>
      </c>
      <c r="AC4061" s="167">
        <v>333</v>
      </c>
      <c r="AD4061" s="203">
        <v>43206</v>
      </c>
      <c r="AE4061" s="203">
        <v>43210</v>
      </c>
      <c r="AF4061" s="167" t="s">
        <v>3470</v>
      </c>
    </row>
    <row r="4062" spans="28:32" x14ac:dyDescent="0.25">
      <c r="AB4062" s="167" t="s">
        <v>2889</v>
      </c>
      <c r="AC4062" s="167">
        <v>333</v>
      </c>
      <c r="AD4062" s="203">
        <v>43206</v>
      </c>
      <c r="AE4062" s="203">
        <v>43210</v>
      </c>
      <c r="AF4062" s="167" t="s">
        <v>3470</v>
      </c>
    </row>
    <row r="4063" spans="28:32" x14ac:dyDescent="0.25">
      <c r="AB4063" s="167" t="s">
        <v>2890</v>
      </c>
      <c r="AC4063" s="167">
        <v>350</v>
      </c>
      <c r="AD4063" s="203">
        <v>43132</v>
      </c>
      <c r="AE4063" s="203">
        <v>43195</v>
      </c>
      <c r="AF4063" s="167" t="s">
        <v>3470</v>
      </c>
    </row>
    <row r="4064" spans="28:32" x14ac:dyDescent="0.25">
      <c r="AB4064" s="167" t="s">
        <v>2890</v>
      </c>
      <c r="AC4064" s="167">
        <v>333</v>
      </c>
      <c r="AD4064" s="203">
        <v>43206</v>
      </c>
      <c r="AE4064" s="203">
        <v>43210</v>
      </c>
      <c r="AF4064" s="167" t="s">
        <v>3470</v>
      </c>
    </row>
    <row r="4065" spans="28:32" x14ac:dyDescent="0.25">
      <c r="AB4065" s="167" t="s">
        <v>2890</v>
      </c>
      <c r="AC4065" s="167">
        <v>333</v>
      </c>
      <c r="AD4065" s="203">
        <v>43206</v>
      </c>
      <c r="AE4065" s="203">
        <v>43210</v>
      </c>
      <c r="AF4065" s="167" t="s">
        <v>3470</v>
      </c>
    </row>
    <row r="4066" spans="28:32" x14ac:dyDescent="0.25">
      <c r="AB4066" s="167" t="s">
        <v>2890</v>
      </c>
      <c r="AC4066" s="167">
        <v>377</v>
      </c>
      <c r="AD4066" s="203">
        <v>43210</v>
      </c>
      <c r="AE4066" s="203">
        <v>43210</v>
      </c>
      <c r="AF4066" s="167" t="s">
        <v>3470</v>
      </c>
    </row>
    <row r="4067" spans="28:32" x14ac:dyDescent="0.25">
      <c r="AB4067" s="167" t="s">
        <v>2891</v>
      </c>
      <c r="AC4067" s="167">
        <v>350</v>
      </c>
      <c r="AD4067" s="203">
        <v>43132</v>
      </c>
      <c r="AE4067" s="203">
        <v>43195</v>
      </c>
      <c r="AF4067" s="167" t="s">
        <v>3470</v>
      </c>
    </row>
    <row r="4068" spans="28:32" x14ac:dyDescent="0.25">
      <c r="AB4068" s="167" t="s">
        <v>2891</v>
      </c>
      <c r="AC4068" s="167">
        <v>333</v>
      </c>
      <c r="AD4068" s="203">
        <v>43206</v>
      </c>
      <c r="AE4068" s="203">
        <v>43210</v>
      </c>
      <c r="AF4068" s="167" t="s">
        <v>3470</v>
      </c>
    </row>
    <row r="4069" spans="28:32" x14ac:dyDescent="0.25">
      <c r="AB4069" s="167" t="s">
        <v>2891</v>
      </c>
      <c r="AC4069" s="167">
        <v>333</v>
      </c>
      <c r="AD4069" s="203">
        <v>43206</v>
      </c>
      <c r="AE4069" s="203">
        <v>43210</v>
      </c>
      <c r="AF4069" s="167" t="s">
        <v>3470</v>
      </c>
    </row>
    <row r="4070" spans="28:32" x14ac:dyDescent="0.25">
      <c r="AB4070" s="167" t="s">
        <v>2891</v>
      </c>
      <c r="AC4070" s="167">
        <v>377</v>
      </c>
      <c r="AD4070" s="203">
        <v>43210</v>
      </c>
      <c r="AE4070" s="203">
        <v>43210</v>
      </c>
      <c r="AF4070" s="167" t="s">
        <v>3470</v>
      </c>
    </row>
    <row r="4071" spans="28:32" x14ac:dyDescent="0.25">
      <c r="AB4071" s="167" t="s">
        <v>2892</v>
      </c>
      <c r="AC4071" s="167">
        <v>333</v>
      </c>
      <c r="AD4071" s="203">
        <v>43206</v>
      </c>
      <c r="AE4071" s="203">
        <v>43210</v>
      </c>
      <c r="AF4071" s="167" t="s">
        <v>3470</v>
      </c>
    </row>
    <row r="4072" spans="28:32" x14ac:dyDescent="0.25">
      <c r="AB4072" s="167" t="s">
        <v>2892</v>
      </c>
      <c r="AC4072" s="167">
        <v>377</v>
      </c>
      <c r="AD4072" s="203">
        <v>43210</v>
      </c>
      <c r="AE4072" s="203">
        <v>43210</v>
      </c>
      <c r="AF4072" s="167" t="s">
        <v>3470</v>
      </c>
    </row>
    <row r="4073" spans="28:32" x14ac:dyDescent="0.25">
      <c r="AB4073" s="167" t="s">
        <v>3462</v>
      </c>
      <c r="AC4073" s="167">
        <v>327</v>
      </c>
      <c r="AD4073" s="203">
        <v>43074</v>
      </c>
      <c r="AE4073" s="203">
        <v>43131</v>
      </c>
      <c r="AF4073" s="167" t="s">
        <v>3470</v>
      </c>
    </row>
    <row r="4074" spans="28:32" x14ac:dyDescent="0.25">
      <c r="AB4074" s="167" t="s">
        <v>3462</v>
      </c>
      <c r="AC4074" s="167">
        <v>347</v>
      </c>
      <c r="AD4074" s="203">
        <v>43118</v>
      </c>
      <c r="AE4074" s="203">
        <v>43133</v>
      </c>
      <c r="AF4074" s="167" t="s">
        <v>3470</v>
      </c>
    </row>
    <row r="4075" spans="28:32" x14ac:dyDescent="0.25">
      <c r="AB4075" s="167" t="s">
        <v>3462</v>
      </c>
      <c r="AC4075" s="167">
        <v>364</v>
      </c>
      <c r="AD4075" s="203">
        <v>43168</v>
      </c>
      <c r="AE4075" s="203">
        <v>43179</v>
      </c>
      <c r="AF4075" s="167" t="s">
        <v>3470</v>
      </c>
    </row>
    <row r="4076" spans="28:32" x14ac:dyDescent="0.25">
      <c r="AB4076" s="167" t="s">
        <v>3462</v>
      </c>
      <c r="AC4076" s="167">
        <v>374</v>
      </c>
      <c r="AD4076" s="203">
        <v>43195</v>
      </c>
      <c r="AE4076" s="203">
        <v>0</v>
      </c>
      <c r="AF4076" s="167" t="s">
        <v>3469</v>
      </c>
    </row>
    <row r="4077" spans="28:32" x14ac:dyDescent="0.25">
      <c r="AB4077" s="167" t="s">
        <v>2893</v>
      </c>
      <c r="AC4077" s="167">
        <v>323</v>
      </c>
      <c r="AD4077" s="203">
        <v>43074</v>
      </c>
      <c r="AE4077" s="203">
        <v>43111</v>
      </c>
      <c r="AF4077" s="167" t="s">
        <v>3470</v>
      </c>
    </row>
    <row r="4078" spans="28:32" x14ac:dyDescent="0.25">
      <c r="AB4078" s="167" t="s">
        <v>2893</v>
      </c>
      <c r="AC4078" s="167">
        <v>327</v>
      </c>
      <c r="AD4078" s="203">
        <v>43074</v>
      </c>
      <c r="AE4078" s="203">
        <v>43131</v>
      </c>
      <c r="AF4078" s="167" t="s">
        <v>3470</v>
      </c>
    </row>
    <row r="4079" spans="28:32" x14ac:dyDescent="0.25">
      <c r="AB4079" s="167" t="s">
        <v>2893</v>
      </c>
      <c r="AC4079" s="167">
        <v>327</v>
      </c>
      <c r="AD4079" s="203">
        <v>43074</v>
      </c>
      <c r="AE4079" s="203">
        <v>43131</v>
      </c>
      <c r="AF4079" s="167" t="s">
        <v>3470</v>
      </c>
    </row>
    <row r="4080" spans="28:32" x14ac:dyDescent="0.25">
      <c r="AB4080" s="167" t="s">
        <v>2893</v>
      </c>
      <c r="AC4080" s="167">
        <v>347</v>
      </c>
      <c r="AD4080" s="203">
        <v>43118</v>
      </c>
      <c r="AE4080" s="203">
        <v>43133</v>
      </c>
      <c r="AF4080" s="167" t="s">
        <v>3470</v>
      </c>
    </row>
    <row r="4081" spans="28:32" x14ac:dyDescent="0.25">
      <c r="AB4081" s="167" t="s">
        <v>2893</v>
      </c>
      <c r="AC4081" s="167">
        <v>364</v>
      </c>
      <c r="AD4081" s="203">
        <v>43168</v>
      </c>
      <c r="AE4081" s="203">
        <v>43179</v>
      </c>
      <c r="AF4081" s="167" t="s">
        <v>3470</v>
      </c>
    </row>
    <row r="4082" spans="28:32" x14ac:dyDescent="0.25">
      <c r="AB4082" s="167" t="s">
        <v>2894</v>
      </c>
      <c r="AC4082" s="167">
        <v>340</v>
      </c>
      <c r="AD4082" s="203">
        <v>43133</v>
      </c>
      <c r="AE4082" s="203">
        <v>43168</v>
      </c>
      <c r="AF4082" s="167" t="s">
        <v>3470</v>
      </c>
    </row>
    <row r="4083" spans="28:32" x14ac:dyDescent="0.25">
      <c r="AB4083" s="167" t="s">
        <v>2895</v>
      </c>
      <c r="AC4083" s="167">
        <v>350</v>
      </c>
      <c r="AD4083" s="203">
        <v>43132</v>
      </c>
      <c r="AE4083" s="203">
        <v>43195</v>
      </c>
      <c r="AF4083" s="167" t="s">
        <v>3470</v>
      </c>
    </row>
    <row r="4084" spans="28:32" x14ac:dyDescent="0.25">
      <c r="AB4084" s="167" t="s">
        <v>2895</v>
      </c>
      <c r="AC4084" s="167">
        <v>333</v>
      </c>
      <c r="AD4084" s="203">
        <v>43206</v>
      </c>
      <c r="AE4084" s="203">
        <v>43210</v>
      </c>
      <c r="AF4084" s="167" t="s">
        <v>3470</v>
      </c>
    </row>
    <row r="4085" spans="28:32" x14ac:dyDescent="0.25">
      <c r="AB4085" s="167" t="s">
        <v>2895</v>
      </c>
      <c r="AC4085" s="167">
        <v>333</v>
      </c>
      <c r="AD4085" s="203">
        <v>43206</v>
      </c>
      <c r="AE4085" s="203">
        <v>43210</v>
      </c>
      <c r="AF4085" s="167" t="s">
        <v>3470</v>
      </c>
    </row>
    <row r="4086" spans="28:32" x14ac:dyDescent="0.25">
      <c r="AB4086" s="167" t="s">
        <v>2895</v>
      </c>
      <c r="AC4086" s="167">
        <v>377</v>
      </c>
      <c r="AD4086" s="203">
        <v>43210</v>
      </c>
      <c r="AE4086" s="203">
        <v>43210</v>
      </c>
      <c r="AF4086" s="167" t="s">
        <v>3470</v>
      </c>
    </row>
    <row r="4087" spans="28:32" x14ac:dyDescent="0.25">
      <c r="AB4087" s="167" t="s">
        <v>2896</v>
      </c>
      <c r="AC4087" s="167">
        <v>333</v>
      </c>
      <c r="AD4087" s="203">
        <v>43206</v>
      </c>
      <c r="AE4087" s="203">
        <v>43210</v>
      </c>
      <c r="AF4087" s="167" t="s">
        <v>3470</v>
      </c>
    </row>
    <row r="4088" spans="28:32" x14ac:dyDescent="0.25">
      <c r="AB4088" s="167" t="s">
        <v>2897</v>
      </c>
      <c r="AC4088" s="167">
        <v>350</v>
      </c>
      <c r="AD4088" s="203">
        <v>43132</v>
      </c>
      <c r="AE4088" s="203">
        <v>43195</v>
      </c>
      <c r="AF4088" s="167" t="s">
        <v>3470</v>
      </c>
    </row>
    <row r="4089" spans="28:32" x14ac:dyDescent="0.25">
      <c r="AB4089" s="167" t="s">
        <v>2897</v>
      </c>
      <c r="AC4089" s="167">
        <v>377</v>
      </c>
      <c r="AD4089" s="203">
        <v>43210</v>
      </c>
      <c r="AE4089" s="203">
        <v>43210</v>
      </c>
      <c r="AF4089" s="167" t="s">
        <v>3470</v>
      </c>
    </row>
    <row r="4090" spans="28:32" x14ac:dyDescent="0.25">
      <c r="AB4090" s="167" t="s">
        <v>2898</v>
      </c>
      <c r="AC4090" s="167">
        <v>350</v>
      </c>
      <c r="AD4090" s="203">
        <v>43132</v>
      </c>
      <c r="AE4090" s="203">
        <v>43195</v>
      </c>
      <c r="AF4090" s="167" t="s">
        <v>3470</v>
      </c>
    </row>
    <row r="4091" spans="28:32" x14ac:dyDescent="0.25">
      <c r="AB4091" s="167" t="s">
        <v>2898</v>
      </c>
      <c r="AC4091" s="167">
        <v>333</v>
      </c>
      <c r="AD4091" s="203">
        <v>43206</v>
      </c>
      <c r="AE4091" s="203">
        <v>43210</v>
      </c>
      <c r="AF4091" s="167" t="s">
        <v>3470</v>
      </c>
    </row>
    <row r="4092" spans="28:32" x14ac:dyDescent="0.25">
      <c r="AB4092" s="167" t="s">
        <v>2899</v>
      </c>
      <c r="AC4092" s="167">
        <v>350</v>
      </c>
      <c r="AD4092" s="203">
        <v>43132</v>
      </c>
      <c r="AE4092" s="203">
        <v>43195</v>
      </c>
      <c r="AF4092" s="167" t="s">
        <v>3470</v>
      </c>
    </row>
    <row r="4093" spans="28:32" x14ac:dyDescent="0.25">
      <c r="AB4093" s="167" t="s">
        <v>2899</v>
      </c>
      <c r="AC4093" s="167">
        <v>333</v>
      </c>
      <c r="AD4093" s="203">
        <v>43206</v>
      </c>
      <c r="AE4093" s="203">
        <v>43210</v>
      </c>
      <c r="AF4093" s="167" t="s">
        <v>3470</v>
      </c>
    </row>
    <row r="4094" spans="28:32" x14ac:dyDescent="0.25">
      <c r="AB4094" s="167" t="s">
        <v>2899</v>
      </c>
      <c r="AC4094" s="167">
        <v>333</v>
      </c>
      <c r="AD4094" s="203">
        <v>43206</v>
      </c>
      <c r="AE4094" s="203">
        <v>43210</v>
      </c>
      <c r="AF4094" s="167" t="s">
        <v>3470</v>
      </c>
    </row>
    <row r="4095" spans="28:32" x14ac:dyDescent="0.25">
      <c r="AB4095" s="167" t="s">
        <v>2899</v>
      </c>
      <c r="AC4095" s="167">
        <v>333</v>
      </c>
      <c r="AD4095" s="203">
        <v>43206</v>
      </c>
      <c r="AE4095" s="203">
        <v>43210</v>
      </c>
      <c r="AF4095" s="167" t="s">
        <v>3470</v>
      </c>
    </row>
    <row r="4096" spans="28:32" x14ac:dyDescent="0.25">
      <c r="AB4096" s="167" t="s">
        <v>2899</v>
      </c>
      <c r="AC4096" s="167">
        <v>377</v>
      </c>
      <c r="AD4096" s="203">
        <v>43210</v>
      </c>
      <c r="AE4096" s="203">
        <v>43210</v>
      </c>
      <c r="AF4096" s="167" t="s">
        <v>3470</v>
      </c>
    </row>
    <row r="4097" spans="28:32" x14ac:dyDescent="0.25">
      <c r="AB4097" s="167" t="s">
        <v>2900</v>
      </c>
      <c r="AC4097" s="167">
        <v>323</v>
      </c>
      <c r="AD4097" s="203">
        <v>43074</v>
      </c>
      <c r="AE4097" s="203">
        <v>43111</v>
      </c>
      <c r="AF4097" s="167" t="s">
        <v>3470</v>
      </c>
    </row>
    <row r="4098" spans="28:32" x14ac:dyDescent="0.25">
      <c r="AB4098" s="167" t="s">
        <v>2900</v>
      </c>
      <c r="AC4098" s="167">
        <v>327</v>
      </c>
      <c r="AD4098" s="203">
        <v>43074</v>
      </c>
      <c r="AE4098" s="203">
        <v>43131</v>
      </c>
      <c r="AF4098" s="167" t="s">
        <v>3470</v>
      </c>
    </row>
    <row r="4099" spans="28:32" x14ac:dyDescent="0.25">
      <c r="AB4099" s="167" t="s">
        <v>2900</v>
      </c>
      <c r="AC4099" s="167">
        <v>347</v>
      </c>
      <c r="AD4099" s="203">
        <v>43118</v>
      </c>
      <c r="AE4099" s="203">
        <v>43133</v>
      </c>
      <c r="AF4099" s="167" t="s">
        <v>3470</v>
      </c>
    </row>
    <row r="4100" spans="28:32" x14ac:dyDescent="0.25">
      <c r="AB4100" s="167" t="s">
        <v>2900</v>
      </c>
      <c r="AC4100" s="167">
        <v>357</v>
      </c>
      <c r="AD4100" s="203">
        <v>43139</v>
      </c>
      <c r="AE4100" s="203">
        <v>43164</v>
      </c>
      <c r="AF4100" s="167" t="s">
        <v>3470</v>
      </c>
    </row>
    <row r="4101" spans="28:32" x14ac:dyDescent="0.25">
      <c r="AB4101" s="167" t="s">
        <v>2900</v>
      </c>
      <c r="AC4101" s="167">
        <v>364</v>
      </c>
      <c r="AD4101" s="203">
        <v>43168</v>
      </c>
      <c r="AE4101" s="203">
        <v>43179</v>
      </c>
      <c r="AF4101" s="167" t="s">
        <v>3470</v>
      </c>
    </row>
    <row r="4102" spans="28:32" x14ac:dyDescent="0.25">
      <c r="AB4102" s="167" t="s">
        <v>2900</v>
      </c>
      <c r="AC4102" s="167">
        <v>353</v>
      </c>
      <c r="AD4102" s="203">
        <v>43180</v>
      </c>
      <c r="AE4102" s="203">
        <v>0</v>
      </c>
      <c r="AF4102" s="167" t="s">
        <v>3469</v>
      </c>
    </row>
    <row r="4103" spans="28:32" x14ac:dyDescent="0.25">
      <c r="AB4103" s="167" t="s">
        <v>2902</v>
      </c>
      <c r="AC4103" s="167">
        <v>323</v>
      </c>
      <c r="AD4103" s="203">
        <v>43074</v>
      </c>
      <c r="AE4103" s="203">
        <v>43111</v>
      </c>
      <c r="AF4103" s="167" t="s">
        <v>3470</v>
      </c>
    </row>
    <row r="4104" spans="28:32" x14ac:dyDescent="0.25">
      <c r="AB4104" s="167" t="s">
        <v>2902</v>
      </c>
      <c r="AC4104" s="167">
        <v>327</v>
      </c>
      <c r="AD4104" s="203">
        <v>43074</v>
      </c>
      <c r="AE4104" s="203">
        <v>43131</v>
      </c>
      <c r="AF4104" s="167" t="s">
        <v>3470</v>
      </c>
    </row>
    <row r="4105" spans="28:32" x14ac:dyDescent="0.25">
      <c r="AB4105" s="167" t="s">
        <v>2902</v>
      </c>
      <c r="AC4105" s="167">
        <v>364</v>
      </c>
      <c r="AD4105" s="203">
        <v>43168</v>
      </c>
      <c r="AE4105" s="203">
        <v>43179</v>
      </c>
      <c r="AF4105" s="167" t="s">
        <v>3470</v>
      </c>
    </row>
    <row r="4106" spans="28:32" x14ac:dyDescent="0.25">
      <c r="AB4106" s="167" t="s">
        <v>2902</v>
      </c>
      <c r="AC4106" s="167">
        <v>353</v>
      </c>
      <c r="AD4106" s="203">
        <v>43180</v>
      </c>
      <c r="AE4106" s="203">
        <v>0</v>
      </c>
      <c r="AF4106" s="167" t="s">
        <v>3469</v>
      </c>
    </row>
    <row r="4107" spans="28:32" x14ac:dyDescent="0.25">
      <c r="AB4107" s="167" t="s">
        <v>2903</v>
      </c>
      <c r="AC4107" s="167">
        <v>323</v>
      </c>
      <c r="AD4107" s="203">
        <v>43074</v>
      </c>
      <c r="AE4107" s="203">
        <v>43111</v>
      </c>
      <c r="AF4107" s="167" t="s">
        <v>3470</v>
      </c>
    </row>
    <row r="4108" spans="28:32" x14ac:dyDescent="0.25">
      <c r="AB4108" s="167" t="s">
        <v>2905</v>
      </c>
      <c r="AC4108" s="167">
        <v>364</v>
      </c>
      <c r="AD4108" s="203">
        <v>43168</v>
      </c>
      <c r="AE4108" s="203">
        <v>43179</v>
      </c>
      <c r="AF4108" s="167" t="s">
        <v>3470</v>
      </c>
    </row>
    <row r="4109" spans="28:32" x14ac:dyDescent="0.25">
      <c r="AB4109" s="167" t="s">
        <v>2905</v>
      </c>
      <c r="AC4109" s="167">
        <v>353</v>
      </c>
      <c r="AD4109" s="203">
        <v>43180</v>
      </c>
      <c r="AE4109" s="203">
        <v>0</v>
      </c>
      <c r="AF4109" s="167" t="s">
        <v>3469</v>
      </c>
    </row>
    <row r="4110" spans="28:32" x14ac:dyDescent="0.25">
      <c r="AB4110" s="167" t="s">
        <v>2905</v>
      </c>
      <c r="AC4110" s="167">
        <v>353</v>
      </c>
      <c r="AD4110" s="203">
        <v>43180</v>
      </c>
      <c r="AE4110" s="203">
        <v>0</v>
      </c>
      <c r="AF4110" s="167" t="s">
        <v>3469</v>
      </c>
    </row>
    <row r="4111" spans="28:32" x14ac:dyDescent="0.25">
      <c r="AB4111" s="167" t="s">
        <v>2906</v>
      </c>
      <c r="AC4111" s="167">
        <v>350</v>
      </c>
      <c r="AD4111" s="203">
        <v>43132</v>
      </c>
      <c r="AE4111" s="203">
        <v>43195</v>
      </c>
      <c r="AF4111" s="167" t="s">
        <v>3470</v>
      </c>
    </row>
    <row r="4112" spans="28:32" x14ac:dyDescent="0.25">
      <c r="AB4112" s="167" t="s">
        <v>2906</v>
      </c>
      <c r="AC4112" s="167">
        <v>333</v>
      </c>
      <c r="AD4112" s="203">
        <v>43206</v>
      </c>
      <c r="AE4112" s="203">
        <v>43210</v>
      </c>
      <c r="AF4112" s="167" t="s">
        <v>3470</v>
      </c>
    </row>
    <row r="4113" spans="28:32" x14ac:dyDescent="0.25">
      <c r="AB4113" s="167" t="s">
        <v>2906</v>
      </c>
      <c r="AC4113" s="167">
        <v>333</v>
      </c>
      <c r="AD4113" s="203">
        <v>43206</v>
      </c>
      <c r="AE4113" s="203">
        <v>43210</v>
      </c>
      <c r="AF4113" s="167" t="s">
        <v>3470</v>
      </c>
    </row>
    <row r="4114" spans="28:32" x14ac:dyDescent="0.25">
      <c r="AB4114" s="167" t="s">
        <v>2906</v>
      </c>
      <c r="AC4114" s="167">
        <v>333</v>
      </c>
      <c r="AD4114" s="203">
        <v>43206</v>
      </c>
      <c r="AE4114" s="203">
        <v>43210</v>
      </c>
      <c r="AF4114" s="167" t="s">
        <v>3470</v>
      </c>
    </row>
    <row r="4115" spans="28:32" x14ac:dyDescent="0.25">
      <c r="AB4115" s="167" t="s">
        <v>2906</v>
      </c>
      <c r="AC4115" s="167">
        <v>333</v>
      </c>
      <c r="AD4115" s="203">
        <v>43206</v>
      </c>
      <c r="AE4115" s="203">
        <v>43210</v>
      </c>
      <c r="AF4115" s="167" t="s">
        <v>3470</v>
      </c>
    </row>
    <row r="4116" spans="28:32" x14ac:dyDescent="0.25">
      <c r="AB4116" s="167" t="s">
        <v>2907</v>
      </c>
      <c r="AC4116" s="167">
        <v>327</v>
      </c>
      <c r="AD4116" s="203">
        <v>43074</v>
      </c>
      <c r="AE4116" s="203">
        <v>43131</v>
      </c>
      <c r="AF4116" s="167" t="s">
        <v>3470</v>
      </c>
    </row>
    <row r="4117" spans="28:32" x14ac:dyDescent="0.25">
      <c r="AB4117" s="167" t="s">
        <v>2908</v>
      </c>
      <c r="AC4117" s="167">
        <v>328</v>
      </c>
      <c r="AD4117" s="203">
        <v>43089</v>
      </c>
      <c r="AE4117" s="203">
        <v>43122</v>
      </c>
      <c r="AF4117" s="167" t="s">
        <v>3470</v>
      </c>
    </row>
    <row r="4118" spans="28:32" x14ac:dyDescent="0.25">
      <c r="AB4118" s="167" t="s">
        <v>2909</v>
      </c>
      <c r="AC4118" s="167">
        <v>347</v>
      </c>
      <c r="AD4118" s="203">
        <v>43118</v>
      </c>
      <c r="AE4118" s="203">
        <v>43133</v>
      </c>
      <c r="AF4118" s="167" t="s">
        <v>3470</v>
      </c>
    </row>
    <row r="4119" spans="28:32" x14ac:dyDescent="0.25">
      <c r="AB4119" s="167" t="s">
        <v>2909</v>
      </c>
      <c r="AC4119" s="167">
        <v>340</v>
      </c>
      <c r="AD4119" s="203">
        <v>43133</v>
      </c>
      <c r="AE4119" s="203">
        <v>43168</v>
      </c>
      <c r="AF4119" s="167" t="s">
        <v>3470</v>
      </c>
    </row>
    <row r="4120" spans="28:32" x14ac:dyDescent="0.25">
      <c r="AB4120" s="167" t="s">
        <v>3437</v>
      </c>
      <c r="AC4120" s="167">
        <v>340</v>
      </c>
      <c r="AD4120" s="203">
        <v>43133</v>
      </c>
      <c r="AE4120" s="203">
        <v>43168</v>
      </c>
      <c r="AF4120" s="167" t="s">
        <v>3470</v>
      </c>
    </row>
    <row r="4121" spans="28:32" x14ac:dyDescent="0.25">
      <c r="AB4121" s="167" t="s">
        <v>3437</v>
      </c>
      <c r="AC4121" s="167">
        <v>353</v>
      </c>
      <c r="AD4121" s="203">
        <v>43180</v>
      </c>
      <c r="AE4121" s="203">
        <v>0</v>
      </c>
      <c r="AF4121" s="167" t="s">
        <v>3469</v>
      </c>
    </row>
    <row r="4122" spans="28:32" x14ac:dyDescent="0.25">
      <c r="AB4122" s="167" t="s">
        <v>3438</v>
      </c>
      <c r="AC4122" s="167">
        <v>353</v>
      </c>
      <c r="AD4122" s="203">
        <v>43180</v>
      </c>
      <c r="AE4122" s="203">
        <v>0</v>
      </c>
      <c r="AF4122" s="167" t="s">
        <v>3469</v>
      </c>
    </row>
    <row r="4123" spans="28:32" x14ac:dyDescent="0.25">
      <c r="AB4123" s="167" t="s">
        <v>2910</v>
      </c>
      <c r="AC4123" s="167">
        <v>347</v>
      </c>
      <c r="AD4123" s="203">
        <v>43118</v>
      </c>
      <c r="AE4123" s="203">
        <v>43133</v>
      </c>
      <c r="AF4123" s="167" t="s">
        <v>3470</v>
      </c>
    </row>
    <row r="4124" spans="28:32" x14ac:dyDescent="0.25">
      <c r="AB4124" s="167" t="s">
        <v>2910</v>
      </c>
      <c r="AC4124" s="167">
        <v>340</v>
      </c>
      <c r="AD4124" s="203">
        <v>43133</v>
      </c>
      <c r="AE4124" s="203">
        <v>43168</v>
      </c>
      <c r="AF4124" s="167" t="s">
        <v>3470</v>
      </c>
    </row>
    <row r="4125" spans="28:32" x14ac:dyDescent="0.25">
      <c r="AB4125" s="167" t="s">
        <v>2912</v>
      </c>
      <c r="AC4125" s="167">
        <v>340</v>
      </c>
      <c r="AD4125" s="203">
        <v>43133</v>
      </c>
      <c r="AE4125" s="203">
        <v>43168</v>
      </c>
      <c r="AF4125" s="167" t="s">
        <v>3470</v>
      </c>
    </row>
    <row r="4126" spans="28:32" x14ac:dyDescent="0.25">
      <c r="AB4126" s="167" t="s">
        <v>2912</v>
      </c>
      <c r="AC4126" s="167">
        <v>357</v>
      </c>
      <c r="AD4126" s="203">
        <v>43139</v>
      </c>
      <c r="AE4126" s="203">
        <v>43164</v>
      </c>
      <c r="AF4126" s="167" t="s">
        <v>3470</v>
      </c>
    </row>
    <row r="4127" spans="28:32" x14ac:dyDescent="0.25">
      <c r="AB4127" s="167" t="s">
        <v>2912</v>
      </c>
      <c r="AC4127" s="167">
        <v>353</v>
      </c>
      <c r="AD4127" s="203">
        <v>43180</v>
      </c>
      <c r="AE4127" s="203">
        <v>0</v>
      </c>
      <c r="AF4127" s="167" t="s">
        <v>3469</v>
      </c>
    </row>
    <row r="4128" spans="28:32" x14ac:dyDescent="0.25">
      <c r="AB4128" s="167" t="s">
        <v>3463</v>
      </c>
      <c r="AC4128" s="167">
        <v>374</v>
      </c>
      <c r="AD4128" s="203">
        <v>43195</v>
      </c>
      <c r="AE4128" s="203">
        <v>0</v>
      </c>
      <c r="AF4128" s="167" t="s">
        <v>3469</v>
      </c>
    </row>
    <row r="4129" spans="28:32" x14ac:dyDescent="0.25">
      <c r="AB4129" s="167" t="s">
        <v>2914</v>
      </c>
      <c r="AC4129" s="167">
        <v>347</v>
      </c>
      <c r="AD4129" s="203">
        <v>43118</v>
      </c>
      <c r="AE4129" s="203">
        <v>43133</v>
      </c>
      <c r="AF4129" s="167" t="s">
        <v>3470</v>
      </c>
    </row>
    <row r="4130" spans="28:32" x14ac:dyDescent="0.25">
      <c r="AB4130" s="167" t="s">
        <v>2914</v>
      </c>
      <c r="AC4130" s="167">
        <v>340</v>
      </c>
      <c r="AD4130" s="203">
        <v>43133</v>
      </c>
      <c r="AE4130" s="203">
        <v>43168</v>
      </c>
      <c r="AF4130" s="167" t="s">
        <v>3470</v>
      </c>
    </row>
    <row r="4131" spans="28:32" x14ac:dyDescent="0.25">
      <c r="AB4131" s="167" t="s">
        <v>2914</v>
      </c>
      <c r="AC4131" s="167">
        <v>353</v>
      </c>
      <c r="AD4131" s="203">
        <v>43180</v>
      </c>
      <c r="AE4131" s="203">
        <v>0</v>
      </c>
      <c r="AF4131" s="167" t="s">
        <v>3469</v>
      </c>
    </row>
    <row r="4132" spans="28:32" x14ac:dyDescent="0.25">
      <c r="AB4132" s="167" t="s">
        <v>2914</v>
      </c>
      <c r="AC4132" s="167">
        <v>353</v>
      </c>
      <c r="AD4132" s="203">
        <v>43180</v>
      </c>
      <c r="AE4132" s="203">
        <v>0</v>
      </c>
      <c r="AF4132" s="167" t="s">
        <v>3469</v>
      </c>
    </row>
    <row r="4133" spans="28:32" x14ac:dyDescent="0.25">
      <c r="AB4133" s="167" t="s">
        <v>2916</v>
      </c>
      <c r="AC4133" s="167">
        <v>323</v>
      </c>
      <c r="AD4133" s="203">
        <v>43074</v>
      </c>
      <c r="AE4133" s="203">
        <v>43111</v>
      </c>
      <c r="AF4133" s="167" t="s">
        <v>3470</v>
      </c>
    </row>
    <row r="4134" spans="28:32" x14ac:dyDescent="0.25">
      <c r="AB4134" s="167" t="s">
        <v>2916</v>
      </c>
      <c r="AC4134" s="167">
        <v>323</v>
      </c>
      <c r="AD4134" s="203">
        <v>43074</v>
      </c>
      <c r="AE4134" s="203">
        <v>43111</v>
      </c>
      <c r="AF4134" s="167" t="s">
        <v>3470</v>
      </c>
    </row>
    <row r="4135" spans="28:32" x14ac:dyDescent="0.25">
      <c r="AB4135" s="167" t="s">
        <v>2916</v>
      </c>
      <c r="AC4135" s="167">
        <v>347</v>
      </c>
      <c r="AD4135" s="203">
        <v>43118</v>
      </c>
      <c r="AE4135" s="203">
        <v>43133</v>
      </c>
      <c r="AF4135" s="167" t="s">
        <v>3470</v>
      </c>
    </row>
    <row r="4136" spans="28:32" x14ac:dyDescent="0.25">
      <c r="AB4136" s="167" t="s">
        <v>2916</v>
      </c>
      <c r="AC4136" s="167">
        <v>340</v>
      </c>
      <c r="AD4136" s="203">
        <v>43133</v>
      </c>
      <c r="AE4136" s="203">
        <v>43168</v>
      </c>
      <c r="AF4136" s="167" t="s">
        <v>3470</v>
      </c>
    </row>
    <row r="4137" spans="28:32" x14ac:dyDescent="0.25">
      <c r="AB4137" s="167" t="s">
        <v>2916</v>
      </c>
      <c r="AC4137" s="167">
        <v>340</v>
      </c>
      <c r="AD4137" s="203">
        <v>43133</v>
      </c>
      <c r="AE4137" s="203">
        <v>43168</v>
      </c>
      <c r="AF4137" s="167" t="s">
        <v>3470</v>
      </c>
    </row>
    <row r="4138" spans="28:32" x14ac:dyDescent="0.25">
      <c r="AB4138" s="167" t="s">
        <v>2916</v>
      </c>
      <c r="AC4138" s="167">
        <v>357</v>
      </c>
      <c r="AD4138" s="203">
        <v>43139</v>
      </c>
      <c r="AE4138" s="203">
        <v>43164</v>
      </c>
      <c r="AF4138" s="167" t="s">
        <v>3470</v>
      </c>
    </row>
    <row r="4139" spans="28:32" x14ac:dyDescent="0.25">
      <c r="AB4139" s="167" t="s">
        <v>2916</v>
      </c>
      <c r="AC4139" s="167">
        <v>364</v>
      </c>
      <c r="AD4139" s="203">
        <v>43168</v>
      </c>
      <c r="AE4139" s="203">
        <v>43179</v>
      </c>
      <c r="AF4139" s="167" t="s">
        <v>3470</v>
      </c>
    </row>
    <row r="4140" spans="28:32" x14ac:dyDescent="0.25">
      <c r="AB4140" s="167" t="s">
        <v>2916</v>
      </c>
      <c r="AC4140" s="167">
        <v>353</v>
      </c>
      <c r="AD4140" s="203">
        <v>43180</v>
      </c>
      <c r="AE4140" s="203">
        <v>0</v>
      </c>
      <c r="AF4140" s="167" t="s">
        <v>3469</v>
      </c>
    </row>
    <row r="4141" spans="28:32" x14ac:dyDescent="0.25">
      <c r="AB4141" s="167" t="s">
        <v>2916</v>
      </c>
      <c r="AC4141" s="167">
        <v>353</v>
      </c>
      <c r="AD4141" s="203">
        <v>43180</v>
      </c>
      <c r="AE4141" s="203">
        <v>0</v>
      </c>
      <c r="AF4141" s="167" t="s">
        <v>3469</v>
      </c>
    </row>
    <row r="4142" spans="28:32" x14ac:dyDescent="0.25">
      <c r="AB4142" s="167" t="s">
        <v>2916</v>
      </c>
      <c r="AC4142" s="167">
        <v>353</v>
      </c>
      <c r="AD4142" s="203">
        <v>43180</v>
      </c>
      <c r="AE4142" s="203">
        <v>0</v>
      </c>
      <c r="AF4142" s="167" t="s">
        <v>3469</v>
      </c>
    </row>
    <row r="4143" spans="28:32" x14ac:dyDescent="0.25">
      <c r="AB4143" s="167" t="s">
        <v>2917</v>
      </c>
      <c r="AC4143" s="167">
        <v>340</v>
      </c>
      <c r="AD4143" s="203">
        <v>43133</v>
      </c>
      <c r="AE4143" s="203">
        <v>43168</v>
      </c>
      <c r="AF4143" s="167" t="s">
        <v>3470</v>
      </c>
    </row>
    <row r="4144" spans="28:32" x14ac:dyDescent="0.25">
      <c r="AB4144" s="167" t="s">
        <v>3439</v>
      </c>
      <c r="AC4144" s="167">
        <v>327</v>
      </c>
      <c r="AD4144" s="203">
        <v>43074</v>
      </c>
      <c r="AE4144" s="203">
        <v>43131</v>
      </c>
      <c r="AF4144" s="167" t="s">
        <v>3470</v>
      </c>
    </row>
    <row r="4145" spans="28:32" x14ac:dyDescent="0.25">
      <c r="AB4145" s="167" t="s">
        <v>3439</v>
      </c>
      <c r="AC4145" s="167">
        <v>347</v>
      </c>
      <c r="AD4145" s="203">
        <v>43118</v>
      </c>
      <c r="AE4145" s="203">
        <v>43133</v>
      </c>
      <c r="AF4145" s="167" t="s">
        <v>3470</v>
      </c>
    </row>
    <row r="4146" spans="28:32" x14ac:dyDescent="0.25">
      <c r="AB4146" s="167" t="s">
        <v>3439</v>
      </c>
      <c r="AC4146" s="167">
        <v>357</v>
      </c>
      <c r="AD4146" s="203">
        <v>43139</v>
      </c>
      <c r="AE4146" s="203">
        <v>43164</v>
      </c>
      <c r="AF4146" s="167" t="s">
        <v>3470</v>
      </c>
    </row>
    <row r="4147" spans="28:32" x14ac:dyDescent="0.25">
      <c r="AB4147" s="167" t="s">
        <v>3439</v>
      </c>
      <c r="AC4147" s="167">
        <v>364</v>
      </c>
      <c r="AD4147" s="203">
        <v>43168</v>
      </c>
      <c r="AE4147" s="203">
        <v>43179</v>
      </c>
      <c r="AF4147" s="167" t="s">
        <v>3470</v>
      </c>
    </row>
    <row r="4148" spans="28:32" x14ac:dyDescent="0.25">
      <c r="AB4148" s="167" t="s">
        <v>3439</v>
      </c>
      <c r="AC4148" s="167">
        <v>353</v>
      </c>
      <c r="AD4148" s="203">
        <v>43180</v>
      </c>
      <c r="AE4148" s="203">
        <v>0</v>
      </c>
      <c r="AF4148" s="167" t="s">
        <v>3469</v>
      </c>
    </row>
    <row r="4149" spans="28:32" x14ac:dyDescent="0.25">
      <c r="AB4149" s="167" t="s">
        <v>2919</v>
      </c>
      <c r="AC4149" s="167">
        <v>323</v>
      </c>
      <c r="AD4149" s="203">
        <v>43074</v>
      </c>
      <c r="AE4149" s="203">
        <v>43111</v>
      </c>
      <c r="AF4149" s="167" t="s">
        <v>3470</v>
      </c>
    </row>
    <row r="4150" spans="28:32" x14ac:dyDescent="0.25">
      <c r="AB4150" s="167" t="s">
        <v>2919</v>
      </c>
      <c r="AC4150" s="167">
        <v>340</v>
      </c>
      <c r="AD4150" s="203">
        <v>43133</v>
      </c>
      <c r="AE4150" s="203">
        <v>43168</v>
      </c>
      <c r="AF4150" s="167" t="s">
        <v>3470</v>
      </c>
    </row>
    <row r="4151" spans="28:32" x14ac:dyDescent="0.25">
      <c r="AB4151" s="167" t="s">
        <v>2919</v>
      </c>
      <c r="AC4151" s="167">
        <v>353</v>
      </c>
      <c r="AD4151" s="203">
        <v>43180</v>
      </c>
      <c r="AE4151" s="203">
        <v>0</v>
      </c>
      <c r="AF4151" s="167" t="s">
        <v>3469</v>
      </c>
    </row>
    <row r="4152" spans="28:32" x14ac:dyDescent="0.25">
      <c r="AB4152" s="167" t="s">
        <v>2920</v>
      </c>
      <c r="AC4152" s="167">
        <v>335</v>
      </c>
      <c r="AD4152" s="203">
        <v>43133</v>
      </c>
      <c r="AE4152" s="203">
        <v>43147</v>
      </c>
      <c r="AF4152" s="167" t="s">
        <v>3470</v>
      </c>
    </row>
    <row r="4153" spans="28:32" x14ac:dyDescent="0.25">
      <c r="AB4153" s="167" t="s">
        <v>2921</v>
      </c>
      <c r="AC4153" s="167">
        <v>327</v>
      </c>
      <c r="AD4153" s="203">
        <v>43074</v>
      </c>
      <c r="AE4153" s="203">
        <v>43131</v>
      </c>
      <c r="AF4153" s="167" t="s">
        <v>3470</v>
      </c>
    </row>
    <row r="4154" spans="28:32" x14ac:dyDescent="0.25">
      <c r="AB4154" s="167" t="s">
        <v>2921</v>
      </c>
      <c r="AC4154" s="167">
        <v>347</v>
      </c>
      <c r="AD4154" s="203">
        <v>43118</v>
      </c>
      <c r="AE4154" s="203">
        <v>43133</v>
      </c>
      <c r="AF4154" s="167" t="s">
        <v>3470</v>
      </c>
    </row>
    <row r="4155" spans="28:32" x14ac:dyDescent="0.25">
      <c r="AB4155" s="167" t="s">
        <v>2921</v>
      </c>
      <c r="AC4155" s="167">
        <v>357</v>
      </c>
      <c r="AD4155" s="203">
        <v>43139</v>
      </c>
      <c r="AE4155" s="203">
        <v>43164</v>
      </c>
      <c r="AF4155" s="167" t="s">
        <v>3470</v>
      </c>
    </row>
    <row r="4156" spans="28:32" x14ac:dyDescent="0.25">
      <c r="AB4156" s="167" t="s">
        <v>2921</v>
      </c>
      <c r="AC4156" s="167">
        <v>364</v>
      </c>
      <c r="AD4156" s="203">
        <v>43168</v>
      </c>
      <c r="AE4156" s="203">
        <v>43179</v>
      </c>
      <c r="AF4156" s="167" t="s">
        <v>3470</v>
      </c>
    </row>
    <row r="4157" spans="28:32" x14ac:dyDescent="0.25">
      <c r="AB4157" s="167" t="s">
        <v>2923</v>
      </c>
      <c r="AC4157" s="167">
        <v>364</v>
      </c>
      <c r="AD4157" s="203">
        <v>43168</v>
      </c>
      <c r="AE4157" s="203">
        <v>43179</v>
      </c>
      <c r="AF4157" s="167" t="s">
        <v>3470</v>
      </c>
    </row>
    <row r="4158" spans="28:32" x14ac:dyDescent="0.25">
      <c r="AB4158" s="167" t="s">
        <v>2923</v>
      </c>
      <c r="AC4158" s="167">
        <v>374</v>
      </c>
      <c r="AD4158" s="203">
        <v>43195</v>
      </c>
      <c r="AE4158" s="203">
        <v>0</v>
      </c>
      <c r="AF4158" s="167" t="s">
        <v>3469</v>
      </c>
    </row>
    <row r="4159" spans="28:32" x14ac:dyDescent="0.25">
      <c r="AB4159" s="167" t="s">
        <v>2924</v>
      </c>
      <c r="AC4159" s="167">
        <v>350</v>
      </c>
      <c r="AD4159" s="203">
        <v>43132</v>
      </c>
      <c r="AE4159" s="203">
        <v>43195</v>
      </c>
      <c r="AF4159" s="167" t="s">
        <v>3470</v>
      </c>
    </row>
    <row r="4160" spans="28:32" x14ac:dyDescent="0.25">
      <c r="AB4160" s="167" t="s">
        <v>2924</v>
      </c>
      <c r="AC4160" s="167">
        <v>333</v>
      </c>
      <c r="AD4160" s="203">
        <v>43206</v>
      </c>
      <c r="AE4160" s="203">
        <v>43210</v>
      </c>
      <c r="AF4160" s="167" t="s">
        <v>3470</v>
      </c>
    </row>
    <row r="4161" spans="28:32" x14ac:dyDescent="0.25">
      <c r="AB4161" s="167" t="s">
        <v>2924</v>
      </c>
      <c r="AC4161" s="167">
        <v>333</v>
      </c>
      <c r="AD4161" s="203">
        <v>43206</v>
      </c>
      <c r="AE4161" s="203">
        <v>43210</v>
      </c>
      <c r="AF4161" s="167" t="s">
        <v>3470</v>
      </c>
    </row>
    <row r="4162" spans="28:32" x14ac:dyDescent="0.25">
      <c r="AB4162" s="167" t="s">
        <v>2926</v>
      </c>
      <c r="AC4162" s="167">
        <v>340</v>
      </c>
      <c r="AD4162" s="203">
        <v>43133</v>
      </c>
      <c r="AE4162" s="203">
        <v>43168</v>
      </c>
      <c r="AF4162" s="167" t="s">
        <v>3470</v>
      </c>
    </row>
    <row r="4163" spans="28:32" x14ac:dyDescent="0.25">
      <c r="AB4163" s="167" t="s">
        <v>2926</v>
      </c>
      <c r="AC4163" s="167">
        <v>364</v>
      </c>
      <c r="AD4163" s="203">
        <v>43168</v>
      </c>
      <c r="AE4163" s="203">
        <v>43179</v>
      </c>
      <c r="AF4163" s="167" t="s">
        <v>3470</v>
      </c>
    </row>
    <row r="4164" spans="28:32" x14ac:dyDescent="0.25">
      <c r="AB4164" s="167" t="s">
        <v>2926</v>
      </c>
      <c r="AC4164" s="167">
        <v>353</v>
      </c>
      <c r="AD4164" s="203">
        <v>43180</v>
      </c>
      <c r="AE4164" s="203">
        <v>0</v>
      </c>
      <c r="AF4164" s="167" t="s">
        <v>3469</v>
      </c>
    </row>
    <row r="4165" spans="28:32" x14ac:dyDescent="0.25">
      <c r="AB4165" s="167" t="s">
        <v>2926</v>
      </c>
      <c r="AC4165" s="167">
        <v>353</v>
      </c>
      <c r="AD4165" s="203">
        <v>43180</v>
      </c>
      <c r="AE4165" s="203">
        <v>0</v>
      </c>
      <c r="AF4165" s="167" t="s">
        <v>3469</v>
      </c>
    </row>
    <row r="4166" spans="28:32" x14ac:dyDescent="0.25">
      <c r="AB4166" s="167" t="s">
        <v>2927</v>
      </c>
      <c r="AC4166" s="167">
        <v>334</v>
      </c>
      <c r="AD4166" s="203">
        <v>43074</v>
      </c>
      <c r="AE4166" s="203">
        <v>43187</v>
      </c>
      <c r="AF4166" s="167" t="s">
        <v>3470</v>
      </c>
    </row>
    <row r="4167" spans="28:32" x14ac:dyDescent="0.25">
      <c r="AB4167" s="167" t="s">
        <v>2927</v>
      </c>
      <c r="AC4167" s="167">
        <v>373</v>
      </c>
      <c r="AD4167" s="203">
        <v>43195</v>
      </c>
      <c r="AE4167" s="203">
        <v>43377</v>
      </c>
      <c r="AF4167" s="167" t="s">
        <v>3469</v>
      </c>
    </row>
    <row r="4168" spans="28:32" x14ac:dyDescent="0.25">
      <c r="AB4168" s="167" t="s">
        <v>2928</v>
      </c>
      <c r="AC4168" s="167">
        <v>334</v>
      </c>
      <c r="AD4168" s="203">
        <v>43074</v>
      </c>
      <c r="AE4168" s="203">
        <v>43187</v>
      </c>
      <c r="AF4168" s="167" t="s">
        <v>3470</v>
      </c>
    </row>
    <row r="4169" spans="28:32" x14ac:dyDescent="0.25">
      <c r="AB4169" s="167" t="s">
        <v>2928</v>
      </c>
      <c r="AC4169" s="167">
        <v>373</v>
      </c>
      <c r="AD4169" s="203">
        <v>43195</v>
      </c>
      <c r="AE4169" s="203">
        <v>43377</v>
      </c>
      <c r="AF4169" s="167" t="s">
        <v>3469</v>
      </c>
    </row>
    <row r="4170" spans="28:32" x14ac:dyDescent="0.25">
      <c r="AB4170" s="167" t="s">
        <v>2930</v>
      </c>
      <c r="AC4170" s="167">
        <v>340</v>
      </c>
      <c r="AD4170" s="203">
        <v>43133</v>
      </c>
      <c r="AE4170" s="203">
        <v>43168</v>
      </c>
      <c r="AF4170" s="167" t="s">
        <v>3470</v>
      </c>
    </row>
    <row r="4171" spans="28:32" x14ac:dyDescent="0.25">
      <c r="AB4171" s="167" t="s">
        <v>2930</v>
      </c>
      <c r="AC4171" s="167">
        <v>357</v>
      </c>
      <c r="AD4171" s="203">
        <v>43139</v>
      </c>
      <c r="AE4171" s="203">
        <v>43164</v>
      </c>
      <c r="AF4171" s="167" t="s">
        <v>3470</v>
      </c>
    </row>
    <row r="4172" spans="28:32" x14ac:dyDescent="0.25">
      <c r="AB4172" s="167" t="s">
        <v>2930</v>
      </c>
      <c r="AC4172" s="167">
        <v>364</v>
      </c>
      <c r="AD4172" s="203">
        <v>43168</v>
      </c>
      <c r="AE4172" s="203">
        <v>43179</v>
      </c>
      <c r="AF4172" s="167" t="s">
        <v>3470</v>
      </c>
    </row>
    <row r="4173" spans="28:32" x14ac:dyDescent="0.25">
      <c r="AB4173" s="167" t="s">
        <v>2930</v>
      </c>
      <c r="AC4173" s="167">
        <v>353</v>
      </c>
      <c r="AD4173" s="203">
        <v>43180</v>
      </c>
      <c r="AE4173" s="203">
        <v>0</v>
      </c>
      <c r="AF4173" s="167" t="s">
        <v>3469</v>
      </c>
    </row>
    <row r="4174" spans="28:32" x14ac:dyDescent="0.25">
      <c r="AB4174" s="167" t="s">
        <v>2930</v>
      </c>
      <c r="AC4174" s="167">
        <v>353</v>
      </c>
      <c r="AD4174" s="203">
        <v>43180</v>
      </c>
      <c r="AE4174" s="203">
        <v>0</v>
      </c>
      <c r="AF4174" s="167" t="s">
        <v>3469</v>
      </c>
    </row>
    <row r="4175" spans="28:32" x14ac:dyDescent="0.25">
      <c r="AB4175" s="167" t="s">
        <v>2930</v>
      </c>
      <c r="AC4175" s="167">
        <v>353</v>
      </c>
      <c r="AD4175" s="203">
        <v>43180</v>
      </c>
      <c r="AE4175" s="203">
        <v>0</v>
      </c>
      <c r="AF4175" s="167" t="s">
        <v>3469</v>
      </c>
    </row>
    <row r="4176" spans="28:32" x14ac:dyDescent="0.25">
      <c r="AB4176" s="167" t="s">
        <v>2932</v>
      </c>
      <c r="AC4176" s="167">
        <v>357</v>
      </c>
      <c r="AD4176" s="203">
        <v>43139</v>
      </c>
      <c r="AE4176" s="203">
        <v>43164</v>
      </c>
      <c r="AF4176" s="167" t="s">
        <v>3470</v>
      </c>
    </row>
    <row r="4177" spans="28:32" x14ac:dyDescent="0.25">
      <c r="AB4177" s="167" t="s">
        <v>2932</v>
      </c>
      <c r="AC4177" s="167">
        <v>353</v>
      </c>
      <c r="AD4177" s="203">
        <v>43180</v>
      </c>
      <c r="AE4177" s="203">
        <v>0</v>
      </c>
      <c r="AF4177" s="167" t="s">
        <v>3469</v>
      </c>
    </row>
    <row r="4178" spans="28:32" x14ac:dyDescent="0.25">
      <c r="AB4178" s="167" t="s">
        <v>2934</v>
      </c>
      <c r="AC4178" s="167">
        <v>347</v>
      </c>
      <c r="AD4178" s="203">
        <v>43118</v>
      </c>
      <c r="AE4178" s="203">
        <v>43133</v>
      </c>
      <c r="AF4178" s="167" t="s">
        <v>3470</v>
      </c>
    </row>
    <row r="4179" spans="28:32" x14ac:dyDescent="0.25">
      <c r="AB4179" s="167" t="s">
        <v>2934</v>
      </c>
      <c r="AC4179" s="167">
        <v>340</v>
      </c>
      <c r="AD4179" s="203">
        <v>43133</v>
      </c>
      <c r="AE4179" s="203">
        <v>43168</v>
      </c>
      <c r="AF4179" s="167" t="s">
        <v>3470</v>
      </c>
    </row>
    <row r="4180" spans="28:32" x14ac:dyDescent="0.25">
      <c r="AB4180" s="167" t="s">
        <v>2934</v>
      </c>
      <c r="AC4180" s="167">
        <v>357</v>
      </c>
      <c r="AD4180" s="203">
        <v>43139</v>
      </c>
      <c r="AE4180" s="203">
        <v>43164</v>
      </c>
      <c r="AF4180" s="167" t="s">
        <v>3470</v>
      </c>
    </row>
    <row r="4181" spans="28:32" x14ac:dyDescent="0.25">
      <c r="AB4181" s="167" t="s">
        <v>2934</v>
      </c>
      <c r="AC4181" s="167">
        <v>353</v>
      </c>
      <c r="AD4181" s="203">
        <v>43180</v>
      </c>
      <c r="AE4181" s="203">
        <v>0</v>
      </c>
      <c r="AF4181" s="167" t="s">
        <v>3469</v>
      </c>
    </row>
    <row r="4182" spans="28:32" x14ac:dyDescent="0.25">
      <c r="AB4182" s="167" t="s">
        <v>2936</v>
      </c>
      <c r="AC4182" s="167">
        <v>323</v>
      </c>
      <c r="AD4182" s="203">
        <v>43074</v>
      </c>
      <c r="AE4182" s="203">
        <v>43111</v>
      </c>
      <c r="AF4182" s="167" t="s">
        <v>3470</v>
      </c>
    </row>
    <row r="4183" spans="28:32" x14ac:dyDescent="0.25">
      <c r="AB4183" s="167" t="s">
        <v>2936</v>
      </c>
      <c r="AC4183" s="167">
        <v>347</v>
      </c>
      <c r="AD4183" s="203">
        <v>43118</v>
      </c>
      <c r="AE4183" s="203">
        <v>43133</v>
      </c>
      <c r="AF4183" s="167" t="s">
        <v>3470</v>
      </c>
    </row>
    <row r="4184" spans="28:32" x14ac:dyDescent="0.25">
      <c r="AB4184" s="167" t="s">
        <v>2936</v>
      </c>
      <c r="AC4184" s="167">
        <v>340</v>
      </c>
      <c r="AD4184" s="203">
        <v>43133</v>
      </c>
      <c r="AE4184" s="203">
        <v>43168</v>
      </c>
      <c r="AF4184" s="167" t="s">
        <v>3470</v>
      </c>
    </row>
    <row r="4185" spans="28:32" x14ac:dyDescent="0.25">
      <c r="AB4185" s="167" t="s">
        <v>2936</v>
      </c>
      <c r="AC4185" s="167">
        <v>340</v>
      </c>
      <c r="AD4185" s="203">
        <v>43133</v>
      </c>
      <c r="AE4185" s="203">
        <v>43168</v>
      </c>
      <c r="AF4185" s="167" t="s">
        <v>3470</v>
      </c>
    </row>
    <row r="4186" spans="28:32" x14ac:dyDescent="0.25">
      <c r="AB4186" s="167" t="s">
        <v>2936</v>
      </c>
      <c r="AC4186" s="167">
        <v>357</v>
      </c>
      <c r="AD4186" s="203">
        <v>43139</v>
      </c>
      <c r="AE4186" s="203">
        <v>43164</v>
      </c>
      <c r="AF4186" s="167" t="s">
        <v>3470</v>
      </c>
    </row>
    <row r="4187" spans="28:32" x14ac:dyDescent="0.25">
      <c r="AB4187" s="167" t="s">
        <v>2936</v>
      </c>
      <c r="AC4187" s="167">
        <v>364</v>
      </c>
      <c r="AD4187" s="203">
        <v>43168</v>
      </c>
      <c r="AE4187" s="203">
        <v>43179</v>
      </c>
      <c r="AF4187" s="167" t="s">
        <v>3470</v>
      </c>
    </row>
    <row r="4188" spans="28:32" x14ac:dyDescent="0.25">
      <c r="AB4188" s="167" t="s">
        <v>2936</v>
      </c>
      <c r="AC4188" s="167">
        <v>353</v>
      </c>
      <c r="AD4188" s="203">
        <v>43180</v>
      </c>
      <c r="AE4188" s="203">
        <v>0</v>
      </c>
      <c r="AF4188" s="167" t="s">
        <v>3469</v>
      </c>
    </row>
    <row r="4189" spans="28:32" x14ac:dyDescent="0.25">
      <c r="AB4189" s="167" t="s">
        <v>2936</v>
      </c>
      <c r="AC4189" s="167">
        <v>353</v>
      </c>
      <c r="AD4189" s="203">
        <v>43180</v>
      </c>
      <c r="AE4189" s="203">
        <v>0</v>
      </c>
      <c r="AF4189" s="167" t="s">
        <v>3469</v>
      </c>
    </row>
    <row r="4190" spans="28:32" x14ac:dyDescent="0.25">
      <c r="AB4190" s="167" t="s">
        <v>2938</v>
      </c>
      <c r="AC4190" s="167">
        <v>323</v>
      </c>
      <c r="AD4190" s="203">
        <v>43074</v>
      </c>
      <c r="AE4190" s="203">
        <v>43111</v>
      </c>
      <c r="AF4190" s="167" t="s">
        <v>3470</v>
      </c>
    </row>
    <row r="4191" spans="28:32" x14ac:dyDescent="0.25">
      <c r="AB4191" s="167" t="s">
        <v>2938</v>
      </c>
      <c r="AC4191" s="167">
        <v>353</v>
      </c>
      <c r="AD4191" s="203">
        <v>43180</v>
      </c>
      <c r="AE4191" s="203">
        <v>0</v>
      </c>
      <c r="AF4191" s="167" t="s">
        <v>3469</v>
      </c>
    </row>
    <row r="4192" spans="28:32" x14ac:dyDescent="0.25">
      <c r="AB4192" s="167" t="s">
        <v>2938</v>
      </c>
      <c r="AC4192" s="167">
        <v>353</v>
      </c>
      <c r="AD4192" s="203">
        <v>43180</v>
      </c>
      <c r="AE4192" s="203">
        <v>0</v>
      </c>
      <c r="AF4192" s="167" t="s">
        <v>3469</v>
      </c>
    </row>
    <row r="4193" spans="28:32" x14ac:dyDescent="0.25">
      <c r="AB4193" s="167" t="s">
        <v>2938</v>
      </c>
      <c r="AC4193" s="167">
        <v>353</v>
      </c>
      <c r="AD4193" s="203">
        <v>43180</v>
      </c>
      <c r="AE4193" s="203">
        <v>0</v>
      </c>
      <c r="AF4193" s="167" t="s">
        <v>3469</v>
      </c>
    </row>
    <row r="4194" spans="28:32" x14ac:dyDescent="0.25">
      <c r="AB4194" s="167" t="s">
        <v>2939</v>
      </c>
      <c r="AC4194" s="167">
        <v>347</v>
      </c>
      <c r="AD4194" s="203">
        <v>43118</v>
      </c>
      <c r="AE4194" s="203">
        <v>43133</v>
      </c>
      <c r="AF4194" s="167" t="s">
        <v>3470</v>
      </c>
    </row>
    <row r="4195" spans="28:32" x14ac:dyDescent="0.25">
      <c r="AB4195" s="167" t="s">
        <v>2939</v>
      </c>
      <c r="AC4195" s="167">
        <v>340</v>
      </c>
      <c r="AD4195" s="203">
        <v>43133</v>
      </c>
      <c r="AE4195" s="203">
        <v>43168</v>
      </c>
      <c r="AF4195" s="167" t="s">
        <v>3470</v>
      </c>
    </row>
    <row r="4196" spans="28:32" x14ac:dyDescent="0.25">
      <c r="AB4196" s="167" t="s">
        <v>2940</v>
      </c>
      <c r="AC4196" s="167">
        <v>323</v>
      </c>
      <c r="AD4196" s="203">
        <v>43074</v>
      </c>
      <c r="AE4196" s="203">
        <v>43111</v>
      </c>
      <c r="AF4196" s="167" t="s">
        <v>3470</v>
      </c>
    </row>
    <row r="4197" spans="28:32" x14ac:dyDescent="0.25">
      <c r="AB4197" s="167" t="s">
        <v>2942</v>
      </c>
      <c r="AC4197" s="167">
        <v>327</v>
      </c>
      <c r="AD4197" s="203">
        <v>43074</v>
      </c>
      <c r="AE4197" s="203">
        <v>43131</v>
      </c>
      <c r="AF4197" s="167" t="s">
        <v>3470</v>
      </c>
    </row>
    <row r="4198" spans="28:32" x14ac:dyDescent="0.25">
      <c r="AB4198" s="167" t="s">
        <v>2942</v>
      </c>
      <c r="AC4198" s="167">
        <v>353</v>
      </c>
      <c r="AD4198" s="203">
        <v>43180</v>
      </c>
      <c r="AE4198" s="203">
        <v>0</v>
      </c>
      <c r="AF4198" s="167" t="s">
        <v>3469</v>
      </c>
    </row>
    <row r="4199" spans="28:32" x14ac:dyDescent="0.25">
      <c r="AB4199" s="167" t="s">
        <v>2944</v>
      </c>
      <c r="AC4199" s="167">
        <v>327</v>
      </c>
      <c r="AD4199" s="203">
        <v>43074</v>
      </c>
      <c r="AE4199" s="203">
        <v>43131</v>
      </c>
      <c r="AF4199" s="167" t="s">
        <v>3470</v>
      </c>
    </row>
    <row r="4200" spans="28:32" x14ac:dyDescent="0.25">
      <c r="AB4200" s="167" t="s">
        <v>2944</v>
      </c>
      <c r="AC4200" s="167">
        <v>357</v>
      </c>
      <c r="AD4200" s="203">
        <v>43139</v>
      </c>
      <c r="AE4200" s="203">
        <v>43164</v>
      </c>
      <c r="AF4200" s="167" t="s">
        <v>3470</v>
      </c>
    </row>
    <row r="4201" spans="28:32" x14ac:dyDescent="0.25">
      <c r="AB4201" s="167" t="s">
        <v>2944</v>
      </c>
      <c r="AC4201" s="167">
        <v>364</v>
      </c>
      <c r="AD4201" s="203">
        <v>43168</v>
      </c>
      <c r="AE4201" s="203">
        <v>43179</v>
      </c>
      <c r="AF4201" s="167" t="s">
        <v>3470</v>
      </c>
    </row>
    <row r="4202" spans="28:32" x14ac:dyDescent="0.25">
      <c r="AB4202" s="167" t="s">
        <v>2944</v>
      </c>
      <c r="AC4202" s="167">
        <v>353</v>
      </c>
      <c r="AD4202" s="203">
        <v>43180</v>
      </c>
      <c r="AE4202" s="203">
        <v>0</v>
      </c>
      <c r="AF4202" s="167" t="s">
        <v>3469</v>
      </c>
    </row>
    <row r="4203" spans="28:32" x14ac:dyDescent="0.25">
      <c r="AB4203" s="167" t="s">
        <v>2944</v>
      </c>
      <c r="AC4203" s="167">
        <v>353</v>
      </c>
      <c r="AD4203" s="203">
        <v>43180</v>
      </c>
      <c r="AE4203" s="203">
        <v>0</v>
      </c>
      <c r="AF4203" s="167" t="s">
        <v>3469</v>
      </c>
    </row>
    <row r="4204" spans="28:32" x14ac:dyDescent="0.25">
      <c r="AB4204" s="167" t="s">
        <v>2944</v>
      </c>
      <c r="AC4204" s="167">
        <v>353</v>
      </c>
      <c r="AD4204" s="203">
        <v>43180</v>
      </c>
      <c r="AE4204" s="203">
        <v>0</v>
      </c>
      <c r="AF4204" s="167" t="s">
        <v>3469</v>
      </c>
    </row>
    <row r="4205" spans="28:32" x14ac:dyDescent="0.25">
      <c r="AB4205" s="167" t="s">
        <v>2944</v>
      </c>
      <c r="AC4205" s="167">
        <v>353</v>
      </c>
      <c r="AD4205" s="203">
        <v>43180</v>
      </c>
      <c r="AE4205" s="203">
        <v>0</v>
      </c>
      <c r="AF4205" s="167" t="s">
        <v>3469</v>
      </c>
    </row>
    <row r="4206" spans="28:32" x14ac:dyDescent="0.25">
      <c r="AB4206" s="167" t="s">
        <v>2946</v>
      </c>
      <c r="AC4206" s="167">
        <v>323</v>
      </c>
      <c r="AD4206" s="203">
        <v>43074</v>
      </c>
      <c r="AE4206" s="203">
        <v>43111</v>
      </c>
      <c r="AF4206" s="167" t="s">
        <v>3470</v>
      </c>
    </row>
    <row r="4207" spans="28:32" x14ac:dyDescent="0.25">
      <c r="AB4207" s="167" t="s">
        <v>2946</v>
      </c>
      <c r="AC4207" s="167">
        <v>364</v>
      </c>
      <c r="AD4207" s="203">
        <v>43168</v>
      </c>
      <c r="AE4207" s="203">
        <v>43179</v>
      </c>
      <c r="AF4207" s="167" t="s">
        <v>3470</v>
      </c>
    </row>
    <row r="4208" spans="28:32" x14ac:dyDescent="0.25">
      <c r="AB4208" s="167" t="s">
        <v>2946</v>
      </c>
      <c r="AC4208" s="167">
        <v>353</v>
      </c>
      <c r="AD4208" s="203">
        <v>43180</v>
      </c>
      <c r="AE4208" s="203">
        <v>0</v>
      </c>
      <c r="AF4208" s="167" t="s">
        <v>3469</v>
      </c>
    </row>
    <row r="4209" spans="28:32" x14ac:dyDescent="0.25">
      <c r="AB4209" s="167" t="s">
        <v>2946</v>
      </c>
      <c r="AC4209" s="167">
        <v>353</v>
      </c>
      <c r="AD4209" s="203">
        <v>43180</v>
      </c>
      <c r="AE4209" s="203">
        <v>0</v>
      </c>
      <c r="AF4209" s="167" t="s">
        <v>3469</v>
      </c>
    </row>
    <row r="4210" spans="28:32" x14ac:dyDescent="0.25">
      <c r="AB4210" s="167" t="s">
        <v>2948</v>
      </c>
      <c r="AC4210" s="167">
        <v>347</v>
      </c>
      <c r="AD4210" s="203">
        <v>43118</v>
      </c>
      <c r="AE4210" s="203">
        <v>43133</v>
      </c>
      <c r="AF4210" s="167" t="s">
        <v>3470</v>
      </c>
    </row>
    <row r="4211" spans="28:32" x14ac:dyDescent="0.25">
      <c r="AB4211" s="167" t="s">
        <v>2948</v>
      </c>
      <c r="AC4211" s="167">
        <v>340</v>
      </c>
      <c r="AD4211" s="203">
        <v>43133</v>
      </c>
      <c r="AE4211" s="203">
        <v>43168</v>
      </c>
      <c r="AF4211" s="167" t="s">
        <v>3470</v>
      </c>
    </row>
    <row r="4212" spans="28:32" x14ac:dyDescent="0.25">
      <c r="AB4212" s="167" t="s">
        <v>2948</v>
      </c>
      <c r="AC4212" s="167">
        <v>340</v>
      </c>
      <c r="AD4212" s="203">
        <v>43133</v>
      </c>
      <c r="AE4212" s="203">
        <v>43168</v>
      </c>
      <c r="AF4212" s="167" t="s">
        <v>3470</v>
      </c>
    </row>
    <row r="4213" spans="28:32" x14ac:dyDescent="0.25">
      <c r="AB4213" s="167" t="s">
        <v>2948</v>
      </c>
      <c r="AC4213" s="167">
        <v>364</v>
      </c>
      <c r="AD4213" s="203">
        <v>43168</v>
      </c>
      <c r="AE4213" s="203">
        <v>43179</v>
      </c>
      <c r="AF4213" s="167" t="s">
        <v>3470</v>
      </c>
    </row>
    <row r="4214" spans="28:32" x14ac:dyDescent="0.25">
      <c r="AB4214" s="167" t="s">
        <v>2948</v>
      </c>
      <c r="AC4214" s="167">
        <v>353</v>
      </c>
      <c r="AD4214" s="203">
        <v>43180</v>
      </c>
      <c r="AE4214" s="203">
        <v>0</v>
      </c>
      <c r="AF4214" s="167" t="s">
        <v>3469</v>
      </c>
    </row>
    <row r="4215" spans="28:32" x14ac:dyDescent="0.25">
      <c r="AB4215" s="167" t="s">
        <v>2948</v>
      </c>
      <c r="AC4215" s="167">
        <v>353</v>
      </c>
      <c r="AD4215" s="203">
        <v>43180</v>
      </c>
      <c r="AE4215" s="203">
        <v>0</v>
      </c>
      <c r="AF4215" s="167" t="s">
        <v>3469</v>
      </c>
    </row>
    <row r="4216" spans="28:32" x14ac:dyDescent="0.25">
      <c r="AB4216" s="167" t="s">
        <v>2948</v>
      </c>
      <c r="AC4216" s="167">
        <v>353</v>
      </c>
      <c r="AD4216" s="203">
        <v>43180</v>
      </c>
      <c r="AE4216" s="203">
        <v>0</v>
      </c>
      <c r="AF4216" s="167" t="s">
        <v>3469</v>
      </c>
    </row>
    <row r="4217" spans="28:32" x14ac:dyDescent="0.25">
      <c r="AB4217" s="167" t="s">
        <v>2950</v>
      </c>
      <c r="AC4217" s="167">
        <v>323</v>
      </c>
      <c r="AD4217" s="203">
        <v>43074</v>
      </c>
      <c r="AE4217" s="203">
        <v>43111</v>
      </c>
      <c r="AF4217" s="167" t="s">
        <v>3470</v>
      </c>
    </row>
    <row r="4218" spans="28:32" x14ac:dyDescent="0.25">
      <c r="AB4218" s="167" t="s">
        <v>2950</v>
      </c>
      <c r="AC4218" s="167">
        <v>327</v>
      </c>
      <c r="AD4218" s="203">
        <v>43074</v>
      </c>
      <c r="AE4218" s="203">
        <v>43131</v>
      </c>
      <c r="AF4218" s="167" t="s">
        <v>3470</v>
      </c>
    </row>
    <row r="4219" spans="28:32" x14ac:dyDescent="0.25">
      <c r="AB4219" s="167" t="s">
        <v>2950</v>
      </c>
      <c r="AC4219" s="167">
        <v>340</v>
      </c>
      <c r="AD4219" s="203">
        <v>43133</v>
      </c>
      <c r="AE4219" s="203">
        <v>43168</v>
      </c>
      <c r="AF4219" s="167" t="s">
        <v>3470</v>
      </c>
    </row>
    <row r="4220" spans="28:32" x14ac:dyDescent="0.25">
      <c r="AB4220" s="167" t="s">
        <v>2950</v>
      </c>
      <c r="AC4220" s="167">
        <v>340</v>
      </c>
      <c r="AD4220" s="203">
        <v>43133</v>
      </c>
      <c r="AE4220" s="203">
        <v>43168</v>
      </c>
      <c r="AF4220" s="167" t="s">
        <v>3470</v>
      </c>
    </row>
    <row r="4221" spans="28:32" x14ac:dyDescent="0.25">
      <c r="AB4221" s="167" t="s">
        <v>2950</v>
      </c>
      <c r="AC4221" s="167">
        <v>374</v>
      </c>
      <c r="AD4221" s="203">
        <v>43195</v>
      </c>
      <c r="AE4221" s="203">
        <v>0</v>
      </c>
      <c r="AF4221" s="167" t="s">
        <v>3469</v>
      </c>
    </row>
    <row r="4222" spans="28:32" x14ac:dyDescent="0.25">
      <c r="AB4222" s="167" t="s">
        <v>2952</v>
      </c>
      <c r="AC4222" s="167">
        <v>323</v>
      </c>
      <c r="AD4222" s="203">
        <v>43074</v>
      </c>
      <c r="AE4222" s="203">
        <v>43111</v>
      </c>
      <c r="AF4222" s="167" t="s">
        <v>3470</v>
      </c>
    </row>
    <row r="4223" spans="28:32" x14ac:dyDescent="0.25">
      <c r="AB4223" s="167" t="s">
        <v>2952</v>
      </c>
      <c r="AC4223" s="167">
        <v>353</v>
      </c>
      <c r="AD4223" s="203">
        <v>43180</v>
      </c>
      <c r="AE4223" s="203">
        <v>0</v>
      </c>
      <c r="AF4223" s="167" t="s">
        <v>3469</v>
      </c>
    </row>
    <row r="4224" spans="28:32" x14ac:dyDescent="0.25">
      <c r="AB4224" s="167" t="s">
        <v>2954</v>
      </c>
      <c r="AC4224" s="167">
        <v>364</v>
      </c>
      <c r="AD4224" s="203">
        <v>43168</v>
      </c>
      <c r="AE4224" s="203">
        <v>43179</v>
      </c>
      <c r="AF4224" s="167" t="s">
        <v>3470</v>
      </c>
    </row>
    <row r="4225" spans="28:32" x14ac:dyDescent="0.25">
      <c r="AB4225" s="167" t="s">
        <v>2954</v>
      </c>
      <c r="AC4225" s="167">
        <v>353</v>
      </c>
      <c r="AD4225" s="203">
        <v>43180</v>
      </c>
      <c r="AE4225" s="203">
        <v>0</v>
      </c>
      <c r="AF4225" s="167" t="s">
        <v>3469</v>
      </c>
    </row>
    <row r="4226" spans="28:32" x14ac:dyDescent="0.25">
      <c r="AB4226" s="167" t="s">
        <v>2956</v>
      </c>
      <c r="AC4226" s="167">
        <v>323</v>
      </c>
      <c r="AD4226" s="203">
        <v>43074</v>
      </c>
      <c r="AE4226" s="203">
        <v>43111</v>
      </c>
      <c r="AF4226" s="167" t="s">
        <v>3470</v>
      </c>
    </row>
    <row r="4227" spans="28:32" x14ac:dyDescent="0.25">
      <c r="AB4227" s="167" t="s">
        <v>2956</v>
      </c>
      <c r="AC4227" s="167">
        <v>364</v>
      </c>
      <c r="AD4227" s="203">
        <v>43168</v>
      </c>
      <c r="AE4227" s="203">
        <v>43179</v>
      </c>
      <c r="AF4227" s="167" t="s">
        <v>3470</v>
      </c>
    </row>
    <row r="4228" spans="28:32" x14ac:dyDescent="0.25">
      <c r="AB4228" s="167" t="s">
        <v>2956</v>
      </c>
      <c r="AC4228" s="167">
        <v>353</v>
      </c>
      <c r="AD4228" s="203">
        <v>43180</v>
      </c>
      <c r="AE4228" s="203">
        <v>0</v>
      </c>
      <c r="AF4228" s="167" t="s">
        <v>3469</v>
      </c>
    </row>
    <row r="4229" spans="28:32" x14ac:dyDescent="0.25">
      <c r="AB4229" s="167" t="s">
        <v>2956</v>
      </c>
      <c r="AC4229" s="167">
        <v>353</v>
      </c>
      <c r="AD4229" s="203">
        <v>43180</v>
      </c>
      <c r="AE4229" s="203">
        <v>0</v>
      </c>
      <c r="AF4229" s="167" t="s">
        <v>3469</v>
      </c>
    </row>
    <row r="4230" spans="28:32" x14ac:dyDescent="0.25">
      <c r="AB4230" s="167" t="s">
        <v>2958</v>
      </c>
      <c r="AC4230" s="167">
        <v>347</v>
      </c>
      <c r="AD4230" s="203">
        <v>43118</v>
      </c>
      <c r="AE4230" s="203">
        <v>43133</v>
      </c>
      <c r="AF4230" s="167" t="s">
        <v>3470</v>
      </c>
    </row>
    <row r="4231" spans="28:32" x14ac:dyDescent="0.25">
      <c r="AB4231" s="167" t="s">
        <v>2958</v>
      </c>
      <c r="AC4231" s="167">
        <v>364</v>
      </c>
      <c r="AD4231" s="203">
        <v>43168</v>
      </c>
      <c r="AE4231" s="203">
        <v>43179</v>
      </c>
      <c r="AF4231" s="167" t="s">
        <v>3470</v>
      </c>
    </row>
    <row r="4232" spans="28:32" x14ac:dyDescent="0.25">
      <c r="AB4232" s="167" t="s">
        <v>2958</v>
      </c>
      <c r="AC4232" s="167">
        <v>353</v>
      </c>
      <c r="AD4232" s="203">
        <v>43180</v>
      </c>
      <c r="AE4232" s="203">
        <v>0</v>
      </c>
      <c r="AF4232" s="167" t="s">
        <v>3469</v>
      </c>
    </row>
    <row r="4233" spans="28:32" x14ac:dyDescent="0.25">
      <c r="AB4233" s="167" t="s">
        <v>2958</v>
      </c>
      <c r="AC4233" s="167">
        <v>353</v>
      </c>
      <c r="AD4233" s="203">
        <v>43180</v>
      </c>
      <c r="AE4233" s="203">
        <v>0</v>
      </c>
      <c r="AF4233" s="167" t="s">
        <v>3469</v>
      </c>
    </row>
    <row r="4234" spans="28:32" x14ac:dyDescent="0.25">
      <c r="AB4234" s="167" t="s">
        <v>2958</v>
      </c>
      <c r="AC4234" s="167">
        <v>353</v>
      </c>
      <c r="AD4234" s="203">
        <v>43180</v>
      </c>
      <c r="AE4234" s="203">
        <v>0</v>
      </c>
      <c r="AF4234" s="167" t="s">
        <v>3469</v>
      </c>
    </row>
    <row r="4235" spans="28:32" x14ac:dyDescent="0.25">
      <c r="AB4235" s="167" t="s">
        <v>2958</v>
      </c>
      <c r="AC4235" s="167">
        <v>353</v>
      </c>
      <c r="AD4235" s="203">
        <v>43180</v>
      </c>
      <c r="AE4235" s="203">
        <v>0</v>
      </c>
      <c r="AF4235" s="167" t="s">
        <v>3469</v>
      </c>
    </row>
    <row r="4236" spans="28:32" x14ac:dyDescent="0.25">
      <c r="AB4236" s="167" t="s">
        <v>2958</v>
      </c>
      <c r="AC4236" s="167">
        <v>353</v>
      </c>
      <c r="AD4236" s="203">
        <v>43180</v>
      </c>
      <c r="AE4236" s="203">
        <v>0</v>
      </c>
      <c r="AF4236" s="167" t="s">
        <v>3469</v>
      </c>
    </row>
    <row r="4237" spans="28:32" x14ac:dyDescent="0.25">
      <c r="AB4237" s="167" t="s">
        <v>3440</v>
      </c>
      <c r="AC4237" s="167">
        <v>357</v>
      </c>
      <c r="AD4237" s="203">
        <v>43139</v>
      </c>
      <c r="AE4237" s="203">
        <v>43164</v>
      </c>
      <c r="AF4237" s="167" t="s">
        <v>3470</v>
      </c>
    </row>
    <row r="4238" spans="28:32" x14ac:dyDescent="0.25">
      <c r="AB4238" s="167" t="s">
        <v>3440</v>
      </c>
      <c r="AC4238" s="167">
        <v>353</v>
      </c>
      <c r="AD4238" s="203">
        <v>43180</v>
      </c>
      <c r="AE4238" s="203">
        <v>0</v>
      </c>
      <c r="AF4238" s="167" t="s">
        <v>3469</v>
      </c>
    </row>
    <row r="4239" spans="28:32" x14ac:dyDescent="0.25">
      <c r="AB4239" s="167" t="s">
        <v>2959</v>
      </c>
      <c r="AC4239" s="167">
        <v>347</v>
      </c>
      <c r="AD4239" s="203">
        <v>43118</v>
      </c>
      <c r="AE4239" s="203">
        <v>43133</v>
      </c>
      <c r="AF4239" s="167" t="s">
        <v>3470</v>
      </c>
    </row>
    <row r="4240" spans="28:32" x14ac:dyDescent="0.25">
      <c r="AB4240" s="167" t="s">
        <v>2959</v>
      </c>
      <c r="AC4240" s="167">
        <v>340</v>
      </c>
      <c r="AD4240" s="203">
        <v>43133</v>
      </c>
      <c r="AE4240" s="203">
        <v>43168</v>
      </c>
      <c r="AF4240" s="167" t="s">
        <v>3470</v>
      </c>
    </row>
    <row r="4241" spans="28:32" x14ac:dyDescent="0.25">
      <c r="AB4241" s="167" t="s">
        <v>2961</v>
      </c>
      <c r="AC4241" s="167">
        <v>364</v>
      </c>
      <c r="AD4241" s="203">
        <v>43168</v>
      </c>
      <c r="AE4241" s="203">
        <v>43179</v>
      </c>
      <c r="AF4241" s="167" t="s">
        <v>3470</v>
      </c>
    </row>
    <row r="4242" spans="28:32" x14ac:dyDescent="0.25">
      <c r="AB4242" s="167" t="s">
        <v>2961</v>
      </c>
      <c r="AC4242" s="167">
        <v>353</v>
      </c>
      <c r="AD4242" s="203">
        <v>43180</v>
      </c>
      <c r="AE4242" s="203">
        <v>0</v>
      </c>
      <c r="AF4242" s="167" t="s">
        <v>3469</v>
      </c>
    </row>
    <row r="4243" spans="28:32" x14ac:dyDescent="0.25">
      <c r="AB4243" s="167" t="s">
        <v>3530</v>
      </c>
      <c r="AC4243" s="167">
        <v>350</v>
      </c>
      <c r="AD4243" s="203">
        <v>43132</v>
      </c>
      <c r="AE4243" s="203">
        <v>43195</v>
      </c>
      <c r="AF4243" s="167" t="s">
        <v>3470</v>
      </c>
    </row>
    <row r="4244" spans="28:32" x14ac:dyDescent="0.25">
      <c r="AB4244" s="167" t="s">
        <v>3530</v>
      </c>
      <c r="AC4244" s="167">
        <v>333</v>
      </c>
      <c r="AD4244" s="203">
        <v>43206</v>
      </c>
      <c r="AE4244" s="203">
        <v>43210</v>
      </c>
      <c r="AF4244" s="167" t="s">
        <v>3470</v>
      </c>
    </row>
    <row r="4245" spans="28:32" x14ac:dyDescent="0.25">
      <c r="AB4245" s="167" t="s">
        <v>3530</v>
      </c>
      <c r="AC4245" s="167">
        <v>377</v>
      </c>
      <c r="AD4245" s="203">
        <v>43210</v>
      </c>
      <c r="AE4245" s="203">
        <v>43210</v>
      </c>
      <c r="AF4245" s="167" t="s">
        <v>3470</v>
      </c>
    </row>
    <row r="4246" spans="28:32" x14ac:dyDescent="0.25">
      <c r="AB4246" s="167" t="s">
        <v>2962</v>
      </c>
      <c r="AC4246" s="167">
        <v>350</v>
      </c>
      <c r="AD4246" s="203">
        <v>43132</v>
      </c>
      <c r="AE4246" s="203">
        <v>43195</v>
      </c>
      <c r="AF4246" s="167" t="s">
        <v>3470</v>
      </c>
    </row>
    <row r="4247" spans="28:32" x14ac:dyDescent="0.25">
      <c r="AB4247" s="167" t="s">
        <v>2962</v>
      </c>
      <c r="AC4247" s="167">
        <v>333</v>
      </c>
      <c r="AD4247" s="203">
        <v>43206</v>
      </c>
      <c r="AE4247" s="203">
        <v>43210</v>
      </c>
      <c r="AF4247" s="167" t="s">
        <v>3470</v>
      </c>
    </row>
    <row r="4248" spans="28:32" x14ac:dyDescent="0.25">
      <c r="AB4248" s="167" t="s">
        <v>2962</v>
      </c>
      <c r="AC4248" s="167">
        <v>333</v>
      </c>
      <c r="AD4248" s="203">
        <v>43206</v>
      </c>
      <c r="AE4248" s="203">
        <v>43210</v>
      </c>
      <c r="AF4248" s="167" t="s">
        <v>3470</v>
      </c>
    </row>
    <row r="4249" spans="28:32" x14ac:dyDescent="0.25">
      <c r="AB4249" s="167" t="s">
        <v>2962</v>
      </c>
      <c r="AC4249" s="167">
        <v>333</v>
      </c>
      <c r="AD4249" s="203">
        <v>43206</v>
      </c>
      <c r="AE4249" s="203">
        <v>43210</v>
      </c>
      <c r="AF4249" s="167" t="s">
        <v>3470</v>
      </c>
    </row>
    <row r="4250" spans="28:32" x14ac:dyDescent="0.25">
      <c r="AB4250" s="167" t="s">
        <v>2962</v>
      </c>
      <c r="AC4250" s="167">
        <v>377</v>
      </c>
      <c r="AD4250" s="203">
        <v>43210</v>
      </c>
      <c r="AE4250" s="203">
        <v>43210</v>
      </c>
      <c r="AF4250" s="167" t="s">
        <v>3470</v>
      </c>
    </row>
    <row r="4251" spans="28:32" x14ac:dyDescent="0.25">
      <c r="AB4251" s="167" t="s">
        <v>2963</v>
      </c>
      <c r="AC4251" s="167">
        <v>323</v>
      </c>
      <c r="AD4251" s="203">
        <v>43074</v>
      </c>
      <c r="AE4251" s="203">
        <v>43111</v>
      </c>
      <c r="AF4251" s="167" t="s">
        <v>3470</v>
      </c>
    </row>
    <row r="4252" spans="28:32" x14ac:dyDescent="0.25">
      <c r="AB4252" s="167" t="s">
        <v>2964</v>
      </c>
      <c r="AC4252" s="167">
        <v>350</v>
      </c>
      <c r="AD4252" s="203">
        <v>43132</v>
      </c>
      <c r="AE4252" s="203">
        <v>43195</v>
      </c>
      <c r="AF4252" s="167" t="s">
        <v>3470</v>
      </c>
    </row>
    <row r="4253" spans="28:32" x14ac:dyDescent="0.25">
      <c r="AB4253" s="167" t="s">
        <v>2964</v>
      </c>
      <c r="AC4253" s="167">
        <v>333</v>
      </c>
      <c r="AD4253" s="203">
        <v>43206</v>
      </c>
      <c r="AE4253" s="203">
        <v>43210</v>
      </c>
      <c r="AF4253" s="167" t="s">
        <v>3470</v>
      </c>
    </row>
    <row r="4254" spans="28:32" x14ac:dyDescent="0.25">
      <c r="AB4254" s="167" t="s">
        <v>3531</v>
      </c>
      <c r="AC4254" s="167">
        <v>377</v>
      </c>
      <c r="AD4254" s="203">
        <v>43210</v>
      </c>
      <c r="AE4254" s="203">
        <v>43210</v>
      </c>
      <c r="AF4254" s="167" t="s">
        <v>3470</v>
      </c>
    </row>
    <row r="4255" spans="28:32" x14ac:dyDescent="0.25">
      <c r="AB4255" s="167" t="s">
        <v>3532</v>
      </c>
      <c r="AC4255" s="167">
        <v>350</v>
      </c>
      <c r="AD4255" s="203">
        <v>43132</v>
      </c>
      <c r="AE4255" s="203">
        <v>43195</v>
      </c>
      <c r="AF4255" s="167" t="s">
        <v>3470</v>
      </c>
    </row>
    <row r="4256" spans="28:32" x14ac:dyDescent="0.25">
      <c r="AB4256" s="167" t="s">
        <v>3532</v>
      </c>
      <c r="AC4256" s="167">
        <v>333</v>
      </c>
      <c r="AD4256" s="203">
        <v>43206</v>
      </c>
      <c r="AE4256" s="203">
        <v>43210</v>
      </c>
      <c r="AF4256" s="167" t="s">
        <v>3470</v>
      </c>
    </row>
    <row r="4257" spans="28:32" x14ac:dyDescent="0.25">
      <c r="AB4257" s="167" t="s">
        <v>3532</v>
      </c>
      <c r="AC4257" s="167">
        <v>333</v>
      </c>
      <c r="AD4257" s="203">
        <v>43206</v>
      </c>
      <c r="AE4257" s="203">
        <v>43210</v>
      </c>
      <c r="AF4257" s="167" t="s">
        <v>3470</v>
      </c>
    </row>
    <row r="4258" spans="28:32" x14ac:dyDescent="0.25">
      <c r="AB4258" s="167" t="s">
        <v>3532</v>
      </c>
      <c r="AC4258" s="167">
        <v>377</v>
      </c>
      <c r="AD4258" s="203">
        <v>43210</v>
      </c>
      <c r="AE4258" s="203">
        <v>43210</v>
      </c>
      <c r="AF4258" s="167" t="s">
        <v>3470</v>
      </c>
    </row>
    <row r="4259" spans="28:32" x14ac:dyDescent="0.25">
      <c r="AB4259" s="167" t="s">
        <v>2965</v>
      </c>
      <c r="AC4259" s="167">
        <v>373</v>
      </c>
      <c r="AD4259" s="203">
        <v>43195</v>
      </c>
      <c r="AE4259" s="203">
        <v>43377</v>
      </c>
      <c r="AF4259" s="167" t="s">
        <v>3469</v>
      </c>
    </row>
    <row r="4260" spans="28:32" x14ac:dyDescent="0.25">
      <c r="AB4260" s="167" t="s">
        <v>2967</v>
      </c>
      <c r="AC4260" s="167">
        <v>323</v>
      </c>
      <c r="AD4260" s="203">
        <v>43074</v>
      </c>
      <c r="AE4260" s="203">
        <v>43111</v>
      </c>
      <c r="AF4260" s="167" t="s">
        <v>3470</v>
      </c>
    </row>
    <row r="4261" spans="28:32" x14ac:dyDescent="0.25">
      <c r="AB4261" s="167" t="s">
        <v>2967</v>
      </c>
      <c r="AC4261" s="167">
        <v>327</v>
      </c>
      <c r="AD4261" s="203">
        <v>43074</v>
      </c>
      <c r="AE4261" s="203">
        <v>43131</v>
      </c>
      <c r="AF4261" s="167" t="s">
        <v>3470</v>
      </c>
    </row>
    <row r="4262" spans="28:32" x14ac:dyDescent="0.25">
      <c r="AB4262" s="167" t="s">
        <v>2967</v>
      </c>
      <c r="AC4262" s="167">
        <v>347</v>
      </c>
      <c r="AD4262" s="203">
        <v>43118</v>
      </c>
      <c r="AE4262" s="203">
        <v>43133</v>
      </c>
      <c r="AF4262" s="167" t="s">
        <v>3470</v>
      </c>
    </row>
    <row r="4263" spans="28:32" x14ac:dyDescent="0.25">
      <c r="AB4263" s="167" t="s">
        <v>2967</v>
      </c>
      <c r="AC4263" s="167">
        <v>340</v>
      </c>
      <c r="AD4263" s="203">
        <v>43133</v>
      </c>
      <c r="AE4263" s="203">
        <v>43168</v>
      </c>
      <c r="AF4263" s="167" t="s">
        <v>3470</v>
      </c>
    </row>
    <row r="4264" spans="28:32" x14ac:dyDescent="0.25">
      <c r="AB4264" s="167" t="s">
        <v>2967</v>
      </c>
      <c r="AC4264" s="167">
        <v>357</v>
      </c>
      <c r="AD4264" s="203">
        <v>43139</v>
      </c>
      <c r="AE4264" s="203">
        <v>43164</v>
      </c>
      <c r="AF4264" s="167" t="s">
        <v>3470</v>
      </c>
    </row>
    <row r="4265" spans="28:32" x14ac:dyDescent="0.25">
      <c r="AB4265" s="167" t="s">
        <v>2967</v>
      </c>
      <c r="AC4265" s="167">
        <v>364</v>
      </c>
      <c r="AD4265" s="203">
        <v>43168</v>
      </c>
      <c r="AE4265" s="203">
        <v>43179</v>
      </c>
      <c r="AF4265" s="167" t="s">
        <v>3470</v>
      </c>
    </row>
    <row r="4266" spans="28:32" x14ac:dyDescent="0.25">
      <c r="AB4266" s="167" t="s">
        <v>2967</v>
      </c>
      <c r="AC4266" s="167">
        <v>353</v>
      </c>
      <c r="AD4266" s="203">
        <v>43180</v>
      </c>
      <c r="AE4266" s="203">
        <v>0</v>
      </c>
      <c r="AF4266" s="167" t="s">
        <v>3469</v>
      </c>
    </row>
    <row r="4267" spans="28:32" x14ac:dyDescent="0.25">
      <c r="AB4267" s="167" t="s">
        <v>2967</v>
      </c>
      <c r="AC4267" s="167">
        <v>353</v>
      </c>
      <c r="AD4267" s="203">
        <v>43180</v>
      </c>
      <c r="AE4267" s="203">
        <v>0</v>
      </c>
      <c r="AF4267" s="167" t="s">
        <v>3469</v>
      </c>
    </row>
    <row r="4268" spans="28:32" x14ac:dyDescent="0.25">
      <c r="AB4268" s="167" t="s">
        <v>2969</v>
      </c>
      <c r="AC4268" s="167">
        <v>357</v>
      </c>
      <c r="AD4268" s="203">
        <v>43139</v>
      </c>
      <c r="AE4268" s="203">
        <v>43164</v>
      </c>
      <c r="AF4268" s="167" t="s">
        <v>3470</v>
      </c>
    </row>
    <row r="4269" spans="28:32" x14ac:dyDescent="0.25">
      <c r="AB4269" s="167" t="s">
        <v>2969</v>
      </c>
      <c r="AC4269" s="167">
        <v>364</v>
      </c>
      <c r="AD4269" s="203">
        <v>43168</v>
      </c>
      <c r="AE4269" s="203">
        <v>43179</v>
      </c>
      <c r="AF4269" s="167" t="s">
        <v>3470</v>
      </c>
    </row>
    <row r="4270" spans="28:32" x14ac:dyDescent="0.25">
      <c r="AB4270" s="167" t="s">
        <v>2969</v>
      </c>
      <c r="AC4270" s="167">
        <v>353</v>
      </c>
      <c r="AD4270" s="203">
        <v>43180</v>
      </c>
      <c r="AE4270" s="203">
        <v>0</v>
      </c>
      <c r="AF4270" s="167" t="s">
        <v>3469</v>
      </c>
    </row>
    <row r="4271" spans="28:32" x14ac:dyDescent="0.25">
      <c r="AB4271" s="167" t="s">
        <v>2969</v>
      </c>
      <c r="AC4271" s="167">
        <v>374</v>
      </c>
      <c r="AD4271" s="203">
        <v>43195</v>
      </c>
      <c r="AE4271" s="203">
        <v>0</v>
      </c>
      <c r="AF4271" s="167" t="s">
        <v>3469</v>
      </c>
    </row>
    <row r="4272" spans="28:32" x14ac:dyDescent="0.25">
      <c r="AB4272" s="167" t="s">
        <v>2970</v>
      </c>
      <c r="AC4272" s="167">
        <v>347</v>
      </c>
      <c r="AD4272" s="203">
        <v>43118</v>
      </c>
      <c r="AE4272" s="203">
        <v>43133</v>
      </c>
      <c r="AF4272" s="167" t="s">
        <v>3470</v>
      </c>
    </row>
    <row r="4273" spans="28:32" x14ac:dyDescent="0.25">
      <c r="AB4273" s="167" t="s">
        <v>2970</v>
      </c>
      <c r="AC4273" s="167">
        <v>340</v>
      </c>
      <c r="AD4273" s="203">
        <v>43133</v>
      </c>
      <c r="AE4273" s="203">
        <v>43168</v>
      </c>
      <c r="AF4273" s="167" t="s">
        <v>3470</v>
      </c>
    </row>
    <row r="4274" spans="28:32" x14ac:dyDescent="0.25">
      <c r="AB4274" s="167" t="s">
        <v>2971</v>
      </c>
      <c r="AC4274" s="167">
        <v>377</v>
      </c>
      <c r="AD4274" s="203">
        <v>43210</v>
      </c>
      <c r="AE4274" s="203">
        <v>43210</v>
      </c>
      <c r="AF4274" s="167" t="s">
        <v>3470</v>
      </c>
    </row>
    <row r="4275" spans="28:32" x14ac:dyDescent="0.25">
      <c r="AB4275" s="167" t="s">
        <v>2973</v>
      </c>
      <c r="AC4275" s="167">
        <v>347</v>
      </c>
      <c r="AD4275" s="203">
        <v>43118</v>
      </c>
      <c r="AE4275" s="203">
        <v>43133</v>
      </c>
      <c r="AF4275" s="167" t="s">
        <v>3470</v>
      </c>
    </row>
    <row r="4276" spans="28:32" x14ac:dyDescent="0.25">
      <c r="AB4276" s="167" t="s">
        <v>2973</v>
      </c>
      <c r="AC4276" s="167">
        <v>340</v>
      </c>
      <c r="AD4276" s="203">
        <v>43133</v>
      </c>
      <c r="AE4276" s="203">
        <v>43168</v>
      </c>
      <c r="AF4276" s="167" t="s">
        <v>3470</v>
      </c>
    </row>
    <row r="4277" spans="28:32" x14ac:dyDescent="0.25">
      <c r="AB4277" s="167" t="s">
        <v>2973</v>
      </c>
      <c r="AC4277" s="167">
        <v>340</v>
      </c>
      <c r="AD4277" s="203">
        <v>43133</v>
      </c>
      <c r="AE4277" s="203">
        <v>43168</v>
      </c>
      <c r="AF4277" s="167" t="s">
        <v>3470</v>
      </c>
    </row>
    <row r="4278" spans="28:32" x14ac:dyDescent="0.25">
      <c r="AB4278" s="167" t="s">
        <v>2973</v>
      </c>
      <c r="AC4278" s="167">
        <v>357</v>
      </c>
      <c r="AD4278" s="203">
        <v>43139</v>
      </c>
      <c r="AE4278" s="203">
        <v>43164</v>
      </c>
      <c r="AF4278" s="167" t="s">
        <v>3470</v>
      </c>
    </row>
    <row r="4279" spans="28:32" x14ac:dyDescent="0.25">
      <c r="AB4279" s="167" t="s">
        <v>2973</v>
      </c>
      <c r="AC4279" s="167">
        <v>364</v>
      </c>
      <c r="AD4279" s="203">
        <v>43168</v>
      </c>
      <c r="AE4279" s="203">
        <v>43179</v>
      </c>
      <c r="AF4279" s="167" t="s">
        <v>3470</v>
      </c>
    </row>
    <row r="4280" spans="28:32" x14ac:dyDescent="0.25">
      <c r="AB4280" s="167" t="s">
        <v>2973</v>
      </c>
      <c r="AC4280" s="167">
        <v>353</v>
      </c>
      <c r="AD4280" s="203">
        <v>43180</v>
      </c>
      <c r="AE4280" s="203">
        <v>0</v>
      </c>
      <c r="AF4280" s="167" t="s">
        <v>3469</v>
      </c>
    </row>
    <row r="4281" spans="28:32" x14ac:dyDescent="0.25">
      <c r="AB4281" s="167" t="s">
        <v>2973</v>
      </c>
      <c r="AC4281" s="167">
        <v>353</v>
      </c>
      <c r="AD4281" s="203">
        <v>43180</v>
      </c>
      <c r="AE4281" s="203">
        <v>0</v>
      </c>
      <c r="AF4281" s="167" t="s">
        <v>3469</v>
      </c>
    </row>
    <row r="4282" spans="28:32" x14ac:dyDescent="0.25">
      <c r="AB4282" s="167" t="s">
        <v>2973</v>
      </c>
      <c r="AC4282" s="167">
        <v>353</v>
      </c>
      <c r="AD4282" s="203">
        <v>43180</v>
      </c>
      <c r="AE4282" s="203">
        <v>0</v>
      </c>
      <c r="AF4282" s="167" t="s">
        <v>3469</v>
      </c>
    </row>
    <row r="4283" spans="28:32" x14ac:dyDescent="0.25">
      <c r="AB4283" s="167" t="s">
        <v>2973</v>
      </c>
      <c r="AC4283" s="167">
        <v>353</v>
      </c>
      <c r="AD4283" s="203">
        <v>43180</v>
      </c>
      <c r="AE4283" s="203">
        <v>0</v>
      </c>
      <c r="AF4283" s="167" t="s">
        <v>3469</v>
      </c>
    </row>
    <row r="4284" spans="28:32" x14ac:dyDescent="0.25">
      <c r="AB4284" s="167" t="s">
        <v>2973</v>
      </c>
      <c r="AC4284" s="167">
        <v>353</v>
      </c>
      <c r="AD4284" s="203">
        <v>43180</v>
      </c>
      <c r="AE4284" s="203">
        <v>0</v>
      </c>
      <c r="AF4284" s="167" t="s">
        <v>3469</v>
      </c>
    </row>
    <row r="4285" spans="28:32" x14ac:dyDescent="0.25">
      <c r="AB4285" s="167" t="s">
        <v>2974</v>
      </c>
      <c r="AC4285" s="167">
        <v>365</v>
      </c>
      <c r="AD4285" s="203">
        <v>43174</v>
      </c>
      <c r="AE4285" s="203">
        <v>0</v>
      </c>
      <c r="AF4285" s="167" t="s">
        <v>3469</v>
      </c>
    </row>
    <row r="4286" spans="28:32" x14ac:dyDescent="0.25">
      <c r="AB4286" s="167" t="s">
        <v>2975</v>
      </c>
      <c r="AC4286" s="167">
        <v>365</v>
      </c>
      <c r="AD4286" s="203">
        <v>43174</v>
      </c>
      <c r="AE4286" s="203">
        <v>0</v>
      </c>
      <c r="AF4286" s="167" t="s">
        <v>3469</v>
      </c>
    </row>
    <row r="4287" spans="28:32" x14ac:dyDescent="0.25">
      <c r="AB4287" s="167" t="s">
        <v>2976</v>
      </c>
      <c r="AC4287" s="167">
        <v>342</v>
      </c>
      <c r="AD4287" s="203">
        <v>43125</v>
      </c>
      <c r="AE4287" s="203">
        <v>43160</v>
      </c>
      <c r="AF4287" s="167" t="s">
        <v>3470</v>
      </c>
    </row>
    <row r="4288" spans="28:32" x14ac:dyDescent="0.25">
      <c r="AB4288" s="167" t="s">
        <v>2977</v>
      </c>
      <c r="AC4288" s="167">
        <v>342</v>
      </c>
      <c r="AD4288" s="203">
        <v>43125</v>
      </c>
      <c r="AE4288" s="203">
        <v>43160</v>
      </c>
      <c r="AF4288" s="167" t="s">
        <v>3470</v>
      </c>
    </row>
    <row r="4289" spans="28:32" x14ac:dyDescent="0.25">
      <c r="AB4289" s="167" t="s">
        <v>2978</v>
      </c>
      <c r="AC4289" s="167">
        <v>342</v>
      </c>
      <c r="AD4289" s="203">
        <v>43125</v>
      </c>
      <c r="AE4289" s="203">
        <v>43160</v>
      </c>
      <c r="AF4289" s="167" t="s">
        <v>3470</v>
      </c>
    </row>
    <row r="4290" spans="28:32" x14ac:dyDescent="0.25">
      <c r="AB4290" s="167" t="s">
        <v>2979</v>
      </c>
      <c r="AC4290" s="167">
        <v>342</v>
      </c>
      <c r="AD4290" s="203">
        <v>43125</v>
      </c>
      <c r="AE4290" s="203">
        <v>43160</v>
      </c>
      <c r="AF4290" s="167" t="s">
        <v>3470</v>
      </c>
    </row>
    <row r="4291" spans="28:32" x14ac:dyDescent="0.25">
      <c r="AB4291" s="167" t="s">
        <v>2980</v>
      </c>
      <c r="AC4291" s="167">
        <v>342</v>
      </c>
      <c r="AD4291" s="203">
        <v>43125</v>
      </c>
      <c r="AE4291" s="203">
        <v>43160</v>
      </c>
      <c r="AF4291" s="167" t="s">
        <v>3470</v>
      </c>
    </row>
    <row r="4292" spans="28:32" x14ac:dyDescent="0.25">
      <c r="AB4292" s="167" t="s">
        <v>3533</v>
      </c>
      <c r="AC4292" s="167">
        <v>342</v>
      </c>
      <c r="AD4292" s="203">
        <v>43125</v>
      </c>
      <c r="AE4292" s="203">
        <v>43160</v>
      </c>
      <c r="AF4292" s="167" t="s">
        <v>3470</v>
      </c>
    </row>
    <row r="4293" spans="28:32" x14ac:dyDescent="0.25">
      <c r="AB4293" s="167" t="s">
        <v>2981</v>
      </c>
      <c r="AC4293" s="167">
        <v>342</v>
      </c>
      <c r="AD4293" s="203">
        <v>43125</v>
      </c>
      <c r="AE4293" s="203">
        <v>43160</v>
      </c>
      <c r="AF4293" s="167" t="s">
        <v>3470</v>
      </c>
    </row>
    <row r="4294" spans="28:32" x14ac:dyDescent="0.25">
      <c r="AB4294" s="167" t="s">
        <v>2982</v>
      </c>
      <c r="AC4294" s="167">
        <v>342</v>
      </c>
      <c r="AD4294" s="203">
        <v>43125</v>
      </c>
      <c r="AE4294" s="203">
        <v>43160</v>
      </c>
      <c r="AF4294" s="167" t="s">
        <v>3470</v>
      </c>
    </row>
    <row r="4295" spans="28:32" x14ac:dyDescent="0.25">
      <c r="AB4295" s="167" t="s">
        <v>3534</v>
      </c>
      <c r="AC4295" s="167">
        <v>342</v>
      </c>
      <c r="AD4295" s="203">
        <v>43125</v>
      </c>
      <c r="AE4295" s="203">
        <v>43160</v>
      </c>
      <c r="AF4295" s="167" t="s">
        <v>3470</v>
      </c>
    </row>
    <row r="4296" spans="28:32" x14ac:dyDescent="0.25">
      <c r="AB4296" s="167" t="s">
        <v>2983</v>
      </c>
      <c r="AC4296" s="167">
        <v>342</v>
      </c>
      <c r="AD4296" s="203">
        <v>43125</v>
      </c>
      <c r="AE4296" s="203">
        <v>43160</v>
      </c>
      <c r="AF4296" s="167" t="s">
        <v>3470</v>
      </c>
    </row>
    <row r="4297" spans="28:32" x14ac:dyDescent="0.25">
      <c r="AB4297" s="167" t="s">
        <v>2984</v>
      </c>
      <c r="AC4297" s="167">
        <v>342</v>
      </c>
      <c r="AD4297" s="203">
        <v>43125</v>
      </c>
      <c r="AE4297" s="203">
        <v>43160</v>
      </c>
      <c r="AF4297" s="167" t="s">
        <v>3470</v>
      </c>
    </row>
    <row r="4298" spans="28:32" x14ac:dyDescent="0.25">
      <c r="AB4298" s="167" t="s">
        <v>2985</v>
      </c>
      <c r="AC4298" s="167">
        <v>342</v>
      </c>
      <c r="AD4298" s="203">
        <v>43125</v>
      </c>
      <c r="AE4298" s="203">
        <v>43160</v>
      </c>
      <c r="AF4298" s="167" t="s">
        <v>3470</v>
      </c>
    </row>
    <row r="4299" spans="28:32" x14ac:dyDescent="0.25">
      <c r="AB4299" s="167" t="s">
        <v>2986</v>
      </c>
      <c r="AC4299" s="167">
        <v>342</v>
      </c>
      <c r="AD4299" s="203">
        <v>43125</v>
      </c>
      <c r="AE4299" s="203">
        <v>43160</v>
      </c>
      <c r="AF4299" s="167" t="s">
        <v>3470</v>
      </c>
    </row>
    <row r="4300" spans="28:32" x14ac:dyDescent="0.25">
      <c r="AB4300" s="167" t="s">
        <v>2987</v>
      </c>
      <c r="AC4300" s="167">
        <v>342</v>
      </c>
      <c r="AD4300" s="203">
        <v>43125</v>
      </c>
      <c r="AE4300" s="203">
        <v>43160</v>
      </c>
      <c r="AF4300" s="167" t="s">
        <v>3470</v>
      </c>
    </row>
    <row r="4301" spans="28:32" x14ac:dyDescent="0.25">
      <c r="AB4301" s="167" t="s">
        <v>2988</v>
      </c>
      <c r="AC4301" s="167">
        <v>342</v>
      </c>
      <c r="AD4301" s="203">
        <v>43125</v>
      </c>
      <c r="AE4301" s="203">
        <v>43160</v>
      </c>
      <c r="AF4301" s="167" t="s">
        <v>3470</v>
      </c>
    </row>
    <row r="4302" spans="28:32" x14ac:dyDescent="0.25">
      <c r="AB4302" s="167" t="s">
        <v>3535</v>
      </c>
      <c r="AC4302" s="167">
        <v>342</v>
      </c>
      <c r="AD4302" s="203">
        <v>43125</v>
      </c>
      <c r="AE4302" s="203">
        <v>43160</v>
      </c>
      <c r="AF4302" s="167" t="s">
        <v>3470</v>
      </c>
    </row>
    <row r="4303" spans="28:32" x14ac:dyDescent="0.25">
      <c r="AB4303" s="167" t="s">
        <v>3536</v>
      </c>
      <c r="AC4303" s="167">
        <v>342</v>
      </c>
      <c r="AD4303" s="203">
        <v>43125</v>
      </c>
      <c r="AE4303" s="203">
        <v>43160</v>
      </c>
      <c r="AF4303" s="167" t="s">
        <v>3470</v>
      </c>
    </row>
    <row r="4304" spans="28:32" x14ac:dyDescent="0.25">
      <c r="AB4304" s="167" t="s">
        <v>2989</v>
      </c>
      <c r="AC4304" s="167">
        <v>342</v>
      </c>
      <c r="AD4304" s="203">
        <v>43125</v>
      </c>
      <c r="AE4304" s="203">
        <v>43160</v>
      </c>
      <c r="AF4304" s="167" t="s">
        <v>3470</v>
      </c>
    </row>
    <row r="4305" spans="28:32" x14ac:dyDescent="0.25">
      <c r="AB4305" s="167" t="s">
        <v>2990</v>
      </c>
      <c r="AC4305" s="167">
        <v>342</v>
      </c>
      <c r="AD4305" s="203">
        <v>43125</v>
      </c>
      <c r="AE4305" s="203">
        <v>43160</v>
      </c>
      <c r="AF4305" s="167" t="s">
        <v>3470</v>
      </c>
    </row>
    <row r="4306" spans="28:32" x14ac:dyDescent="0.25">
      <c r="AB4306" s="167" t="s">
        <v>3537</v>
      </c>
      <c r="AC4306" s="167">
        <v>342</v>
      </c>
      <c r="AD4306" s="203">
        <v>43125</v>
      </c>
      <c r="AE4306" s="203">
        <v>43160</v>
      </c>
      <c r="AF4306" s="167" t="s">
        <v>3470</v>
      </c>
    </row>
    <row r="4307" spans="28:32" x14ac:dyDescent="0.25">
      <c r="AB4307" s="167" t="s">
        <v>2991</v>
      </c>
      <c r="AC4307" s="167">
        <v>342</v>
      </c>
      <c r="AD4307" s="203">
        <v>43125</v>
      </c>
      <c r="AE4307" s="203">
        <v>43160</v>
      </c>
      <c r="AF4307" s="167" t="s">
        <v>3470</v>
      </c>
    </row>
    <row r="4308" spans="28:32" x14ac:dyDescent="0.25">
      <c r="AB4308" s="167" t="s">
        <v>2992</v>
      </c>
      <c r="AC4308" s="167">
        <v>342</v>
      </c>
      <c r="AD4308" s="203">
        <v>43125</v>
      </c>
      <c r="AE4308" s="203">
        <v>43160</v>
      </c>
      <c r="AF4308" s="167" t="s">
        <v>3470</v>
      </c>
    </row>
    <row r="4309" spans="28:32" x14ac:dyDescent="0.25">
      <c r="AB4309" s="167" t="s">
        <v>2993</v>
      </c>
      <c r="AC4309" s="167">
        <v>342</v>
      </c>
      <c r="AD4309" s="203">
        <v>43125</v>
      </c>
      <c r="AE4309" s="203">
        <v>43160</v>
      </c>
      <c r="AF4309" s="167" t="s">
        <v>3470</v>
      </c>
    </row>
    <row r="4310" spans="28:32" x14ac:dyDescent="0.25">
      <c r="AB4310" s="167" t="s">
        <v>2994</v>
      </c>
      <c r="AC4310" s="167">
        <v>342</v>
      </c>
      <c r="AD4310" s="203">
        <v>43125</v>
      </c>
      <c r="AE4310" s="203">
        <v>43160</v>
      </c>
      <c r="AF4310" s="167" t="s">
        <v>3470</v>
      </c>
    </row>
    <row r="4311" spans="28:32" x14ac:dyDescent="0.25">
      <c r="AB4311" s="167" t="s">
        <v>2995</v>
      </c>
      <c r="AC4311" s="167">
        <v>342</v>
      </c>
      <c r="AD4311" s="203">
        <v>43125</v>
      </c>
      <c r="AE4311" s="203">
        <v>43160</v>
      </c>
      <c r="AF4311" s="167" t="s">
        <v>3470</v>
      </c>
    </row>
    <row r="4312" spans="28:32" x14ac:dyDescent="0.25">
      <c r="AB4312" s="167" t="s">
        <v>3538</v>
      </c>
      <c r="AC4312" s="167">
        <v>342</v>
      </c>
      <c r="AD4312" s="203">
        <v>43125</v>
      </c>
      <c r="AE4312" s="203">
        <v>43160</v>
      </c>
      <c r="AF4312" s="167" t="s">
        <v>3470</v>
      </c>
    </row>
    <row r="4313" spans="28:32" x14ac:dyDescent="0.25">
      <c r="AB4313" s="167" t="s">
        <v>2996</v>
      </c>
      <c r="AC4313" s="167">
        <v>342</v>
      </c>
      <c r="AD4313" s="203">
        <v>43125</v>
      </c>
      <c r="AE4313" s="203">
        <v>43160</v>
      </c>
      <c r="AF4313" s="167" t="s">
        <v>3470</v>
      </c>
    </row>
    <row r="4314" spans="28:32" x14ac:dyDescent="0.25">
      <c r="AB4314" s="167" t="s">
        <v>3539</v>
      </c>
      <c r="AC4314" s="167">
        <v>342</v>
      </c>
      <c r="AD4314" s="203">
        <v>43125</v>
      </c>
      <c r="AE4314" s="203">
        <v>43160</v>
      </c>
      <c r="AF4314" s="167" t="s">
        <v>3470</v>
      </c>
    </row>
    <row r="4315" spans="28:32" x14ac:dyDescent="0.25">
      <c r="AB4315" s="167" t="s">
        <v>2997</v>
      </c>
      <c r="AC4315" s="167">
        <v>342</v>
      </c>
      <c r="AD4315" s="203">
        <v>43125</v>
      </c>
      <c r="AE4315" s="203">
        <v>43160</v>
      </c>
      <c r="AF4315" s="167" t="s">
        <v>3470</v>
      </c>
    </row>
    <row r="4316" spans="28:32" x14ac:dyDescent="0.25">
      <c r="AB4316" s="167" t="s">
        <v>2998</v>
      </c>
      <c r="AC4316" s="167">
        <v>342</v>
      </c>
      <c r="AD4316" s="203">
        <v>43125</v>
      </c>
      <c r="AE4316" s="203">
        <v>43160</v>
      </c>
      <c r="AF4316" s="167" t="s">
        <v>3470</v>
      </c>
    </row>
    <row r="4317" spans="28:32" x14ac:dyDescent="0.25">
      <c r="AB4317" s="167" t="s">
        <v>2999</v>
      </c>
      <c r="AC4317" s="167">
        <v>342</v>
      </c>
      <c r="AD4317" s="203">
        <v>43125</v>
      </c>
      <c r="AE4317" s="203">
        <v>43160</v>
      </c>
      <c r="AF4317" s="167" t="s">
        <v>3470</v>
      </c>
    </row>
    <row r="4318" spans="28:32" x14ac:dyDescent="0.25">
      <c r="AB4318" s="167" t="s">
        <v>3000</v>
      </c>
      <c r="AC4318" s="167">
        <v>342</v>
      </c>
      <c r="AD4318" s="203">
        <v>43125</v>
      </c>
      <c r="AE4318" s="203">
        <v>43160</v>
      </c>
      <c r="AF4318" s="167" t="s">
        <v>3470</v>
      </c>
    </row>
    <row r="4319" spans="28:32" x14ac:dyDescent="0.25">
      <c r="AB4319" s="167" t="s">
        <v>3001</v>
      </c>
      <c r="AC4319" s="167">
        <v>342</v>
      </c>
      <c r="AD4319" s="203">
        <v>43125</v>
      </c>
      <c r="AE4319" s="203">
        <v>43160</v>
      </c>
      <c r="AF4319" s="167" t="s">
        <v>3470</v>
      </c>
    </row>
    <row r="4320" spans="28:32" x14ac:dyDescent="0.25">
      <c r="AB4320" s="167" t="s">
        <v>3001</v>
      </c>
      <c r="AC4320" s="167">
        <v>342</v>
      </c>
      <c r="AD4320" s="203">
        <v>43125</v>
      </c>
      <c r="AE4320" s="203">
        <v>43160</v>
      </c>
      <c r="AF4320" s="167" t="s">
        <v>3470</v>
      </c>
    </row>
    <row r="4321" spans="28:32" x14ac:dyDescent="0.25">
      <c r="AB4321" s="167" t="s">
        <v>3002</v>
      </c>
      <c r="AC4321" s="167">
        <v>342</v>
      </c>
      <c r="AD4321" s="203">
        <v>43125</v>
      </c>
      <c r="AE4321" s="203">
        <v>43160</v>
      </c>
      <c r="AF4321" s="167" t="s">
        <v>3470</v>
      </c>
    </row>
    <row r="4322" spans="28:32" x14ac:dyDescent="0.25">
      <c r="AB4322" s="167" t="s">
        <v>3003</v>
      </c>
      <c r="AC4322" s="167">
        <v>342</v>
      </c>
      <c r="AD4322" s="203">
        <v>43125</v>
      </c>
      <c r="AE4322" s="203">
        <v>43160</v>
      </c>
      <c r="AF4322" s="167" t="s">
        <v>3470</v>
      </c>
    </row>
    <row r="4323" spans="28:32" x14ac:dyDescent="0.25">
      <c r="AB4323" s="167" t="s">
        <v>3004</v>
      </c>
      <c r="AC4323" s="167">
        <v>347</v>
      </c>
      <c r="AD4323" s="203">
        <v>43118</v>
      </c>
      <c r="AE4323" s="203">
        <v>43133</v>
      </c>
      <c r="AF4323" s="167" t="s">
        <v>3470</v>
      </c>
    </row>
    <row r="4324" spans="28:32" x14ac:dyDescent="0.25">
      <c r="AB4324" s="167" t="s">
        <v>3004</v>
      </c>
      <c r="AC4324" s="167">
        <v>340</v>
      </c>
      <c r="AD4324" s="203">
        <v>43133</v>
      </c>
      <c r="AE4324" s="203">
        <v>43168</v>
      </c>
      <c r="AF4324" s="167" t="s">
        <v>3470</v>
      </c>
    </row>
    <row r="4325" spans="28:32" x14ac:dyDescent="0.25">
      <c r="AB4325" s="167" t="s">
        <v>3006</v>
      </c>
      <c r="AC4325" s="167">
        <v>340</v>
      </c>
      <c r="AD4325" s="203">
        <v>43133</v>
      </c>
      <c r="AE4325" s="203">
        <v>43168</v>
      </c>
      <c r="AF4325" s="167" t="s">
        <v>3470</v>
      </c>
    </row>
    <row r="4326" spans="28:32" x14ac:dyDescent="0.25">
      <c r="AB4326" s="167" t="s">
        <v>3006</v>
      </c>
      <c r="AC4326" s="167">
        <v>364</v>
      </c>
      <c r="AD4326" s="203">
        <v>43168</v>
      </c>
      <c r="AE4326" s="203">
        <v>43179</v>
      </c>
      <c r="AF4326" s="167" t="s">
        <v>3470</v>
      </c>
    </row>
    <row r="4327" spans="28:32" x14ac:dyDescent="0.25">
      <c r="AB4327" s="167" t="s">
        <v>3006</v>
      </c>
      <c r="AC4327" s="167">
        <v>353</v>
      </c>
      <c r="AD4327" s="203">
        <v>43180</v>
      </c>
      <c r="AE4327" s="203">
        <v>0</v>
      </c>
      <c r="AF4327" s="167" t="s">
        <v>3469</v>
      </c>
    </row>
    <row r="4328" spans="28:32" x14ac:dyDescent="0.25">
      <c r="AB4328" s="167" t="s">
        <v>3008</v>
      </c>
      <c r="AC4328" s="167">
        <v>364</v>
      </c>
      <c r="AD4328" s="203">
        <v>43168</v>
      </c>
      <c r="AE4328" s="203">
        <v>43179</v>
      </c>
      <c r="AF4328" s="167" t="s">
        <v>3470</v>
      </c>
    </row>
    <row r="4329" spans="28:32" x14ac:dyDescent="0.25">
      <c r="AB4329" s="167" t="s">
        <v>3008</v>
      </c>
      <c r="AC4329" s="167">
        <v>353</v>
      </c>
      <c r="AD4329" s="203">
        <v>43180</v>
      </c>
      <c r="AE4329" s="203">
        <v>0</v>
      </c>
      <c r="AF4329" s="167" t="s">
        <v>3469</v>
      </c>
    </row>
    <row r="4330" spans="28:32" x14ac:dyDescent="0.25">
      <c r="AB4330" s="167" t="s">
        <v>3010</v>
      </c>
      <c r="AC4330" s="167">
        <v>323</v>
      </c>
      <c r="AD4330" s="203">
        <v>43074</v>
      </c>
      <c r="AE4330" s="203">
        <v>43111</v>
      </c>
      <c r="AF4330" s="167" t="s">
        <v>3470</v>
      </c>
    </row>
    <row r="4331" spans="28:32" x14ac:dyDescent="0.25">
      <c r="AB4331" s="167" t="s">
        <v>3010</v>
      </c>
      <c r="AC4331" s="167">
        <v>347</v>
      </c>
      <c r="AD4331" s="203">
        <v>43118</v>
      </c>
      <c r="AE4331" s="203">
        <v>43133</v>
      </c>
      <c r="AF4331" s="167" t="s">
        <v>3470</v>
      </c>
    </row>
    <row r="4332" spans="28:32" x14ac:dyDescent="0.25">
      <c r="AB4332" s="167" t="s">
        <v>3010</v>
      </c>
      <c r="AC4332" s="167">
        <v>340</v>
      </c>
      <c r="AD4332" s="203">
        <v>43133</v>
      </c>
      <c r="AE4332" s="203">
        <v>43168</v>
      </c>
      <c r="AF4332" s="167" t="s">
        <v>3470</v>
      </c>
    </row>
    <row r="4333" spans="28:32" x14ac:dyDescent="0.25">
      <c r="AB4333" s="167" t="s">
        <v>3010</v>
      </c>
      <c r="AC4333" s="167">
        <v>340</v>
      </c>
      <c r="AD4333" s="203">
        <v>43133</v>
      </c>
      <c r="AE4333" s="203">
        <v>43168</v>
      </c>
      <c r="AF4333" s="167" t="s">
        <v>3470</v>
      </c>
    </row>
    <row r="4334" spans="28:32" x14ac:dyDescent="0.25">
      <c r="AB4334" s="167" t="s">
        <v>3010</v>
      </c>
      <c r="AC4334" s="167">
        <v>357</v>
      </c>
      <c r="AD4334" s="203">
        <v>43139</v>
      </c>
      <c r="AE4334" s="203">
        <v>43164</v>
      </c>
      <c r="AF4334" s="167" t="s">
        <v>3470</v>
      </c>
    </row>
    <row r="4335" spans="28:32" x14ac:dyDescent="0.25">
      <c r="AB4335" s="167" t="s">
        <v>3010</v>
      </c>
      <c r="AC4335" s="167">
        <v>364</v>
      </c>
      <c r="AD4335" s="203">
        <v>43168</v>
      </c>
      <c r="AE4335" s="203">
        <v>43179</v>
      </c>
      <c r="AF4335" s="167" t="s">
        <v>3470</v>
      </c>
    </row>
    <row r="4336" spans="28:32" x14ac:dyDescent="0.25">
      <c r="AB4336" s="167" t="s">
        <v>3010</v>
      </c>
      <c r="AC4336" s="167">
        <v>353</v>
      </c>
      <c r="AD4336" s="203">
        <v>43180</v>
      </c>
      <c r="AE4336" s="203">
        <v>0</v>
      </c>
      <c r="AF4336" s="167" t="s">
        <v>3469</v>
      </c>
    </row>
    <row r="4337" spans="28:32" x14ac:dyDescent="0.25">
      <c r="AB4337" s="167" t="s">
        <v>3010</v>
      </c>
      <c r="AC4337" s="167">
        <v>353</v>
      </c>
      <c r="AD4337" s="203">
        <v>43180</v>
      </c>
      <c r="AE4337" s="203">
        <v>0</v>
      </c>
      <c r="AF4337" s="167" t="s">
        <v>3469</v>
      </c>
    </row>
    <row r="4338" spans="28:32" x14ac:dyDescent="0.25">
      <c r="AB4338" s="167" t="s">
        <v>3010</v>
      </c>
      <c r="AC4338" s="167">
        <v>353</v>
      </c>
      <c r="AD4338" s="203">
        <v>43180</v>
      </c>
      <c r="AE4338" s="203">
        <v>0</v>
      </c>
      <c r="AF4338" s="167" t="s">
        <v>3469</v>
      </c>
    </row>
    <row r="4339" spans="28:32" x14ac:dyDescent="0.25">
      <c r="AB4339" s="167" t="s">
        <v>3010</v>
      </c>
      <c r="AC4339" s="167">
        <v>353</v>
      </c>
      <c r="AD4339" s="203">
        <v>43180</v>
      </c>
      <c r="AE4339" s="203">
        <v>0</v>
      </c>
      <c r="AF4339" s="167" t="s">
        <v>3469</v>
      </c>
    </row>
    <row r="4340" spans="28:32" x14ac:dyDescent="0.25">
      <c r="AB4340" s="167" t="s">
        <v>3012</v>
      </c>
      <c r="AC4340" s="167">
        <v>357</v>
      </c>
      <c r="AD4340" s="203">
        <v>43139</v>
      </c>
      <c r="AE4340" s="203">
        <v>43164</v>
      </c>
      <c r="AF4340" s="167" t="s">
        <v>3470</v>
      </c>
    </row>
    <row r="4341" spans="28:32" x14ac:dyDescent="0.25">
      <c r="AB4341" s="167" t="s">
        <v>3012</v>
      </c>
      <c r="AC4341" s="167">
        <v>353</v>
      </c>
      <c r="AD4341" s="203">
        <v>43180</v>
      </c>
      <c r="AE4341" s="203">
        <v>0</v>
      </c>
      <c r="AF4341" s="167" t="s">
        <v>3469</v>
      </c>
    </row>
    <row r="4342" spans="28:32" x14ac:dyDescent="0.25">
      <c r="AB4342" s="167" t="s">
        <v>3014</v>
      </c>
      <c r="AC4342" s="167">
        <v>357</v>
      </c>
      <c r="AD4342" s="203">
        <v>43139</v>
      </c>
      <c r="AE4342" s="203">
        <v>43164</v>
      </c>
      <c r="AF4342" s="167" t="s">
        <v>3470</v>
      </c>
    </row>
    <row r="4343" spans="28:32" x14ac:dyDescent="0.25">
      <c r="AB4343" s="167" t="s">
        <v>3014</v>
      </c>
      <c r="AC4343" s="167">
        <v>353</v>
      </c>
      <c r="AD4343" s="203">
        <v>43180</v>
      </c>
      <c r="AE4343" s="203">
        <v>0</v>
      </c>
      <c r="AF4343" s="167" t="s">
        <v>3469</v>
      </c>
    </row>
    <row r="4344" spans="28:32" x14ac:dyDescent="0.25">
      <c r="AB4344" s="167" t="s">
        <v>3016</v>
      </c>
      <c r="AC4344" s="167">
        <v>347</v>
      </c>
      <c r="AD4344" s="203">
        <v>43118</v>
      </c>
      <c r="AE4344" s="203">
        <v>43133</v>
      </c>
      <c r="AF4344" s="167" t="s">
        <v>3470</v>
      </c>
    </row>
    <row r="4345" spans="28:32" x14ac:dyDescent="0.25">
      <c r="AB4345" s="167" t="s">
        <v>3016</v>
      </c>
      <c r="AC4345" s="167">
        <v>353</v>
      </c>
      <c r="AD4345" s="203">
        <v>43180</v>
      </c>
      <c r="AE4345" s="203">
        <v>0</v>
      </c>
      <c r="AF4345" s="167" t="s">
        <v>3469</v>
      </c>
    </row>
    <row r="4346" spans="28:32" x14ac:dyDescent="0.25">
      <c r="AB4346" s="167" t="s">
        <v>3018</v>
      </c>
      <c r="AC4346" s="167">
        <v>327</v>
      </c>
      <c r="AD4346" s="203">
        <v>43074</v>
      </c>
      <c r="AE4346" s="203">
        <v>43131</v>
      </c>
      <c r="AF4346" s="167" t="s">
        <v>3470</v>
      </c>
    </row>
    <row r="4347" spans="28:32" x14ac:dyDescent="0.25">
      <c r="AB4347" s="167" t="s">
        <v>3018</v>
      </c>
      <c r="AC4347" s="167">
        <v>347</v>
      </c>
      <c r="AD4347" s="203">
        <v>43118</v>
      </c>
      <c r="AE4347" s="203">
        <v>43133</v>
      </c>
      <c r="AF4347" s="167" t="s">
        <v>3470</v>
      </c>
    </row>
    <row r="4348" spans="28:32" x14ac:dyDescent="0.25">
      <c r="AB4348" s="167" t="s">
        <v>3018</v>
      </c>
      <c r="AC4348" s="167">
        <v>364</v>
      </c>
      <c r="AD4348" s="203">
        <v>43168</v>
      </c>
      <c r="AE4348" s="203">
        <v>43179</v>
      </c>
      <c r="AF4348" s="167" t="s">
        <v>3470</v>
      </c>
    </row>
    <row r="4349" spans="28:32" x14ac:dyDescent="0.25">
      <c r="AB4349" s="167" t="s">
        <v>3018</v>
      </c>
      <c r="AC4349" s="167">
        <v>353</v>
      </c>
      <c r="AD4349" s="203">
        <v>43180</v>
      </c>
      <c r="AE4349" s="203">
        <v>0</v>
      </c>
      <c r="AF4349" s="167" t="s">
        <v>3469</v>
      </c>
    </row>
    <row r="4350" spans="28:32" x14ac:dyDescent="0.25">
      <c r="AB4350" s="167" t="s">
        <v>3018</v>
      </c>
      <c r="AC4350" s="167">
        <v>353</v>
      </c>
      <c r="AD4350" s="203">
        <v>43180</v>
      </c>
      <c r="AE4350" s="203">
        <v>0</v>
      </c>
      <c r="AF4350" s="167" t="s">
        <v>3469</v>
      </c>
    </row>
    <row r="4351" spans="28:32" x14ac:dyDescent="0.25">
      <c r="AB4351" s="167" t="s">
        <v>3018</v>
      </c>
      <c r="AC4351" s="167">
        <v>353</v>
      </c>
      <c r="AD4351" s="203">
        <v>43180</v>
      </c>
      <c r="AE4351" s="203">
        <v>0</v>
      </c>
      <c r="AF4351" s="167" t="s">
        <v>3469</v>
      </c>
    </row>
    <row r="4352" spans="28:32" x14ac:dyDescent="0.25">
      <c r="AB4352" s="167" t="s">
        <v>3441</v>
      </c>
      <c r="AC4352" s="167">
        <v>357</v>
      </c>
      <c r="AD4352" s="203">
        <v>43139</v>
      </c>
      <c r="AE4352" s="203">
        <v>43164</v>
      </c>
      <c r="AF4352" s="167" t="s">
        <v>3470</v>
      </c>
    </row>
    <row r="4353" spans="28:32" x14ac:dyDescent="0.25">
      <c r="AB4353" s="167" t="s">
        <v>3441</v>
      </c>
      <c r="AC4353" s="167">
        <v>353</v>
      </c>
      <c r="AD4353" s="203">
        <v>43180</v>
      </c>
      <c r="AE4353" s="203">
        <v>0</v>
      </c>
      <c r="AF4353" s="167" t="s">
        <v>3469</v>
      </c>
    </row>
    <row r="4354" spans="28:32" x14ac:dyDescent="0.25">
      <c r="AB4354" s="167" t="s">
        <v>3441</v>
      </c>
      <c r="AC4354" s="167">
        <v>353</v>
      </c>
      <c r="AD4354" s="203">
        <v>43180</v>
      </c>
      <c r="AE4354" s="203">
        <v>0</v>
      </c>
      <c r="AF4354" s="167" t="s">
        <v>3469</v>
      </c>
    </row>
    <row r="4355" spans="28:32" x14ac:dyDescent="0.25">
      <c r="AB4355" s="167" t="s">
        <v>3019</v>
      </c>
      <c r="AC4355" s="167">
        <v>327</v>
      </c>
      <c r="AD4355" s="203">
        <v>43074</v>
      </c>
      <c r="AE4355" s="203">
        <v>43131</v>
      </c>
      <c r="AF4355" s="167" t="s">
        <v>3470</v>
      </c>
    </row>
    <row r="4356" spans="28:32" x14ac:dyDescent="0.25">
      <c r="AB4356" s="167" t="s">
        <v>3021</v>
      </c>
      <c r="AC4356" s="167">
        <v>327</v>
      </c>
      <c r="AD4356" s="203">
        <v>43074</v>
      </c>
      <c r="AE4356" s="203">
        <v>43131</v>
      </c>
      <c r="AF4356" s="167" t="s">
        <v>3470</v>
      </c>
    </row>
    <row r="4357" spans="28:32" x14ac:dyDescent="0.25">
      <c r="AB4357" s="167" t="s">
        <v>3021</v>
      </c>
      <c r="AC4357" s="167">
        <v>327</v>
      </c>
      <c r="AD4357" s="203">
        <v>43074</v>
      </c>
      <c r="AE4357" s="203">
        <v>43131</v>
      </c>
      <c r="AF4357" s="167" t="s">
        <v>3470</v>
      </c>
    </row>
    <row r="4358" spans="28:32" x14ac:dyDescent="0.25">
      <c r="AB4358" s="167" t="s">
        <v>3021</v>
      </c>
      <c r="AC4358" s="167">
        <v>327</v>
      </c>
      <c r="AD4358" s="203">
        <v>43074</v>
      </c>
      <c r="AE4358" s="203">
        <v>43131</v>
      </c>
      <c r="AF4358" s="167" t="s">
        <v>3470</v>
      </c>
    </row>
    <row r="4359" spans="28:32" x14ac:dyDescent="0.25">
      <c r="AB4359" s="167" t="s">
        <v>3021</v>
      </c>
      <c r="AC4359" s="167">
        <v>353</v>
      </c>
      <c r="AD4359" s="203">
        <v>43180</v>
      </c>
      <c r="AE4359" s="203">
        <v>0</v>
      </c>
      <c r="AF4359" s="167" t="s">
        <v>3469</v>
      </c>
    </row>
    <row r="4360" spans="28:32" x14ac:dyDescent="0.25">
      <c r="AB4360" s="167" t="s">
        <v>3021</v>
      </c>
      <c r="AC4360" s="167">
        <v>353</v>
      </c>
      <c r="AD4360" s="203">
        <v>43180</v>
      </c>
      <c r="AE4360" s="203">
        <v>0</v>
      </c>
      <c r="AF4360" s="167" t="s">
        <v>3469</v>
      </c>
    </row>
    <row r="4361" spans="28:32" x14ac:dyDescent="0.25">
      <c r="AB4361" s="167" t="s">
        <v>3021</v>
      </c>
      <c r="AC4361" s="167">
        <v>353</v>
      </c>
      <c r="AD4361" s="203">
        <v>43180</v>
      </c>
      <c r="AE4361" s="203">
        <v>0</v>
      </c>
      <c r="AF4361" s="167" t="s">
        <v>3469</v>
      </c>
    </row>
    <row r="4362" spans="28:32" x14ac:dyDescent="0.25">
      <c r="AB4362" s="167" t="s">
        <v>3022</v>
      </c>
      <c r="AC4362" s="167">
        <v>347</v>
      </c>
      <c r="AD4362" s="203">
        <v>43118</v>
      </c>
      <c r="AE4362" s="203">
        <v>43133</v>
      </c>
      <c r="AF4362" s="167" t="s">
        <v>3470</v>
      </c>
    </row>
    <row r="4363" spans="28:32" x14ac:dyDescent="0.25">
      <c r="AB4363" s="167" t="s">
        <v>3022</v>
      </c>
      <c r="AC4363" s="167">
        <v>340</v>
      </c>
      <c r="AD4363" s="203">
        <v>43133</v>
      </c>
      <c r="AE4363" s="203">
        <v>43168</v>
      </c>
      <c r="AF4363" s="167" t="s">
        <v>3470</v>
      </c>
    </row>
    <row r="4364" spans="28:32" x14ac:dyDescent="0.25">
      <c r="AB4364" s="167" t="s">
        <v>3023</v>
      </c>
      <c r="AC4364" s="167">
        <v>377</v>
      </c>
      <c r="AD4364" s="203">
        <v>43210</v>
      </c>
      <c r="AE4364" s="203">
        <v>43210</v>
      </c>
      <c r="AF4364" s="167" t="s">
        <v>3470</v>
      </c>
    </row>
    <row r="4365" spans="28:32" x14ac:dyDescent="0.25">
      <c r="AB4365" s="167" t="s">
        <v>3024</v>
      </c>
      <c r="AC4365" s="167">
        <v>342</v>
      </c>
      <c r="AD4365" s="203">
        <v>43125</v>
      </c>
      <c r="AE4365" s="203">
        <v>43160</v>
      </c>
      <c r="AF4365" s="167" t="s">
        <v>3470</v>
      </c>
    </row>
    <row r="4366" spans="28:32" x14ac:dyDescent="0.25">
      <c r="AB4366" s="167" t="s">
        <v>3540</v>
      </c>
      <c r="AC4366" s="167">
        <v>327</v>
      </c>
      <c r="AD4366" s="203">
        <v>43074</v>
      </c>
      <c r="AE4366" s="203">
        <v>43131</v>
      </c>
      <c r="AF4366" s="167" t="s">
        <v>3470</v>
      </c>
    </row>
    <row r="4367" spans="28:32" x14ac:dyDescent="0.25">
      <c r="AB4367" s="167" t="s">
        <v>3540</v>
      </c>
      <c r="AC4367" s="167">
        <v>327</v>
      </c>
      <c r="AD4367" s="203">
        <v>43074</v>
      </c>
      <c r="AE4367" s="203">
        <v>43131</v>
      </c>
      <c r="AF4367" s="167" t="s">
        <v>3470</v>
      </c>
    </row>
    <row r="4368" spans="28:32" x14ac:dyDescent="0.25">
      <c r="AB4368" s="167" t="s">
        <v>3540</v>
      </c>
      <c r="AC4368" s="167">
        <v>347</v>
      </c>
      <c r="AD4368" s="203">
        <v>43118</v>
      </c>
      <c r="AE4368" s="203">
        <v>43133</v>
      </c>
      <c r="AF4368" s="167" t="s">
        <v>3470</v>
      </c>
    </row>
    <row r="4369" spans="28:32" x14ac:dyDescent="0.25">
      <c r="AB4369" s="167" t="s">
        <v>3026</v>
      </c>
      <c r="AC4369" s="167">
        <v>347</v>
      </c>
      <c r="AD4369" s="203">
        <v>43118</v>
      </c>
      <c r="AE4369" s="203">
        <v>43133</v>
      </c>
      <c r="AF4369" s="167" t="s">
        <v>3470</v>
      </c>
    </row>
    <row r="4370" spans="28:32" x14ac:dyDescent="0.25">
      <c r="AB4370" s="167" t="s">
        <v>3026</v>
      </c>
      <c r="AC4370" s="167">
        <v>340</v>
      </c>
      <c r="AD4370" s="203">
        <v>43133</v>
      </c>
      <c r="AE4370" s="203">
        <v>43168</v>
      </c>
      <c r="AF4370" s="167" t="s">
        <v>3470</v>
      </c>
    </row>
    <row r="4371" spans="28:32" x14ac:dyDescent="0.25">
      <c r="AB4371" s="167" t="s">
        <v>3026</v>
      </c>
      <c r="AC4371" s="167">
        <v>364</v>
      </c>
      <c r="AD4371" s="203">
        <v>43168</v>
      </c>
      <c r="AE4371" s="203">
        <v>43179</v>
      </c>
      <c r="AF4371" s="167" t="s">
        <v>3470</v>
      </c>
    </row>
    <row r="4372" spans="28:32" x14ac:dyDescent="0.25">
      <c r="AB4372" s="167" t="s">
        <v>3026</v>
      </c>
      <c r="AC4372" s="167">
        <v>353</v>
      </c>
      <c r="AD4372" s="203">
        <v>43180</v>
      </c>
      <c r="AE4372" s="203">
        <v>0</v>
      </c>
      <c r="AF4372" s="167" t="s">
        <v>3469</v>
      </c>
    </row>
    <row r="4373" spans="28:32" x14ac:dyDescent="0.25">
      <c r="AB4373" s="167" t="s">
        <v>3026</v>
      </c>
      <c r="AC4373" s="167">
        <v>353</v>
      </c>
      <c r="AD4373" s="203">
        <v>43180</v>
      </c>
      <c r="AE4373" s="203">
        <v>0</v>
      </c>
      <c r="AF4373" s="167" t="s">
        <v>3469</v>
      </c>
    </row>
    <row r="4374" spans="28:32" x14ac:dyDescent="0.25">
      <c r="AB4374" s="167" t="s">
        <v>3028</v>
      </c>
      <c r="AC4374" s="167">
        <v>347</v>
      </c>
      <c r="AD4374" s="203">
        <v>43118</v>
      </c>
      <c r="AE4374" s="203">
        <v>43133</v>
      </c>
      <c r="AF4374" s="167" t="s">
        <v>3470</v>
      </c>
    </row>
    <row r="4375" spans="28:32" x14ac:dyDescent="0.25">
      <c r="AB4375" s="167" t="s">
        <v>3028</v>
      </c>
      <c r="AC4375" s="167">
        <v>340</v>
      </c>
      <c r="AD4375" s="203">
        <v>43133</v>
      </c>
      <c r="AE4375" s="203">
        <v>43168</v>
      </c>
      <c r="AF4375" s="167" t="s">
        <v>3470</v>
      </c>
    </row>
    <row r="4376" spans="28:32" x14ac:dyDescent="0.25">
      <c r="AB4376" s="167" t="s">
        <v>3028</v>
      </c>
      <c r="AC4376" s="167">
        <v>340</v>
      </c>
      <c r="AD4376" s="203">
        <v>43133</v>
      </c>
      <c r="AE4376" s="203">
        <v>43168</v>
      </c>
      <c r="AF4376" s="167" t="s">
        <v>3470</v>
      </c>
    </row>
    <row r="4377" spans="28:32" x14ac:dyDescent="0.25">
      <c r="AB4377" s="167" t="s">
        <v>3028</v>
      </c>
      <c r="AC4377" s="167">
        <v>353</v>
      </c>
      <c r="AD4377" s="203">
        <v>43180</v>
      </c>
      <c r="AE4377" s="203">
        <v>0</v>
      </c>
      <c r="AF4377" s="167" t="s">
        <v>3469</v>
      </c>
    </row>
    <row r="4378" spans="28:32" x14ac:dyDescent="0.25">
      <c r="AB4378" s="167" t="s">
        <v>3029</v>
      </c>
      <c r="AC4378" s="167">
        <v>347</v>
      </c>
      <c r="AD4378" s="203">
        <v>43118</v>
      </c>
      <c r="AE4378" s="203">
        <v>43133</v>
      </c>
      <c r="AF4378" s="167" t="s">
        <v>3470</v>
      </c>
    </row>
    <row r="4379" spans="28:32" x14ac:dyDescent="0.25">
      <c r="AB4379" s="167" t="s">
        <v>3029</v>
      </c>
      <c r="AC4379" s="167">
        <v>340</v>
      </c>
      <c r="AD4379" s="203">
        <v>43133</v>
      </c>
      <c r="AE4379" s="203">
        <v>43168</v>
      </c>
      <c r="AF4379" s="167" t="s">
        <v>3470</v>
      </c>
    </row>
    <row r="4380" spans="28:32" x14ac:dyDescent="0.25">
      <c r="AB4380" s="167" t="s">
        <v>3029</v>
      </c>
      <c r="AC4380" s="167">
        <v>340</v>
      </c>
      <c r="AD4380" s="203">
        <v>43133</v>
      </c>
      <c r="AE4380" s="203">
        <v>43168</v>
      </c>
      <c r="AF4380" s="167" t="s">
        <v>3470</v>
      </c>
    </row>
    <row r="4381" spans="28:32" x14ac:dyDescent="0.25">
      <c r="AB4381" s="167" t="s">
        <v>3031</v>
      </c>
      <c r="AC4381" s="167">
        <v>347</v>
      </c>
      <c r="AD4381" s="203">
        <v>43118</v>
      </c>
      <c r="AE4381" s="203">
        <v>43133</v>
      </c>
      <c r="AF4381" s="167" t="s">
        <v>3470</v>
      </c>
    </row>
    <row r="4382" spans="28:32" x14ac:dyDescent="0.25">
      <c r="AB4382" s="167" t="s">
        <v>3031</v>
      </c>
      <c r="AC4382" s="167">
        <v>340</v>
      </c>
      <c r="AD4382" s="203">
        <v>43133</v>
      </c>
      <c r="AE4382" s="203">
        <v>43168</v>
      </c>
      <c r="AF4382" s="167" t="s">
        <v>3470</v>
      </c>
    </row>
    <row r="4383" spans="28:32" x14ac:dyDescent="0.25">
      <c r="AB4383" s="167" t="s">
        <v>3031</v>
      </c>
      <c r="AC4383" s="167">
        <v>353</v>
      </c>
      <c r="AD4383" s="203">
        <v>43180</v>
      </c>
      <c r="AE4383" s="203">
        <v>0</v>
      </c>
      <c r="AF4383" s="167" t="s">
        <v>3469</v>
      </c>
    </row>
    <row r="4384" spans="28:32" x14ac:dyDescent="0.25">
      <c r="AB4384" s="167" t="s">
        <v>3031</v>
      </c>
      <c r="AC4384" s="167">
        <v>353</v>
      </c>
      <c r="AD4384" s="203">
        <v>43180</v>
      </c>
      <c r="AE4384" s="203">
        <v>0</v>
      </c>
      <c r="AF4384" s="167" t="s">
        <v>3469</v>
      </c>
    </row>
    <row r="4385" spans="28:32" x14ac:dyDescent="0.25">
      <c r="AB4385" s="167" t="s">
        <v>3391</v>
      </c>
      <c r="AC4385" s="167">
        <v>351</v>
      </c>
      <c r="AD4385" s="203">
        <v>43133</v>
      </c>
      <c r="AE4385" s="203">
        <v>43224</v>
      </c>
      <c r="AF4385" s="167" t="s">
        <v>3469</v>
      </c>
    </row>
    <row r="4386" spans="28:32" x14ac:dyDescent="0.25">
      <c r="AB4386" s="167" t="s">
        <v>3033</v>
      </c>
      <c r="AC4386" s="167">
        <v>323</v>
      </c>
      <c r="AD4386" s="203">
        <v>43074</v>
      </c>
      <c r="AE4386" s="203">
        <v>43111</v>
      </c>
      <c r="AF4386" s="167" t="s">
        <v>3470</v>
      </c>
    </row>
    <row r="4387" spans="28:32" x14ac:dyDescent="0.25">
      <c r="AB4387" s="167" t="s">
        <v>3033</v>
      </c>
      <c r="AC4387" s="167">
        <v>374</v>
      </c>
      <c r="AD4387" s="203">
        <v>43195</v>
      </c>
      <c r="AE4387" s="203">
        <v>0</v>
      </c>
      <c r="AF4387" s="167" t="s">
        <v>3469</v>
      </c>
    </row>
    <row r="4388" spans="28:32" x14ac:dyDescent="0.25">
      <c r="AB4388" s="167" t="s">
        <v>3035</v>
      </c>
      <c r="AC4388" s="167">
        <v>347</v>
      </c>
      <c r="AD4388" s="203">
        <v>43118</v>
      </c>
      <c r="AE4388" s="203">
        <v>43133</v>
      </c>
      <c r="AF4388" s="167" t="s">
        <v>3470</v>
      </c>
    </row>
    <row r="4389" spans="28:32" x14ac:dyDescent="0.25">
      <c r="AB4389" s="167" t="s">
        <v>3035</v>
      </c>
      <c r="AC4389" s="167">
        <v>340</v>
      </c>
      <c r="AD4389" s="203">
        <v>43133</v>
      </c>
      <c r="AE4389" s="203">
        <v>43168</v>
      </c>
      <c r="AF4389" s="167" t="s">
        <v>3470</v>
      </c>
    </row>
    <row r="4390" spans="28:32" x14ac:dyDescent="0.25">
      <c r="AB4390" s="167" t="s">
        <v>3035</v>
      </c>
      <c r="AC4390" s="167">
        <v>340</v>
      </c>
      <c r="AD4390" s="203">
        <v>43133</v>
      </c>
      <c r="AE4390" s="203">
        <v>43168</v>
      </c>
      <c r="AF4390" s="167" t="s">
        <v>3470</v>
      </c>
    </row>
    <row r="4391" spans="28:32" x14ac:dyDescent="0.25">
      <c r="AB4391" s="167" t="s">
        <v>3035</v>
      </c>
      <c r="AC4391" s="167">
        <v>357</v>
      </c>
      <c r="AD4391" s="203">
        <v>43139</v>
      </c>
      <c r="AE4391" s="203">
        <v>43164</v>
      </c>
      <c r="AF4391" s="167" t="s">
        <v>3470</v>
      </c>
    </row>
    <row r="4392" spans="28:32" x14ac:dyDescent="0.25">
      <c r="AB4392" s="167" t="s">
        <v>3035</v>
      </c>
      <c r="AC4392" s="167">
        <v>353</v>
      </c>
      <c r="AD4392" s="203">
        <v>43180</v>
      </c>
      <c r="AE4392" s="203">
        <v>0</v>
      </c>
      <c r="AF4392" s="167" t="s">
        <v>3469</v>
      </c>
    </row>
    <row r="4393" spans="28:32" x14ac:dyDescent="0.25">
      <c r="AB4393" s="167" t="s">
        <v>3035</v>
      </c>
      <c r="AC4393" s="167">
        <v>353</v>
      </c>
      <c r="AD4393" s="203">
        <v>43180</v>
      </c>
      <c r="AE4393" s="203">
        <v>0</v>
      </c>
      <c r="AF4393" s="167" t="s">
        <v>3469</v>
      </c>
    </row>
    <row r="4394" spans="28:32" x14ac:dyDescent="0.25">
      <c r="AB4394" s="167" t="s">
        <v>3541</v>
      </c>
      <c r="AC4394" s="167">
        <v>340</v>
      </c>
      <c r="AD4394" s="203">
        <v>43133</v>
      </c>
      <c r="AE4394" s="203">
        <v>43168</v>
      </c>
      <c r="AF4394" s="167" t="s">
        <v>3470</v>
      </c>
    </row>
    <row r="4395" spans="28:32" x14ac:dyDescent="0.25">
      <c r="AB4395" s="167" t="s">
        <v>3036</v>
      </c>
      <c r="AC4395" s="167">
        <v>327</v>
      </c>
      <c r="AD4395" s="203">
        <v>43074</v>
      </c>
      <c r="AE4395" s="203">
        <v>43131</v>
      </c>
      <c r="AF4395" s="167" t="s">
        <v>3470</v>
      </c>
    </row>
    <row r="4396" spans="28:32" x14ac:dyDescent="0.25">
      <c r="AB4396" s="167" t="s">
        <v>3037</v>
      </c>
      <c r="AC4396" s="167">
        <v>342</v>
      </c>
      <c r="AD4396" s="203">
        <v>43125</v>
      </c>
      <c r="AE4396" s="203">
        <v>43160</v>
      </c>
      <c r="AF4396" s="167" t="s">
        <v>3470</v>
      </c>
    </row>
    <row r="4397" spans="28:32" x14ac:dyDescent="0.25">
      <c r="AB4397" s="167" t="s">
        <v>3038</v>
      </c>
      <c r="AC4397" s="167">
        <v>358</v>
      </c>
      <c r="AD4397" s="203">
        <v>43140</v>
      </c>
      <c r="AE4397" s="203">
        <v>43153</v>
      </c>
      <c r="AF4397" s="167" t="s">
        <v>3470</v>
      </c>
    </row>
    <row r="4398" spans="28:32" x14ac:dyDescent="0.25">
      <c r="AB4398" s="167" t="s">
        <v>3040</v>
      </c>
      <c r="AC4398" s="167">
        <v>356</v>
      </c>
      <c r="AD4398" s="203">
        <v>43139</v>
      </c>
      <c r="AE4398" s="203">
        <v>0</v>
      </c>
      <c r="AF4398" s="167" t="s">
        <v>3469</v>
      </c>
    </row>
    <row r="4399" spans="28:32" x14ac:dyDescent="0.25">
      <c r="AB4399" s="167" t="s">
        <v>3041</v>
      </c>
      <c r="AC4399" s="167">
        <v>334</v>
      </c>
      <c r="AD4399" s="203">
        <v>43074</v>
      </c>
      <c r="AE4399" s="203">
        <v>43187</v>
      </c>
      <c r="AF4399" s="167" t="s">
        <v>3470</v>
      </c>
    </row>
    <row r="4400" spans="28:32" x14ac:dyDescent="0.25">
      <c r="AB4400" s="167" t="s">
        <v>3043</v>
      </c>
      <c r="AC4400" s="167">
        <v>340</v>
      </c>
      <c r="AD4400" s="203">
        <v>43133</v>
      </c>
      <c r="AE4400" s="203">
        <v>43168</v>
      </c>
      <c r="AF4400" s="167" t="s">
        <v>3470</v>
      </c>
    </row>
    <row r="4401" spans="28:32" x14ac:dyDescent="0.25">
      <c r="AB4401" s="167" t="s">
        <v>3043</v>
      </c>
      <c r="AC4401" s="167">
        <v>353</v>
      </c>
      <c r="AD4401" s="203">
        <v>43180</v>
      </c>
      <c r="AE4401" s="203">
        <v>0</v>
      </c>
      <c r="AF4401" s="167" t="s">
        <v>3469</v>
      </c>
    </row>
    <row r="4402" spans="28:32" x14ac:dyDescent="0.25">
      <c r="AB4402" s="167" t="s">
        <v>3045</v>
      </c>
      <c r="AC4402" s="167">
        <v>353</v>
      </c>
      <c r="AD4402" s="203">
        <v>43180</v>
      </c>
      <c r="AE4402" s="203">
        <v>0</v>
      </c>
      <c r="AF4402" s="167" t="s">
        <v>3469</v>
      </c>
    </row>
    <row r="4403" spans="28:32" x14ac:dyDescent="0.25">
      <c r="AB4403" s="167" t="s">
        <v>3442</v>
      </c>
      <c r="AC4403" s="167">
        <v>353</v>
      </c>
      <c r="AD4403" s="203">
        <v>43180</v>
      </c>
      <c r="AE4403" s="203">
        <v>0</v>
      </c>
      <c r="AF4403" s="167" t="s">
        <v>3469</v>
      </c>
    </row>
    <row r="4404" spans="28:32" x14ac:dyDescent="0.25">
      <c r="AB4404" s="167" t="s">
        <v>3046</v>
      </c>
      <c r="AC4404" s="167">
        <v>342</v>
      </c>
      <c r="AD4404" s="203">
        <v>43125</v>
      </c>
      <c r="AE4404" s="203">
        <v>43160</v>
      </c>
      <c r="AF4404" s="167" t="s">
        <v>3470</v>
      </c>
    </row>
    <row r="4405" spans="28:32" x14ac:dyDescent="0.25">
      <c r="AB4405" s="167" t="s">
        <v>3047</v>
      </c>
      <c r="AC4405" s="167">
        <v>365</v>
      </c>
      <c r="AD4405" s="203">
        <v>43174</v>
      </c>
      <c r="AE4405" s="203">
        <v>0</v>
      </c>
      <c r="AF4405" s="167" t="s">
        <v>3469</v>
      </c>
    </row>
    <row r="4406" spans="28:32" x14ac:dyDescent="0.25">
      <c r="AB4406" s="167" t="s">
        <v>3048</v>
      </c>
      <c r="AC4406" s="167">
        <v>365</v>
      </c>
      <c r="AD4406" s="203">
        <v>43174</v>
      </c>
      <c r="AE4406" s="203">
        <v>0</v>
      </c>
      <c r="AF4406" s="167" t="s">
        <v>3469</v>
      </c>
    </row>
    <row r="4407" spans="28:32" x14ac:dyDescent="0.25">
      <c r="AB4407" s="167" t="s">
        <v>3049</v>
      </c>
      <c r="AC4407" s="167">
        <v>365</v>
      </c>
      <c r="AD4407" s="203">
        <v>43174</v>
      </c>
      <c r="AE4407" s="203">
        <v>0</v>
      </c>
      <c r="AF4407" s="167" t="s">
        <v>3469</v>
      </c>
    </row>
    <row r="4408" spans="28:32" x14ac:dyDescent="0.25">
      <c r="AB4408" s="167" t="s">
        <v>3050</v>
      </c>
      <c r="AC4408" s="167">
        <v>342</v>
      </c>
      <c r="AD4408" s="203">
        <v>43125</v>
      </c>
      <c r="AE4408" s="203">
        <v>43160</v>
      </c>
      <c r="AF4408" s="167" t="s">
        <v>3470</v>
      </c>
    </row>
    <row r="4409" spans="28:32" x14ac:dyDescent="0.25">
      <c r="AB4409" s="167" t="s">
        <v>3050</v>
      </c>
      <c r="AC4409" s="167">
        <v>342</v>
      </c>
      <c r="AD4409" s="203">
        <v>43125</v>
      </c>
      <c r="AE4409" s="203">
        <v>43160</v>
      </c>
      <c r="AF4409" s="167" t="s">
        <v>3470</v>
      </c>
    </row>
    <row r="4410" spans="28:32" x14ac:dyDescent="0.25">
      <c r="AB4410" s="167" t="s">
        <v>3542</v>
      </c>
      <c r="AC4410" s="167">
        <v>342</v>
      </c>
      <c r="AD4410" s="203">
        <v>43125</v>
      </c>
      <c r="AE4410" s="203">
        <v>43160</v>
      </c>
      <c r="AF4410" s="167" t="s">
        <v>3470</v>
      </c>
    </row>
    <row r="4411" spans="28:32" x14ac:dyDescent="0.25">
      <c r="AB4411" s="167" t="s">
        <v>3051</v>
      </c>
      <c r="AC4411" s="167">
        <v>342</v>
      </c>
      <c r="AD4411" s="203">
        <v>43125</v>
      </c>
      <c r="AE4411" s="203">
        <v>43160</v>
      </c>
      <c r="AF4411" s="167" t="s">
        <v>3470</v>
      </c>
    </row>
    <row r="4412" spans="28:32" x14ac:dyDescent="0.25">
      <c r="AB4412" s="167" t="s">
        <v>3543</v>
      </c>
      <c r="AC4412" s="167">
        <v>342</v>
      </c>
      <c r="AD4412" s="203">
        <v>43125</v>
      </c>
      <c r="AE4412" s="203">
        <v>43160</v>
      </c>
      <c r="AF4412" s="167" t="s">
        <v>3470</v>
      </c>
    </row>
    <row r="4413" spans="28:32" x14ac:dyDescent="0.25">
      <c r="AB4413" s="167" t="s">
        <v>3052</v>
      </c>
      <c r="AC4413" s="167">
        <v>342</v>
      </c>
      <c r="AD4413" s="203">
        <v>43125</v>
      </c>
      <c r="AE4413" s="203">
        <v>43160</v>
      </c>
      <c r="AF4413" s="167" t="s">
        <v>3470</v>
      </c>
    </row>
    <row r="4414" spans="28:32" x14ac:dyDescent="0.25">
      <c r="AB4414" s="167" t="s">
        <v>3053</v>
      </c>
      <c r="AC4414" s="167">
        <v>342</v>
      </c>
      <c r="AD4414" s="203">
        <v>43125</v>
      </c>
      <c r="AE4414" s="203">
        <v>43160</v>
      </c>
      <c r="AF4414" s="167" t="s">
        <v>3470</v>
      </c>
    </row>
    <row r="4415" spans="28:32" x14ac:dyDescent="0.25">
      <c r="AB4415" s="167" t="s">
        <v>3054</v>
      </c>
      <c r="AC4415" s="167">
        <v>342</v>
      </c>
      <c r="AD4415" s="203">
        <v>43125</v>
      </c>
      <c r="AE4415" s="203">
        <v>43160</v>
      </c>
      <c r="AF4415" s="167" t="s">
        <v>3470</v>
      </c>
    </row>
    <row r="4416" spans="28:32" x14ac:dyDescent="0.25">
      <c r="AB4416" s="167" t="s">
        <v>3055</v>
      </c>
      <c r="AC4416" s="167">
        <v>342</v>
      </c>
      <c r="AD4416" s="203">
        <v>43125</v>
      </c>
      <c r="AE4416" s="203">
        <v>43160</v>
      </c>
      <c r="AF4416" s="167" t="s">
        <v>3470</v>
      </c>
    </row>
    <row r="4417" spans="28:32" x14ac:dyDescent="0.25">
      <c r="AB4417" s="167" t="s">
        <v>3056</v>
      </c>
      <c r="AC4417" s="167">
        <v>342</v>
      </c>
      <c r="AD4417" s="203">
        <v>43125</v>
      </c>
      <c r="AE4417" s="203">
        <v>43160</v>
      </c>
      <c r="AF4417" s="167" t="s">
        <v>3470</v>
      </c>
    </row>
    <row r="4418" spans="28:32" x14ac:dyDescent="0.25">
      <c r="AB4418" s="167" t="s">
        <v>3057</v>
      </c>
      <c r="AC4418" s="167">
        <v>342</v>
      </c>
      <c r="AD4418" s="203">
        <v>43125</v>
      </c>
      <c r="AE4418" s="203">
        <v>43160</v>
      </c>
      <c r="AF4418" s="167" t="s">
        <v>3470</v>
      </c>
    </row>
    <row r="4419" spans="28:32" x14ac:dyDescent="0.25">
      <c r="AB4419" s="167" t="s">
        <v>3058</v>
      </c>
      <c r="AC4419" s="167">
        <v>342</v>
      </c>
      <c r="AD4419" s="203">
        <v>43125</v>
      </c>
      <c r="AE4419" s="203">
        <v>43160</v>
      </c>
      <c r="AF4419" s="167" t="s">
        <v>3470</v>
      </c>
    </row>
    <row r="4420" spans="28:32" x14ac:dyDescent="0.25">
      <c r="AB4420" s="167" t="s">
        <v>3059</v>
      </c>
      <c r="AC4420" s="167">
        <v>342</v>
      </c>
      <c r="AD4420" s="203">
        <v>43125</v>
      </c>
      <c r="AE4420" s="203">
        <v>43160</v>
      </c>
      <c r="AF4420" s="167" t="s">
        <v>3470</v>
      </c>
    </row>
    <row r="4421" spans="28:32" x14ac:dyDescent="0.25">
      <c r="AB4421" s="167" t="s">
        <v>3060</v>
      </c>
      <c r="AC4421" s="167">
        <v>342</v>
      </c>
      <c r="AD4421" s="203">
        <v>43125</v>
      </c>
      <c r="AE4421" s="203">
        <v>43160</v>
      </c>
      <c r="AF4421" s="167" t="s">
        <v>3470</v>
      </c>
    </row>
    <row r="4422" spans="28:32" x14ac:dyDescent="0.25">
      <c r="AB4422" s="167" t="s">
        <v>3062</v>
      </c>
      <c r="AC4422" s="167">
        <v>347</v>
      </c>
      <c r="AD4422" s="203">
        <v>43118</v>
      </c>
      <c r="AE4422" s="203">
        <v>43133</v>
      </c>
      <c r="AF4422" s="167" t="s">
        <v>3470</v>
      </c>
    </row>
    <row r="4423" spans="28:32" x14ac:dyDescent="0.25">
      <c r="AB4423" s="167" t="s">
        <v>3062</v>
      </c>
      <c r="AC4423" s="167">
        <v>340</v>
      </c>
      <c r="AD4423" s="203">
        <v>43133</v>
      </c>
      <c r="AE4423" s="203">
        <v>43168</v>
      </c>
      <c r="AF4423" s="167" t="s">
        <v>3470</v>
      </c>
    </row>
    <row r="4424" spans="28:32" x14ac:dyDescent="0.25">
      <c r="AB4424" s="167" t="s">
        <v>3062</v>
      </c>
      <c r="AC4424" s="167">
        <v>364</v>
      </c>
      <c r="AD4424" s="203">
        <v>43168</v>
      </c>
      <c r="AE4424" s="203">
        <v>43179</v>
      </c>
      <c r="AF4424" s="167" t="s">
        <v>3470</v>
      </c>
    </row>
    <row r="4425" spans="28:32" x14ac:dyDescent="0.25">
      <c r="AB4425" s="167" t="s">
        <v>3062</v>
      </c>
      <c r="AC4425" s="167">
        <v>353</v>
      </c>
      <c r="AD4425" s="203">
        <v>43180</v>
      </c>
      <c r="AE4425" s="203">
        <v>0</v>
      </c>
      <c r="AF4425" s="167" t="s">
        <v>3469</v>
      </c>
    </row>
    <row r="4426" spans="28:32" x14ac:dyDescent="0.25">
      <c r="AB4426" s="167" t="s">
        <v>3063</v>
      </c>
      <c r="AC4426" s="167">
        <v>342</v>
      </c>
      <c r="AD4426" s="203">
        <v>43125</v>
      </c>
      <c r="AE4426" s="203">
        <v>43160</v>
      </c>
      <c r="AF4426" s="167" t="s">
        <v>3470</v>
      </c>
    </row>
    <row r="4427" spans="28:32" x14ac:dyDescent="0.25">
      <c r="AB4427" s="167" t="s">
        <v>3544</v>
      </c>
      <c r="AC4427" s="167">
        <v>342</v>
      </c>
      <c r="AD4427" s="203">
        <v>43125</v>
      </c>
      <c r="AE4427" s="203">
        <v>43160</v>
      </c>
      <c r="AF4427" s="167" t="s">
        <v>3470</v>
      </c>
    </row>
    <row r="4428" spans="28:32" x14ac:dyDescent="0.25">
      <c r="AB4428" s="167" t="s">
        <v>3064</v>
      </c>
      <c r="AC4428" s="167">
        <v>342</v>
      </c>
      <c r="AD4428" s="203">
        <v>43125</v>
      </c>
      <c r="AE4428" s="203">
        <v>43160</v>
      </c>
      <c r="AF4428" s="167" t="s">
        <v>3470</v>
      </c>
    </row>
    <row r="4429" spans="28:32" x14ac:dyDescent="0.25">
      <c r="AB4429" s="167" t="s">
        <v>3065</v>
      </c>
      <c r="AC4429" s="167">
        <v>342</v>
      </c>
      <c r="AD4429" s="203">
        <v>43125</v>
      </c>
      <c r="AE4429" s="203">
        <v>43160</v>
      </c>
      <c r="AF4429" s="167" t="s">
        <v>3470</v>
      </c>
    </row>
    <row r="4430" spans="28:32" x14ac:dyDescent="0.25">
      <c r="AB4430" s="167" t="s">
        <v>3066</v>
      </c>
      <c r="AC4430" s="167">
        <v>342</v>
      </c>
      <c r="AD4430" s="203">
        <v>43125</v>
      </c>
      <c r="AE4430" s="203">
        <v>43160</v>
      </c>
      <c r="AF4430" s="167" t="s">
        <v>3470</v>
      </c>
    </row>
    <row r="4431" spans="28:32" x14ac:dyDescent="0.25">
      <c r="AB4431" s="167" t="s">
        <v>3067</v>
      </c>
      <c r="AC4431" s="167">
        <v>342</v>
      </c>
      <c r="AD4431" s="203">
        <v>43125</v>
      </c>
      <c r="AE4431" s="203">
        <v>43160</v>
      </c>
      <c r="AF4431" s="167" t="s">
        <v>3470</v>
      </c>
    </row>
    <row r="4432" spans="28:32" x14ac:dyDescent="0.25">
      <c r="AB4432" s="167" t="s">
        <v>3067</v>
      </c>
      <c r="AC4432" s="167">
        <v>342</v>
      </c>
      <c r="AD4432" s="203">
        <v>43125</v>
      </c>
      <c r="AE4432" s="203">
        <v>43160</v>
      </c>
      <c r="AF4432" s="167" t="s">
        <v>3470</v>
      </c>
    </row>
    <row r="4433" spans="28:32" x14ac:dyDescent="0.25">
      <c r="AB4433" s="167" t="s">
        <v>3068</v>
      </c>
      <c r="AC4433" s="167">
        <v>342</v>
      </c>
      <c r="AD4433" s="203">
        <v>43125</v>
      </c>
      <c r="AE4433" s="203">
        <v>43160</v>
      </c>
      <c r="AF4433" s="167" t="s">
        <v>3470</v>
      </c>
    </row>
    <row r="4434" spans="28:32" x14ac:dyDescent="0.25">
      <c r="AB4434" s="167" t="s">
        <v>3545</v>
      </c>
      <c r="AC4434" s="167">
        <v>342</v>
      </c>
      <c r="AD4434" s="203">
        <v>43125</v>
      </c>
      <c r="AE4434" s="203">
        <v>43160</v>
      </c>
      <c r="AF4434" s="167" t="s">
        <v>3470</v>
      </c>
    </row>
    <row r="4435" spans="28:32" x14ac:dyDescent="0.25">
      <c r="AB4435" s="167" t="s">
        <v>3069</v>
      </c>
      <c r="AC4435" s="167">
        <v>342</v>
      </c>
      <c r="AD4435" s="203">
        <v>43125</v>
      </c>
      <c r="AE4435" s="203">
        <v>43160</v>
      </c>
      <c r="AF4435" s="167" t="s">
        <v>3470</v>
      </c>
    </row>
    <row r="4436" spans="28:32" x14ac:dyDescent="0.25">
      <c r="AB4436" s="167" t="s">
        <v>3070</v>
      </c>
      <c r="AC4436" s="167">
        <v>342</v>
      </c>
      <c r="AD4436" s="203">
        <v>43125</v>
      </c>
      <c r="AE4436" s="203">
        <v>43160</v>
      </c>
      <c r="AF4436" s="167" t="s">
        <v>3470</v>
      </c>
    </row>
    <row r="4437" spans="28:32" x14ac:dyDescent="0.25">
      <c r="AB4437" s="167" t="s">
        <v>3070</v>
      </c>
      <c r="AC4437" s="167">
        <v>342</v>
      </c>
      <c r="AD4437" s="203">
        <v>43125</v>
      </c>
      <c r="AE4437" s="203">
        <v>43160</v>
      </c>
      <c r="AF4437" s="167" t="s">
        <v>3470</v>
      </c>
    </row>
    <row r="4438" spans="28:32" x14ac:dyDescent="0.25">
      <c r="AB4438" s="167" t="s">
        <v>3071</v>
      </c>
      <c r="AC4438" s="167">
        <v>342</v>
      </c>
      <c r="AD4438" s="203">
        <v>43125</v>
      </c>
      <c r="AE4438" s="203">
        <v>43160</v>
      </c>
      <c r="AF4438" s="167" t="s">
        <v>3470</v>
      </c>
    </row>
    <row r="4439" spans="28:32" x14ac:dyDescent="0.25">
      <c r="AB4439" s="167" t="s">
        <v>3073</v>
      </c>
      <c r="AC4439" s="167">
        <v>356</v>
      </c>
      <c r="AD4439" s="203">
        <v>43139</v>
      </c>
      <c r="AE4439" s="203">
        <v>0</v>
      </c>
      <c r="AF4439" s="167" t="s">
        <v>3469</v>
      </c>
    </row>
    <row r="4440" spans="28:32" x14ac:dyDescent="0.25">
      <c r="AB4440" s="167" t="s">
        <v>3074</v>
      </c>
      <c r="AC4440" s="167">
        <v>340</v>
      </c>
      <c r="AD4440" s="203">
        <v>43133</v>
      </c>
      <c r="AE4440" s="203">
        <v>43168</v>
      </c>
      <c r="AF4440" s="167" t="s">
        <v>3470</v>
      </c>
    </row>
    <row r="4441" spans="28:32" x14ac:dyDescent="0.25">
      <c r="AB4441" s="167" t="s">
        <v>3075</v>
      </c>
      <c r="AC4441" s="167">
        <v>364</v>
      </c>
      <c r="AD4441" s="203">
        <v>43168</v>
      </c>
      <c r="AE4441" s="203">
        <v>43179</v>
      </c>
      <c r="AF4441" s="167" t="s">
        <v>3470</v>
      </c>
    </row>
    <row r="4442" spans="28:32" x14ac:dyDescent="0.25">
      <c r="AB4442" s="167" t="s">
        <v>3076</v>
      </c>
      <c r="AC4442" s="167">
        <v>323</v>
      </c>
      <c r="AD4442" s="203">
        <v>43074</v>
      </c>
      <c r="AE4442" s="203">
        <v>43111</v>
      </c>
      <c r="AF4442" s="167" t="s">
        <v>3470</v>
      </c>
    </row>
    <row r="4443" spans="28:32" x14ac:dyDescent="0.25">
      <c r="AB4443" s="167" t="s">
        <v>3076</v>
      </c>
      <c r="AC4443" s="167">
        <v>327</v>
      </c>
      <c r="AD4443" s="203">
        <v>43074</v>
      </c>
      <c r="AE4443" s="203">
        <v>43131</v>
      </c>
      <c r="AF4443" s="167" t="s">
        <v>3470</v>
      </c>
    </row>
    <row r="4444" spans="28:32" x14ac:dyDescent="0.25">
      <c r="AB4444" s="167" t="s">
        <v>3076</v>
      </c>
      <c r="AC4444" s="167">
        <v>327</v>
      </c>
      <c r="AD4444" s="203">
        <v>43074</v>
      </c>
      <c r="AE4444" s="203">
        <v>43131</v>
      </c>
      <c r="AF4444" s="167" t="s">
        <v>3470</v>
      </c>
    </row>
    <row r="4445" spans="28:32" x14ac:dyDescent="0.25">
      <c r="AB4445" s="167" t="s">
        <v>3076</v>
      </c>
      <c r="AC4445" s="167">
        <v>327</v>
      </c>
      <c r="AD4445" s="203">
        <v>43074</v>
      </c>
      <c r="AE4445" s="203">
        <v>43131</v>
      </c>
      <c r="AF4445" s="167" t="s">
        <v>3470</v>
      </c>
    </row>
    <row r="4446" spans="28:32" x14ac:dyDescent="0.25">
      <c r="AB4446" s="167" t="s">
        <v>3076</v>
      </c>
      <c r="AC4446" s="167">
        <v>339</v>
      </c>
      <c r="AD4446" s="203">
        <v>43087</v>
      </c>
      <c r="AE4446" s="203">
        <v>43111</v>
      </c>
      <c r="AF4446" s="167" t="s">
        <v>3470</v>
      </c>
    </row>
    <row r="4447" spans="28:32" x14ac:dyDescent="0.25">
      <c r="AB4447" s="167" t="s">
        <v>3076</v>
      </c>
      <c r="AC4447" s="167">
        <v>347</v>
      </c>
      <c r="AD4447" s="203">
        <v>43118</v>
      </c>
      <c r="AE4447" s="203">
        <v>43133</v>
      </c>
      <c r="AF4447" s="167" t="s">
        <v>3470</v>
      </c>
    </row>
    <row r="4448" spans="28:32" x14ac:dyDescent="0.25">
      <c r="AB4448" s="167" t="s">
        <v>3076</v>
      </c>
      <c r="AC4448" s="167">
        <v>352</v>
      </c>
      <c r="AD4448" s="203">
        <v>43133</v>
      </c>
      <c r="AE4448" s="203">
        <v>43179</v>
      </c>
      <c r="AF4448" s="167" t="s">
        <v>3470</v>
      </c>
    </row>
    <row r="4449" spans="28:32" x14ac:dyDescent="0.25">
      <c r="AB4449" s="167" t="s">
        <v>3076</v>
      </c>
      <c r="AC4449" s="167">
        <v>357</v>
      </c>
      <c r="AD4449" s="203">
        <v>43139</v>
      </c>
      <c r="AE4449" s="203">
        <v>43164</v>
      </c>
      <c r="AF4449" s="167" t="s">
        <v>3470</v>
      </c>
    </row>
    <row r="4450" spans="28:32" x14ac:dyDescent="0.25">
      <c r="AB4450" s="167" t="s">
        <v>3076</v>
      </c>
      <c r="AC4450" s="167">
        <v>364</v>
      </c>
      <c r="AD4450" s="203">
        <v>43168</v>
      </c>
      <c r="AE4450" s="203">
        <v>43179</v>
      </c>
      <c r="AF4450" s="167" t="s">
        <v>3470</v>
      </c>
    </row>
    <row r="4451" spans="28:32" x14ac:dyDescent="0.25">
      <c r="AB4451" s="167" t="s">
        <v>3076</v>
      </c>
      <c r="AC4451" s="167">
        <v>353</v>
      </c>
      <c r="AD4451" s="203">
        <v>43180</v>
      </c>
      <c r="AE4451" s="203">
        <v>0</v>
      </c>
      <c r="AF4451" s="167" t="s">
        <v>3469</v>
      </c>
    </row>
    <row r="4452" spans="28:32" x14ac:dyDescent="0.25">
      <c r="AB4452" s="167" t="s">
        <v>3076</v>
      </c>
      <c r="AC4452" s="167">
        <v>374</v>
      </c>
      <c r="AD4452" s="203">
        <v>43195</v>
      </c>
      <c r="AE4452" s="203">
        <v>0</v>
      </c>
      <c r="AF4452" s="167" t="s">
        <v>3469</v>
      </c>
    </row>
    <row r="4453" spans="28:32" x14ac:dyDescent="0.25">
      <c r="AB4453" s="167" t="s">
        <v>3077</v>
      </c>
      <c r="AC4453" s="167">
        <v>350</v>
      </c>
      <c r="AD4453" s="203">
        <v>43132</v>
      </c>
      <c r="AE4453" s="203">
        <v>43195</v>
      </c>
      <c r="AF4453" s="167" t="s">
        <v>3470</v>
      </c>
    </row>
    <row r="4454" spans="28:32" x14ac:dyDescent="0.25">
      <c r="AB4454" s="167" t="s">
        <v>3077</v>
      </c>
      <c r="AC4454" s="167">
        <v>333</v>
      </c>
      <c r="AD4454" s="203">
        <v>43206</v>
      </c>
      <c r="AE4454" s="203">
        <v>43210</v>
      </c>
      <c r="AF4454" s="167" t="s">
        <v>3470</v>
      </c>
    </row>
    <row r="4455" spans="28:32" x14ac:dyDescent="0.25">
      <c r="AB4455" s="167" t="s">
        <v>3077</v>
      </c>
      <c r="AC4455" s="167">
        <v>377</v>
      </c>
      <c r="AD4455" s="203">
        <v>43210</v>
      </c>
      <c r="AE4455" s="203">
        <v>43210</v>
      </c>
      <c r="AF4455" s="167" t="s">
        <v>3470</v>
      </c>
    </row>
    <row r="4456" spans="28:32" x14ac:dyDescent="0.25">
      <c r="AB4456" s="167" t="s">
        <v>3078</v>
      </c>
      <c r="AC4456" s="167">
        <v>377</v>
      </c>
      <c r="AD4456" s="203">
        <v>43210</v>
      </c>
      <c r="AE4456" s="203">
        <v>43210</v>
      </c>
      <c r="AF4456" s="167" t="s">
        <v>3470</v>
      </c>
    </row>
    <row r="4457" spans="28:32" x14ac:dyDescent="0.25">
      <c r="AB4457" s="167" t="s">
        <v>3079</v>
      </c>
      <c r="AC4457" s="167">
        <v>342</v>
      </c>
      <c r="AD4457" s="203">
        <v>43125</v>
      </c>
      <c r="AE4457" s="203">
        <v>43160</v>
      </c>
      <c r="AF4457" s="167" t="s">
        <v>3470</v>
      </c>
    </row>
    <row r="4458" spans="28:32" x14ac:dyDescent="0.25">
      <c r="AB4458" s="167" t="s">
        <v>3079</v>
      </c>
      <c r="AC4458" s="167">
        <v>342</v>
      </c>
      <c r="AD4458" s="203">
        <v>43125</v>
      </c>
      <c r="AE4458" s="203">
        <v>43160</v>
      </c>
      <c r="AF4458" s="167" t="s">
        <v>3470</v>
      </c>
    </row>
    <row r="4459" spans="28:32" x14ac:dyDescent="0.25">
      <c r="AB4459" s="167" t="s">
        <v>3546</v>
      </c>
      <c r="AC4459" s="167">
        <v>342</v>
      </c>
      <c r="AD4459" s="203">
        <v>43125</v>
      </c>
      <c r="AE4459" s="203">
        <v>43160</v>
      </c>
      <c r="AF4459" s="167" t="s">
        <v>3470</v>
      </c>
    </row>
    <row r="4460" spans="28:32" x14ac:dyDescent="0.25">
      <c r="AB4460" s="167" t="s">
        <v>3546</v>
      </c>
      <c r="AC4460" s="167">
        <v>342</v>
      </c>
      <c r="AD4460" s="203">
        <v>43125</v>
      </c>
      <c r="AE4460" s="203">
        <v>43160</v>
      </c>
      <c r="AF4460" s="167" t="s">
        <v>3470</v>
      </c>
    </row>
    <row r="4461" spans="28:32" x14ac:dyDescent="0.25">
      <c r="AB4461" s="167" t="s">
        <v>3080</v>
      </c>
      <c r="AC4461" s="167">
        <v>342</v>
      </c>
      <c r="AD4461" s="203">
        <v>43125</v>
      </c>
      <c r="AE4461" s="203">
        <v>43160</v>
      </c>
      <c r="AF4461" s="167" t="s">
        <v>3470</v>
      </c>
    </row>
    <row r="4462" spans="28:32" x14ac:dyDescent="0.25">
      <c r="AB4462" s="167" t="s">
        <v>3080</v>
      </c>
      <c r="AC4462" s="167">
        <v>342</v>
      </c>
      <c r="AD4462" s="203">
        <v>43125</v>
      </c>
      <c r="AE4462" s="203">
        <v>43160</v>
      </c>
      <c r="AF4462" s="167" t="s">
        <v>3470</v>
      </c>
    </row>
    <row r="4463" spans="28:32" x14ac:dyDescent="0.25">
      <c r="AB4463" s="167" t="s">
        <v>3082</v>
      </c>
      <c r="AC4463" s="167">
        <v>327</v>
      </c>
      <c r="AD4463" s="203">
        <v>43074</v>
      </c>
      <c r="AE4463" s="203">
        <v>43131</v>
      </c>
      <c r="AF4463" s="167" t="s">
        <v>3470</v>
      </c>
    </row>
    <row r="4464" spans="28:32" x14ac:dyDescent="0.25">
      <c r="AB4464" s="167" t="s">
        <v>3082</v>
      </c>
      <c r="AC4464" s="167">
        <v>374</v>
      </c>
      <c r="AD4464" s="203">
        <v>43195</v>
      </c>
      <c r="AE4464" s="203">
        <v>0</v>
      </c>
      <c r="AF4464" s="167" t="s">
        <v>3469</v>
      </c>
    </row>
    <row r="4465" spans="28:32" x14ac:dyDescent="0.25">
      <c r="AB4465" s="167" t="s">
        <v>3084</v>
      </c>
      <c r="AC4465" s="167">
        <v>327</v>
      </c>
      <c r="AD4465" s="203">
        <v>43074</v>
      </c>
      <c r="AE4465" s="203">
        <v>43131</v>
      </c>
      <c r="AF4465" s="167" t="s">
        <v>3470</v>
      </c>
    </row>
    <row r="4466" spans="28:32" x14ac:dyDescent="0.25">
      <c r="AB4466" s="167" t="s">
        <v>3084</v>
      </c>
      <c r="AC4466" s="167">
        <v>347</v>
      </c>
      <c r="AD4466" s="203">
        <v>43118</v>
      </c>
      <c r="AE4466" s="203">
        <v>43133</v>
      </c>
      <c r="AF4466" s="167" t="s">
        <v>3470</v>
      </c>
    </row>
    <row r="4467" spans="28:32" x14ac:dyDescent="0.25">
      <c r="AB4467" s="167" t="s">
        <v>3084</v>
      </c>
      <c r="AC4467" s="167">
        <v>340</v>
      </c>
      <c r="AD4467" s="203">
        <v>43133</v>
      </c>
      <c r="AE4467" s="203">
        <v>43168</v>
      </c>
      <c r="AF4467" s="167" t="s">
        <v>3470</v>
      </c>
    </row>
    <row r="4468" spans="28:32" x14ac:dyDescent="0.25">
      <c r="AB4468" s="167" t="s">
        <v>3084</v>
      </c>
      <c r="AC4468" s="167">
        <v>364</v>
      </c>
      <c r="AD4468" s="203">
        <v>43168</v>
      </c>
      <c r="AE4468" s="203">
        <v>43179</v>
      </c>
      <c r="AF4468" s="167" t="s">
        <v>3470</v>
      </c>
    </row>
    <row r="4469" spans="28:32" x14ac:dyDescent="0.25">
      <c r="AB4469" s="167" t="s">
        <v>3084</v>
      </c>
      <c r="AC4469" s="167">
        <v>353</v>
      </c>
      <c r="AD4469" s="203">
        <v>43180</v>
      </c>
      <c r="AE4469" s="203">
        <v>0</v>
      </c>
      <c r="AF4469" s="167" t="s">
        <v>3469</v>
      </c>
    </row>
    <row r="4470" spans="28:32" x14ac:dyDescent="0.25">
      <c r="AB4470" s="167" t="s">
        <v>3084</v>
      </c>
      <c r="AC4470" s="167">
        <v>353</v>
      </c>
      <c r="AD4470" s="203">
        <v>43180</v>
      </c>
      <c r="AE4470" s="203">
        <v>0</v>
      </c>
      <c r="AF4470" s="167" t="s">
        <v>3469</v>
      </c>
    </row>
    <row r="4471" spans="28:32" x14ac:dyDescent="0.25">
      <c r="AB4471" s="167" t="s">
        <v>3084</v>
      </c>
      <c r="AC4471" s="167">
        <v>353</v>
      </c>
      <c r="AD4471" s="203">
        <v>43180</v>
      </c>
      <c r="AE4471" s="203">
        <v>0</v>
      </c>
      <c r="AF4471" s="167" t="s">
        <v>3469</v>
      </c>
    </row>
    <row r="4472" spans="28:32" x14ac:dyDescent="0.25">
      <c r="AB4472" s="167" t="s">
        <v>3084</v>
      </c>
      <c r="AC4472" s="167">
        <v>353</v>
      </c>
      <c r="AD4472" s="203">
        <v>43180</v>
      </c>
      <c r="AE4472" s="203">
        <v>0</v>
      </c>
      <c r="AF4472" s="167" t="s">
        <v>3469</v>
      </c>
    </row>
    <row r="4473" spans="28:32" x14ac:dyDescent="0.25">
      <c r="AB4473" s="167" t="s">
        <v>3086</v>
      </c>
      <c r="AC4473" s="167">
        <v>347</v>
      </c>
      <c r="AD4473" s="203">
        <v>43118</v>
      </c>
      <c r="AE4473" s="203">
        <v>43133</v>
      </c>
      <c r="AF4473" s="167" t="s">
        <v>3470</v>
      </c>
    </row>
    <row r="4474" spans="28:32" x14ac:dyDescent="0.25">
      <c r="AB4474" s="167" t="s">
        <v>3086</v>
      </c>
      <c r="AC4474" s="167">
        <v>340</v>
      </c>
      <c r="AD4474" s="203">
        <v>43133</v>
      </c>
      <c r="AE4474" s="203">
        <v>43168</v>
      </c>
      <c r="AF4474" s="167" t="s">
        <v>3470</v>
      </c>
    </row>
    <row r="4475" spans="28:32" x14ac:dyDescent="0.25">
      <c r="AB4475" s="167" t="s">
        <v>3086</v>
      </c>
      <c r="AC4475" s="167">
        <v>340</v>
      </c>
      <c r="AD4475" s="203">
        <v>43133</v>
      </c>
      <c r="AE4475" s="203">
        <v>43168</v>
      </c>
      <c r="AF4475" s="167" t="s">
        <v>3470</v>
      </c>
    </row>
    <row r="4476" spans="28:32" x14ac:dyDescent="0.25">
      <c r="AB4476" s="167" t="s">
        <v>3086</v>
      </c>
      <c r="AC4476" s="167">
        <v>364</v>
      </c>
      <c r="AD4476" s="203">
        <v>43168</v>
      </c>
      <c r="AE4476" s="203">
        <v>43179</v>
      </c>
      <c r="AF4476" s="167" t="s">
        <v>3470</v>
      </c>
    </row>
    <row r="4477" spans="28:32" x14ac:dyDescent="0.25">
      <c r="AB4477" s="167" t="s">
        <v>3086</v>
      </c>
      <c r="AC4477" s="167">
        <v>353</v>
      </c>
      <c r="AD4477" s="203">
        <v>43180</v>
      </c>
      <c r="AE4477" s="203">
        <v>0</v>
      </c>
      <c r="AF4477" s="167" t="s">
        <v>3469</v>
      </c>
    </row>
    <row r="4478" spans="28:32" x14ac:dyDescent="0.25">
      <c r="AB4478" s="167" t="s">
        <v>3086</v>
      </c>
      <c r="AC4478" s="167">
        <v>353</v>
      </c>
      <c r="AD4478" s="203">
        <v>43180</v>
      </c>
      <c r="AE4478" s="203">
        <v>0</v>
      </c>
      <c r="AF4478" s="167" t="s">
        <v>3469</v>
      </c>
    </row>
    <row r="4479" spans="28:32" x14ac:dyDescent="0.25">
      <c r="AB4479" s="167" t="s">
        <v>3086</v>
      </c>
      <c r="AC4479" s="167">
        <v>353</v>
      </c>
      <c r="AD4479" s="203">
        <v>43180</v>
      </c>
      <c r="AE4479" s="203">
        <v>0</v>
      </c>
      <c r="AF4479" s="167" t="s">
        <v>3469</v>
      </c>
    </row>
    <row r="4480" spans="28:32" x14ac:dyDescent="0.25">
      <c r="AB4480" s="167" t="s">
        <v>3087</v>
      </c>
      <c r="AC4480" s="167">
        <v>323</v>
      </c>
      <c r="AD4480" s="203">
        <v>43074</v>
      </c>
      <c r="AE4480" s="203">
        <v>43111</v>
      </c>
      <c r="AF4480" s="167" t="s">
        <v>3470</v>
      </c>
    </row>
    <row r="4481" spans="28:32" x14ac:dyDescent="0.25">
      <c r="AB4481" s="167" t="s">
        <v>3087</v>
      </c>
      <c r="AC4481" s="167">
        <v>347</v>
      </c>
      <c r="AD4481" s="203">
        <v>43118</v>
      </c>
      <c r="AE4481" s="203">
        <v>43133</v>
      </c>
      <c r="AF4481" s="167" t="s">
        <v>3470</v>
      </c>
    </row>
    <row r="4482" spans="28:32" x14ac:dyDescent="0.25">
      <c r="AB4482" s="167" t="s">
        <v>3087</v>
      </c>
      <c r="AC4482" s="167">
        <v>340</v>
      </c>
      <c r="AD4482" s="203">
        <v>43133</v>
      </c>
      <c r="AE4482" s="203">
        <v>43168</v>
      </c>
      <c r="AF4482" s="167" t="s">
        <v>3470</v>
      </c>
    </row>
    <row r="4483" spans="28:32" x14ac:dyDescent="0.25">
      <c r="AB4483" s="167" t="s">
        <v>3087</v>
      </c>
      <c r="AC4483" s="167">
        <v>340</v>
      </c>
      <c r="AD4483" s="203">
        <v>43133</v>
      </c>
      <c r="AE4483" s="203">
        <v>43168</v>
      </c>
      <c r="AF4483" s="167" t="s">
        <v>3470</v>
      </c>
    </row>
    <row r="4484" spans="28:32" x14ac:dyDescent="0.25">
      <c r="AB4484" s="167" t="s">
        <v>3089</v>
      </c>
      <c r="AC4484" s="167">
        <v>374</v>
      </c>
      <c r="AD4484" s="203">
        <v>43195</v>
      </c>
      <c r="AE4484" s="203">
        <v>0</v>
      </c>
      <c r="AF4484" s="167" t="s">
        <v>3469</v>
      </c>
    </row>
    <row r="4485" spans="28:32" x14ac:dyDescent="0.25">
      <c r="AB4485" s="167" t="s">
        <v>3091</v>
      </c>
      <c r="AC4485" s="167">
        <v>335</v>
      </c>
      <c r="AD4485" s="203">
        <v>43133</v>
      </c>
      <c r="AE4485" s="203">
        <v>43147</v>
      </c>
      <c r="AF4485" s="167" t="s">
        <v>3470</v>
      </c>
    </row>
    <row r="4486" spans="28:32" x14ac:dyDescent="0.25">
      <c r="AB4486" s="167" t="s">
        <v>3091</v>
      </c>
      <c r="AC4486" s="167">
        <v>340</v>
      </c>
      <c r="AD4486" s="203">
        <v>43133</v>
      </c>
      <c r="AE4486" s="203">
        <v>43168</v>
      </c>
      <c r="AF4486" s="167" t="s">
        <v>3470</v>
      </c>
    </row>
    <row r="4487" spans="28:32" x14ac:dyDescent="0.25">
      <c r="AB4487" s="167" t="s">
        <v>3091</v>
      </c>
      <c r="AC4487" s="167">
        <v>353</v>
      </c>
      <c r="AD4487" s="203">
        <v>43180</v>
      </c>
      <c r="AE4487" s="203">
        <v>0</v>
      </c>
      <c r="AF4487" s="167" t="s">
        <v>3469</v>
      </c>
    </row>
    <row r="4488" spans="28:32" x14ac:dyDescent="0.25">
      <c r="AB4488" s="167" t="s">
        <v>3091</v>
      </c>
      <c r="AC4488" s="167">
        <v>353</v>
      </c>
      <c r="AD4488" s="203">
        <v>43180</v>
      </c>
      <c r="AE4488" s="203">
        <v>0</v>
      </c>
      <c r="AF4488" s="167" t="s">
        <v>3469</v>
      </c>
    </row>
    <row r="4489" spans="28:32" x14ac:dyDescent="0.25">
      <c r="AB4489" s="167" t="s">
        <v>3091</v>
      </c>
      <c r="AC4489" s="167">
        <v>353</v>
      </c>
      <c r="AD4489" s="203">
        <v>43180</v>
      </c>
      <c r="AE4489" s="203">
        <v>0</v>
      </c>
      <c r="AF4489" s="167" t="s">
        <v>3469</v>
      </c>
    </row>
    <row r="4490" spans="28:32" x14ac:dyDescent="0.25">
      <c r="AB4490" s="167" t="s">
        <v>3092</v>
      </c>
      <c r="AC4490" s="167">
        <v>323</v>
      </c>
      <c r="AD4490" s="203">
        <v>43074</v>
      </c>
      <c r="AE4490" s="203">
        <v>43111</v>
      </c>
      <c r="AF4490" s="167" t="s">
        <v>3470</v>
      </c>
    </row>
    <row r="4491" spans="28:32" x14ac:dyDescent="0.25">
      <c r="AB4491" s="167" t="s">
        <v>3092</v>
      </c>
      <c r="AC4491" s="167">
        <v>340</v>
      </c>
      <c r="AD4491" s="203">
        <v>43133</v>
      </c>
      <c r="AE4491" s="203">
        <v>43168</v>
      </c>
      <c r="AF4491" s="167" t="s">
        <v>3470</v>
      </c>
    </row>
    <row r="4492" spans="28:32" x14ac:dyDescent="0.25">
      <c r="AB4492" s="167" t="s">
        <v>3094</v>
      </c>
      <c r="AC4492" s="167">
        <v>364</v>
      </c>
      <c r="AD4492" s="203">
        <v>43168</v>
      </c>
      <c r="AE4492" s="203">
        <v>43179</v>
      </c>
      <c r="AF4492" s="167" t="s">
        <v>3470</v>
      </c>
    </row>
    <row r="4493" spans="28:32" x14ac:dyDescent="0.25">
      <c r="AB4493" s="167" t="s">
        <v>3094</v>
      </c>
      <c r="AC4493" s="167">
        <v>353</v>
      </c>
      <c r="AD4493" s="203">
        <v>43180</v>
      </c>
      <c r="AE4493" s="203">
        <v>0</v>
      </c>
      <c r="AF4493" s="167" t="s">
        <v>3469</v>
      </c>
    </row>
    <row r="4494" spans="28:32" x14ac:dyDescent="0.25">
      <c r="AB4494" s="167" t="s">
        <v>3096</v>
      </c>
      <c r="AC4494" s="167">
        <v>347</v>
      </c>
      <c r="AD4494" s="203">
        <v>43118</v>
      </c>
      <c r="AE4494" s="203">
        <v>43133</v>
      </c>
      <c r="AF4494" s="167" t="s">
        <v>3470</v>
      </c>
    </row>
    <row r="4495" spans="28:32" x14ac:dyDescent="0.25">
      <c r="AB4495" s="167" t="s">
        <v>3096</v>
      </c>
      <c r="AC4495" s="167">
        <v>340</v>
      </c>
      <c r="AD4495" s="203">
        <v>43133</v>
      </c>
      <c r="AE4495" s="203">
        <v>43168</v>
      </c>
      <c r="AF4495" s="167" t="s">
        <v>3470</v>
      </c>
    </row>
    <row r="4496" spans="28:32" x14ac:dyDescent="0.25">
      <c r="AB4496" s="167" t="s">
        <v>3096</v>
      </c>
      <c r="AC4496" s="167">
        <v>340</v>
      </c>
      <c r="AD4496" s="203">
        <v>43133</v>
      </c>
      <c r="AE4496" s="203">
        <v>43168</v>
      </c>
      <c r="AF4496" s="167" t="s">
        <v>3470</v>
      </c>
    </row>
    <row r="4497" spans="28:32" x14ac:dyDescent="0.25">
      <c r="AB4497" s="167" t="s">
        <v>3096</v>
      </c>
      <c r="AC4497" s="167">
        <v>364</v>
      </c>
      <c r="AD4497" s="203">
        <v>43168</v>
      </c>
      <c r="AE4497" s="203">
        <v>43179</v>
      </c>
      <c r="AF4497" s="167" t="s">
        <v>3470</v>
      </c>
    </row>
    <row r="4498" spans="28:32" x14ac:dyDescent="0.25">
      <c r="AB4498" s="167" t="s">
        <v>3096</v>
      </c>
      <c r="AC4498" s="167">
        <v>353</v>
      </c>
      <c r="AD4498" s="203">
        <v>43180</v>
      </c>
      <c r="AE4498" s="203">
        <v>0</v>
      </c>
      <c r="AF4498" s="167" t="s">
        <v>3469</v>
      </c>
    </row>
    <row r="4499" spans="28:32" x14ac:dyDescent="0.25">
      <c r="AB4499" s="167" t="s">
        <v>3096</v>
      </c>
      <c r="AC4499" s="167">
        <v>353</v>
      </c>
      <c r="AD4499" s="203">
        <v>43180</v>
      </c>
      <c r="AE4499" s="203">
        <v>0</v>
      </c>
      <c r="AF4499" s="167" t="s">
        <v>3469</v>
      </c>
    </row>
    <row r="4500" spans="28:32" x14ac:dyDescent="0.25">
      <c r="AB4500" s="167" t="s">
        <v>3096</v>
      </c>
      <c r="AC4500" s="167">
        <v>353</v>
      </c>
      <c r="AD4500" s="203">
        <v>43180</v>
      </c>
      <c r="AE4500" s="203">
        <v>0</v>
      </c>
      <c r="AF4500" s="167" t="s">
        <v>3469</v>
      </c>
    </row>
    <row r="4501" spans="28:32" x14ac:dyDescent="0.25">
      <c r="AB4501" s="167" t="s">
        <v>3096</v>
      </c>
      <c r="AC4501" s="167">
        <v>353</v>
      </c>
      <c r="AD4501" s="203">
        <v>43180</v>
      </c>
      <c r="AE4501" s="203">
        <v>0</v>
      </c>
      <c r="AF4501" s="167" t="s">
        <v>3469</v>
      </c>
    </row>
    <row r="4502" spans="28:32" x14ac:dyDescent="0.25">
      <c r="AB4502" s="167" t="s">
        <v>3096</v>
      </c>
      <c r="AC4502" s="167">
        <v>353</v>
      </c>
      <c r="AD4502" s="203">
        <v>43180</v>
      </c>
      <c r="AE4502" s="203">
        <v>0</v>
      </c>
      <c r="AF4502" s="167" t="s">
        <v>3469</v>
      </c>
    </row>
    <row r="4503" spans="28:32" x14ac:dyDescent="0.25">
      <c r="AB4503" s="167" t="s">
        <v>3096</v>
      </c>
      <c r="AC4503" s="167">
        <v>353</v>
      </c>
      <c r="AD4503" s="203">
        <v>43180</v>
      </c>
      <c r="AE4503" s="203">
        <v>0</v>
      </c>
      <c r="AF4503" s="167" t="s">
        <v>3469</v>
      </c>
    </row>
    <row r="4504" spans="28:32" x14ac:dyDescent="0.25">
      <c r="AB4504" s="167" t="s">
        <v>3443</v>
      </c>
      <c r="AC4504" s="167">
        <v>357</v>
      </c>
      <c r="AD4504" s="203">
        <v>43139</v>
      </c>
      <c r="AE4504" s="203">
        <v>43164</v>
      </c>
      <c r="AF4504" s="167" t="s">
        <v>3470</v>
      </c>
    </row>
    <row r="4505" spans="28:32" x14ac:dyDescent="0.25">
      <c r="AB4505" s="167" t="s">
        <v>3443</v>
      </c>
      <c r="AC4505" s="167">
        <v>364</v>
      </c>
      <c r="AD4505" s="203">
        <v>43168</v>
      </c>
      <c r="AE4505" s="203">
        <v>43179</v>
      </c>
      <c r="AF4505" s="167" t="s">
        <v>3470</v>
      </c>
    </row>
    <row r="4506" spans="28:32" x14ac:dyDescent="0.25">
      <c r="AB4506" s="167" t="s">
        <v>3443</v>
      </c>
      <c r="AC4506" s="167">
        <v>353</v>
      </c>
      <c r="AD4506" s="203">
        <v>43180</v>
      </c>
      <c r="AE4506" s="203">
        <v>0</v>
      </c>
      <c r="AF4506" s="167" t="s">
        <v>3469</v>
      </c>
    </row>
    <row r="4507" spans="28:32" x14ac:dyDescent="0.25">
      <c r="AB4507" s="167" t="s">
        <v>3443</v>
      </c>
      <c r="AC4507" s="167">
        <v>353</v>
      </c>
      <c r="AD4507" s="203">
        <v>43180</v>
      </c>
      <c r="AE4507" s="203">
        <v>0</v>
      </c>
      <c r="AF4507" s="167" t="s">
        <v>3469</v>
      </c>
    </row>
    <row r="4508" spans="28:32" x14ac:dyDescent="0.25">
      <c r="AB4508" s="167" t="s">
        <v>3098</v>
      </c>
      <c r="AC4508" s="167">
        <v>323</v>
      </c>
      <c r="AD4508" s="203">
        <v>43074</v>
      </c>
      <c r="AE4508" s="203">
        <v>43111</v>
      </c>
      <c r="AF4508" s="167" t="s">
        <v>3470</v>
      </c>
    </row>
    <row r="4509" spans="28:32" x14ac:dyDescent="0.25">
      <c r="AB4509" s="167" t="s">
        <v>3098</v>
      </c>
      <c r="AC4509" s="167">
        <v>327</v>
      </c>
      <c r="AD4509" s="203">
        <v>43074</v>
      </c>
      <c r="AE4509" s="203">
        <v>43131</v>
      </c>
      <c r="AF4509" s="167" t="s">
        <v>3470</v>
      </c>
    </row>
    <row r="4510" spans="28:32" x14ac:dyDescent="0.25">
      <c r="AB4510" s="167" t="s">
        <v>3098</v>
      </c>
      <c r="AC4510" s="167">
        <v>347</v>
      </c>
      <c r="AD4510" s="203">
        <v>43118</v>
      </c>
      <c r="AE4510" s="203">
        <v>43133</v>
      </c>
      <c r="AF4510" s="167" t="s">
        <v>3470</v>
      </c>
    </row>
    <row r="4511" spans="28:32" x14ac:dyDescent="0.25">
      <c r="AB4511" s="167" t="s">
        <v>3098</v>
      </c>
      <c r="AC4511" s="167">
        <v>340</v>
      </c>
      <c r="AD4511" s="203">
        <v>43133</v>
      </c>
      <c r="AE4511" s="203">
        <v>43168</v>
      </c>
      <c r="AF4511" s="167" t="s">
        <v>3470</v>
      </c>
    </row>
    <row r="4512" spans="28:32" x14ac:dyDescent="0.25">
      <c r="AB4512" s="167" t="s">
        <v>3098</v>
      </c>
      <c r="AC4512" s="167">
        <v>374</v>
      </c>
      <c r="AD4512" s="203">
        <v>43195</v>
      </c>
      <c r="AE4512" s="203">
        <v>0</v>
      </c>
      <c r="AF4512" s="167" t="s">
        <v>3469</v>
      </c>
    </row>
    <row r="4513" spans="28:32" x14ac:dyDescent="0.25">
      <c r="AB4513" s="167" t="s">
        <v>3100</v>
      </c>
      <c r="AC4513" s="167">
        <v>323</v>
      </c>
      <c r="AD4513" s="203">
        <v>43074</v>
      </c>
      <c r="AE4513" s="203">
        <v>43111</v>
      </c>
      <c r="AF4513" s="167" t="s">
        <v>3470</v>
      </c>
    </row>
    <row r="4514" spans="28:32" x14ac:dyDescent="0.25">
      <c r="AB4514" s="167" t="s">
        <v>3100</v>
      </c>
      <c r="AC4514" s="167">
        <v>340</v>
      </c>
      <c r="AD4514" s="203">
        <v>43133</v>
      </c>
      <c r="AE4514" s="203">
        <v>43168</v>
      </c>
      <c r="AF4514" s="167" t="s">
        <v>3470</v>
      </c>
    </row>
    <row r="4515" spans="28:32" x14ac:dyDescent="0.25">
      <c r="AB4515" s="167" t="s">
        <v>3100</v>
      </c>
      <c r="AC4515" s="167">
        <v>374</v>
      </c>
      <c r="AD4515" s="203">
        <v>43195</v>
      </c>
      <c r="AE4515" s="203">
        <v>0</v>
      </c>
      <c r="AF4515" s="167" t="s">
        <v>3469</v>
      </c>
    </row>
    <row r="4516" spans="28:32" x14ac:dyDescent="0.25">
      <c r="AB4516" s="167" t="s">
        <v>3102</v>
      </c>
      <c r="AC4516" s="167">
        <v>323</v>
      </c>
      <c r="AD4516" s="203">
        <v>43074</v>
      </c>
      <c r="AE4516" s="203">
        <v>43111</v>
      </c>
      <c r="AF4516" s="167" t="s">
        <v>3470</v>
      </c>
    </row>
    <row r="4517" spans="28:32" x14ac:dyDescent="0.25">
      <c r="AB4517" s="167" t="s">
        <v>3102</v>
      </c>
      <c r="AC4517" s="167">
        <v>335</v>
      </c>
      <c r="AD4517" s="203">
        <v>43133</v>
      </c>
      <c r="AE4517" s="203">
        <v>43147</v>
      </c>
      <c r="AF4517" s="167" t="s">
        <v>3470</v>
      </c>
    </row>
    <row r="4518" spans="28:32" x14ac:dyDescent="0.25">
      <c r="AB4518" s="167" t="s">
        <v>3102</v>
      </c>
      <c r="AC4518" s="167">
        <v>374</v>
      </c>
      <c r="AD4518" s="203">
        <v>43195</v>
      </c>
      <c r="AE4518" s="203">
        <v>0</v>
      </c>
      <c r="AF4518" s="167" t="s">
        <v>3469</v>
      </c>
    </row>
    <row r="4519" spans="28:32" x14ac:dyDescent="0.25">
      <c r="AB4519" s="167" t="s">
        <v>3104</v>
      </c>
      <c r="AC4519" s="167">
        <v>323</v>
      </c>
      <c r="AD4519" s="203">
        <v>43074</v>
      </c>
      <c r="AE4519" s="203">
        <v>43111</v>
      </c>
      <c r="AF4519" s="167" t="s">
        <v>3470</v>
      </c>
    </row>
    <row r="4520" spans="28:32" x14ac:dyDescent="0.25">
      <c r="AB4520" s="167" t="s">
        <v>3104</v>
      </c>
      <c r="AC4520" s="167">
        <v>323</v>
      </c>
      <c r="AD4520" s="203">
        <v>43074</v>
      </c>
      <c r="AE4520" s="203">
        <v>43111</v>
      </c>
      <c r="AF4520" s="167" t="s">
        <v>3470</v>
      </c>
    </row>
    <row r="4521" spans="28:32" x14ac:dyDescent="0.25">
      <c r="AB4521" s="167" t="s">
        <v>3104</v>
      </c>
      <c r="AC4521" s="167">
        <v>353</v>
      </c>
      <c r="AD4521" s="203">
        <v>43180</v>
      </c>
      <c r="AE4521" s="203">
        <v>0</v>
      </c>
      <c r="AF4521" s="167" t="s">
        <v>3469</v>
      </c>
    </row>
    <row r="4522" spans="28:32" x14ac:dyDescent="0.25">
      <c r="AB4522" s="167" t="s">
        <v>3105</v>
      </c>
      <c r="AC4522" s="167">
        <v>340</v>
      </c>
      <c r="AD4522" s="203">
        <v>43133</v>
      </c>
      <c r="AE4522" s="203">
        <v>43168</v>
      </c>
      <c r="AF4522" s="167" t="s">
        <v>3470</v>
      </c>
    </row>
    <row r="4523" spans="28:32" x14ac:dyDescent="0.25">
      <c r="AB4523" s="167" t="s">
        <v>3547</v>
      </c>
      <c r="AC4523" s="167">
        <v>342</v>
      </c>
      <c r="AD4523" s="203">
        <v>43125</v>
      </c>
      <c r="AE4523" s="203">
        <v>43160</v>
      </c>
      <c r="AF4523" s="167" t="s">
        <v>3470</v>
      </c>
    </row>
    <row r="4524" spans="28:32" x14ac:dyDescent="0.25">
      <c r="AB4524" s="167" t="s">
        <v>3107</v>
      </c>
      <c r="AC4524" s="167">
        <v>323</v>
      </c>
      <c r="AD4524" s="203">
        <v>43074</v>
      </c>
      <c r="AE4524" s="203">
        <v>43111</v>
      </c>
      <c r="AF4524" s="167" t="s">
        <v>3470</v>
      </c>
    </row>
    <row r="4525" spans="28:32" x14ac:dyDescent="0.25">
      <c r="AB4525" s="167" t="s">
        <v>3107</v>
      </c>
      <c r="AC4525" s="167">
        <v>327</v>
      </c>
      <c r="AD4525" s="203">
        <v>43074</v>
      </c>
      <c r="AE4525" s="203">
        <v>43131</v>
      </c>
      <c r="AF4525" s="167" t="s">
        <v>3470</v>
      </c>
    </row>
    <row r="4526" spans="28:32" x14ac:dyDescent="0.25">
      <c r="AB4526" s="167" t="s">
        <v>3107</v>
      </c>
      <c r="AC4526" s="167">
        <v>374</v>
      </c>
      <c r="AD4526" s="203">
        <v>43195</v>
      </c>
      <c r="AE4526" s="203">
        <v>0</v>
      </c>
      <c r="AF4526" s="167" t="s">
        <v>3469</v>
      </c>
    </row>
    <row r="4527" spans="28:32" x14ac:dyDescent="0.25">
      <c r="AB4527" s="167" t="s">
        <v>3109</v>
      </c>
      <c r="AC4527" s="167">
        <v>357</v>
      </c>
      <c r="AD4527" s="203">
        <v>43139</v>
      </c>
      <c r="AE4527" s="203">
        <v>43164</v>
      </c>
      <c r="AF4527" s="167" t="s">
        <v>3470</v>
      </c>
    </row>
    <row r="4528" spans="28:32" x14ac:dyDescent="0.25">
      <c r="AB4528" s="167" t="s">
        <v>3109</v>
      </c>
      <c r="AC4528" s="167">
        <v>364</v>
      </c>
      <c r="AD4528" s="203">
        <v>43168</v>
      </c>
      <c r="AE4528" s="203">
        <v>43179</v>
      </c>
      <c r="AF4528" s="167" t="s">
        <v>3470</v>
      </c>
    </row>
    <row r="4529" spans="28:32" x14ac:dyDescent="0.25">
      <c r="AB4529" s="167" t="s">
        <v>3109</v>
      </c>
      <c r="AC4529" s="167">
        <v>353</v>
      </c>
      <c r="AD4529" s="203">
        <v>43180</v>
      </c>
      <c r="AE4529" s="203">
        <v>0</v>
      </c>
      <c r="AF4529" s="167" t="s">
        <v>3469</v>
      </c>
    </row>
    <row r="4530" spans="28:32" x14ac:dyDescent="0.25">
      <c r="AB4530" s="167" t="s">
        <v>3109</v>
      </c>
      <c r="AC4530" s="167">
        <v>353</v>
      </c>
      <c r="AD4530" s="203">
        <v>43180</v>
      </c>
      <c r="AE4530" s="203">
        <v>0</v>
      </c>
      <c r="AF4530" s="167" t="s">
        <v>3469</v>
      </c>
    </row>
    <row r="4531" spans="28:32" x14ac:dyDescent="0.25">
      <c r="AB4531" s="167" t="s">
        <v>3109</v>
      </c>
      <c r="AC4531" s="167">
        <v>353</v>
      </c>
      <c r="AD4531" s="203">
        <v>43180</v>
      </c>
      <c r="AE4531" s="203">
        <v>0</v>
      </c>
      <c r="AF4531" s="167" t="s">
        <v>3469</v>
      </c>
    </row>
    <row r="4532" spans="28:32" x14ac:dyDescent="0.25">
      <c r="AB4532" s="167" t="s">
        <v>3109</v>
      </c>
      <c r="AC4532" s="167">
        <v>353</v>
      </c>
      <c r="AD4532" s="203">
        <v>43180</v>
      </c>
      <c r="AE4532" s="203">
        <v>0</v>
      </c>
      <c r="AF4532" s="167" t="s">
        <v>3469</v>
      </c>
    </row>
    <row r="4533" spans="28:32" x14ac:dyDescent="0.25">
      <c r="AB4533" s="167" t="s">
        <v>3110</v>
      </c>
      <c r="AC4533" s="167">
        <v>357</v>
      </c>
      <c r="AD4533" s="203">
        <v>43139</v>
      </c>
      <c r="AE4533" s="203">
        <v>43164</v>
      </c>
      <c r="AF4533" s="167" t="s">
        <v>3470</v>
      </c>
    </row>
    <row r="4534" spans="28:32" x14ac:dyDescent="0.25">
      <c r="AB4534" s="167" t="s">
        <v>3110</v>
      </c>
      <c r="AC4534" s="167">
        <v>353</v>
      </c>
      <c r="AD4534" s="203">
        <v>43180</v>
      </c>
      <c r="AE4534" s="203">
        <v>0</v>
      </c>
      <c r="AF4534" s="167" t="s">
        <v>3469</v>
      </c>
    </row>
    <row r="4535" spans="28:32" x14ac:dyDescent="0.25">
      <c r="AB4535" s="167" t="s">
        <v>3110</v>
      </c>
      <c r="AC4535" s="167">
        <v>374</v>
      </c>
      <c r="AD4535" s="203">
        <v>43195</v>
      </c>
      <c r="AE4535" s="203">
        <v>0</v>
      </c>
      <c r="AF4535" s="167" t="s">
        <v>3469</v>
      </c>
    </row>
    <row r="4536" spans="28:32" x14ac:dyDescent="0.25">
      <c r="AB4536" s="167" t="s">
        <v>3111</v>
      </c>
      <c r="AC4536" s="167">
        <v>342</v>
      </c>
      <c r="AD4536" s="203">
        <v>43125</v>
      </c>
      <c r="AE4536" s="203">
        <v>43160</v>
      </c>
      <c r="AF4536" s="167" t="s">
        <v>3470</v>
      </c>
    </row>
    <row r="4537" spans="28:32" x14ac:dyDescent="0.25">
      <c r="AB4537" s="167" t="s">
        <v>3113</v>
      </c>
      <c r="AC4537" s="167">
        <v>364</v>
      </c>
      <c r="AD4537" s="203">
        <v>43168</v>
      </c>
      <c r="AE4537" s="203">
        <v>43179</v>
      </c>
      <c r="AF4537" s="167" t="s">
        <v>3470</v>
      </c>
    </row>
    <row r="4538" spans="28:32" x14ac:dyDescent="0.25">
      <c r="AB4538" s="167" t="s">
        <v>3113</v>
      </c>
      <c r="AC4538" s="167">
        <v>353</v>
      </c>
      <c r="AD4538" s="203">
        <v>43180</v>
      </c>
      <c r="AE4538" s="203">
        <v>0</v>
      </c>
      <c r="AF4538" s="167" t="s">
        <v>3469</v>
      </c>
    </row>
    <row r="4539" spans="28:32" x14ac:dyDescent="0.25">
      <c r="AB4539" s="167" t="s">
        <v>3114</v>
      </c>
      <c r="AC4539" s="167">
        <v>342</v>
      </c>
      <c r="AD4539" s="203">
        <v>43125</v>
      </c>
      <c r="AE4539" s="203">
        <v>43160</v>
      </c>
      <c r="AF4539" s="167" t="s">
        <v>3470</v>
      </c>
    </row>
    <row r="4540" spans="28:32" x14ac:dyDescent="0.25">
      <c r="AB4540" s="167" t="s">
        <v>3115</v>
      </c>
      <c r="AC4540" s="167">
        <v>342</v>
      </c>
      <c r="AD4540" s="203">
        <v>43125</v>
      </c>
      <c r="AE4540" s="203">
        <v>43160</v>
      </c>
      <c r="AF4540" s="167" t="s">
        <v>3470</v>
      </c>
    </row>
    <row r="4541" spans="28:32" x14ac:dyDescent="0.25">
      <c r="AB4541" s="167" t="s">
        <v>3116</v>
      </c>
      <c r="AC4541" s="167">
        <v>342</v>
      </c>
      <c r="AD4541" s="203">
        <v>43125</v>
      </c>
      <c r="AE4541" s="203">
        <v>43160</v>
      </c>
      <c r="AF4541" s="167" t="s">
        <v>3470</v>
      </c>
    </row>
    <row r="4542" spans="28:32" x14ac:dyDescent="0.25">
      <c r="AB4542" s="167" t="s">
        <v>3117</v>
      </c>
      <c r="AC4542" s="167">
        <v>342</v>
      </c>
      <c r="AD4542" s="203">
        <v>43125</v>
      </c>
      <c r="AE4542" s="203">
        <v>43160</v>
      </c>
      <c r="AF4542" s="167" t="s">
        <v>3470</v>
      </c>
    </row>
    <row r="4543" spans="28:32" x14ac:dyDescent="0.25">
      <c r="AB4543" s="167" t="s">
        <v>3118</v>
      </c>
      <c r="AC4543" s="167">
        <v>342</v>
      </c>
      <c r="AD4543" s="203">
        <v>43125</v>
      </c>
      <c r="AE4543" s="203">
        <v>43160</v>
      </c>
      <c r="AF4543" s="167" t="s">
        <v>3470</v>
      </c>
    </row>
    <row r="4544" spans="28:32" x14ac:dyDescent="0.25">
      <c r="AB4544" s="167" t="s">
        <v>3119</v>
      </c>
      <c r="AC4544" s="167">
        <v>342</v>
      </c>
      <c r="AD4544" s="203">
        <v>43125</v>
      </c>
      <c r="AE4544" s="203">
        <v>43160</v>
      </c>
      <c r="AF4544" s="167" t="s">
        <v>3470</v>
      </c>
    </row>
    <row r="4545" spans="28:32" x14ac:dyDescent="0.25">
      <c r="AB4545" s="167" t="s">
        <v>3120</v>
      </c>
      <c r="AC4545" s="167">
        <v>342</v>
      </c>
      <c r="AD4545" s="203">
        <v>43125</v>
      </c>
      <c r="AE4545" s="203">
        <v>43160</v>
      </c>
      <c r="AF4545" s="167" t="s">
        <v>3470</v>
      </c>
    </row>
    <row r="4546" spans="28:32" x14ac:dyDescent="0.25">
      <c r="AB4546" s="167" t="s">
        <v>3121</v>
      </c>
      <c r="AC4546" s="167">
        <v>342</v>
      </c>
      <c r="AD4546" s="203">
        <v>43125</v>
      </c>
      <c r="AE4546" s="203">
        <v>43160</v>
      </c>
      <c r="AF4546" s="167" t="s">
        <v>3470</v>
      </c>
    </row>
    <row r="4547" spans="28:32" x14ac:dyDescent="0.25">
      <c r="AB4547" s="167" t="s">
        <v>3122</v>
      </c>
      <c r="AC4547" s="167">
        <v>342</v>
      </c>
      <c r="AD4547" s="203">
        <v>43125</v>
      </c>
      <c r="AE4547" s="203">
        <v>43160</v>
      </c>
      <c r="AF4547" s="167" t="s">
        <v>3470</v>
      </c>
    </row>
    <row r="4548" spans="28:32" x14ac:dyDescent="0.25">
      <c r="AB4548" s="167" t="s">
        <v>3123</v>
      </c>
      <c r="AC4548" s="167">
        <v>342</v>
      </c>
      <c r="AD4548" s="203">
        <v>43125</v>
      </c>
      <c r="AE4548" s="203">
        <v>43160</v>
      </c>
      <c r="AF4548" s="167" t="s">
        <v>3470</v>
      </c>
    </row>
    <row r="4549" spans="28:32" x14ac:dyDescent="0.25">
      <c r="AB4549" s="167" t="s">
        <v>3124</v>
      </c>
      <c r="AC4549" s="167">
        <v>342</v>
      </c>
      <c r="AD4549" s="203">
        <v>43125</v>
      </c>
      <c r="AE4549" s="203">
        <v>43160</v>
      </c>
      <c r="AF4549" s="167" t="s">
        <v>3470</v>
      </c>
    </row>
    <row r="4550" spans="28:32" x14ac:dyDescent="0.25">
      <c r="AB4550" s="167" t="s">
        <v>3125</v>
      </c>
      <c r="AC4550" s="167">
        <v>342</v>
      </c>
      <c r="AD4550" s="203">
        <v>43125</v>
      </c>
      <c r="AE4550" s="203">
        <v>43160</v>
      </c>
      <c r="AF4550" s="167" t="s">
        <v>3470</v>
      </c>
    </row>
    <row r="4551" spans="28:32" x14ac:dyDescent="0.25">
      <c r="AB4551" s="167" t="s">
        <v>3126</v>
      </c>
      <c r="AC4551" s="167">
        <v>342</v>
      </c>
      <c r="AD4551" s="203">
        <v>43125</v>
      </c>
      <c r="AE4551" s="203">
        <v>43160</v>
      </c>
      <c r="AF4551" s="167" t="s">
        <v>3470</v>
      </c>
    </row>
    <row r="4552" spans="28:32" x14ac:dyDescent="0.25">
      <c r="AB4552" s="167" t="s">
        <v>3127</v>
      </c>
      <c r="AC4552" s="167">
        <v>342</v>
      </c>
      <c r="AD4552" s="203">
        <v>43125</v>
      </c>
      <c r="AE4552" s="203">
        <v>43160</v>
      </c>
      <c r="AF4552" s="167" t="s">
        <v>3470</v>
      </c>
    </row>
    <row r="4553" spans="28:32" x14ac:dyDescent="0.25">
      <c r="AB4553" s="167" t="s">
        <v>3128</v>
      </c>
      <c r="AC4553" s="167">
        <v>342</v>
      </c>
      <c r="AD4553" s="203">
        <v>43125</v>
      </c>
      <c r="AE4553" s="203">
        <v>43160</v>
      </c>
      <c r="AF4553" s="167" t="s">
        <v>3470</v>
      </c>
    </row>
    <row r="4554" spans="28:32" x14ac:dyDescent="0.25">
      <c r="AB4554" s="167" t="s">
        <v>3129</v>
      </c>
      <c r="AC4554" s="167">
        <v>342</v>
      </c>
      <c r="AD4554" s="203">
        <v>43125</v>
      </c>
      <c r="AE4554" s="203">
        <v>43160</v>
      </c>
      <c r="AF4554" s="167" t="s">
        <v>3470</v>
      </c>
    </row>
    <row r="4555" spans="28:32" x14ac:dyDescent="0.25">
      <c r="AB4555" s="167" t="s">
        <v>3130</v>
      </c>
      <c r="AC4555" s="167">
        <v>342</v>
      </c>
      <c r="AD4555" s="203">
        <v>43125</v>
      </c>
      <c r="AE4555" s="203">
        <v>43160</v>
      </c>
      <c r="AF4555" s="167" t="s">
        <v>3470</v>
      </c>
    </row>
    <row r="4556" spans="28:32" x14ac:dyDescent="0.25">
      <c r="AB4556" s="167" t="s">
        <v>3548</v>
      </c>
      <c r="AC4556" s="167">
        <v>342</v>
      </c>
      <c r="AD4556" s="203">
        <v>43125</v>
      </c>
      <c r="AE4556" s="203">
        <v>43160</v>
      </c>
      <c r="AF4556" s="167" t="s">
        <v>3470</v>
      </c>
    </row>
    <row r="4557" spans="28:32" x14ac:dyDescent="0.25">
      <c r="AB4557" s="167" t="s">
        <v>3131</v>
      </c>
      <c r="AC4557" s="167">
        <v>342</v>
      </c>
      <c r="AD4557" s="203">
        <v>43125</v>
      </c>
      <c r="AE4557" s="203">
        <v>43160</v>
      </c>
      <c r="AF4557" s="167" t="s">
        <v>3470</v>
      </c>
    </row>
    <row r="4558" spans="28:32" x14ac:dyDescent="0.25">
      <c r="AB4558" s="167" t="s">
        <v>3549</v>
      </c>
      <c r="AC4558" s="167">
        <v>342</v>
      </c>
      <c r="AD4558" s="203">
        <v>43125</v>
      </c>
      <c r="AE4558" s="203">
        <v>43160</v>
      </c>
      <c r="AF4558" s="167" t="s">
        <v>3470</v>
      </c>
    </row>
    <row r="4559" spans="28:32" x14ac:dyDescent="0.25">
      <c r="AB4559" s="167" t="s">
        <v>3132</v>
      </c>
      <c r="AC4559" s="167">
        <v>342</v>
      </c>
      <c r="AD4559" s="203">
        <v>43125</v>
      </c>
      <c r="AE4559" s="203">
        <v>43160</v>
      </c>
      <c r="AF4559" s="167" t="s">
        <v>3470</v>
      </c>
    </row>
    <row r="4560" spans="28:32" x14ac:dyDescent="0.25">
      <c r="AB4560" s="167" t="s">
        <v>3132</v>
      </c>
      <c r="AC4560" s="167">
        <v>342</v>
      </c>
      <c r="AD4560" s="203">
        <v>43125</v>
      </c>
      <c r="AE4560" s="203">
        <v>43160</v>
      </c>
      <c r="AF4560" s="167" t="s">
        <v>3470</v>
      </c>
    </row>
    <row r="4561" spans="28:32" x14ac:dyDescent="0.25">
      <c r="AB4561" s="167" t="s">
        <v>3133</v>
      </c>
      <c r="AC4561" s="167">
        <v>342</v>
      </c>
      <c r="AD4561" s="203">
        <v>43125</v>
      </c>
      <c r="AE4561" s="203">
        <v>43160</v>
      </c>
      <c r="AF4561" s="167" t="s">
        <v>3470</v>
      </c>
    </row>
    <row r="4562" spans="28:32" x14ac:dyDescent="0.25">
      <c r="AB4562" s="167" t="s">
        <v>3133</v>
      </c>
      <c r="AC4562" s="167">
        <v>342</v>
      </c>
      <c r="AD4562" s="203">
        <v>43125</v>
      </c>
      <c r="AE4562" s="203">
        <v>43160</v>
      </c>
      <c r="AF4562" s="167" t="s">
        <v>3470</v>
      </c>
    </row>
    <row r="4563" spans="28:32" x14ac:dyDescent="0.25">
      <c r="AB4563" s="167" t="s">
        <v>3550</v>
      </c>
      <c r="AC4563" s="167">
        <v>342</v>
      </c>
      <c r="AD4563" s="203">
        <v>43125</v>
      </c>
      <c r="AE4563" s="203">
        <v>43160</v>
      </c>
      <c r="AF4563" s="167" t="s">
        <v>3470</v>
      </c>
    </row>
    <row r="4564" spans="28:32" x14ac:dyDescent="0.25">
      <c r="AB4564" s="167" t="s">
        <v>3550</v>
      </c>
      <c r="AC4564" s="167">
        <v>342</v>
      </c>
      <c r="AD4564" s="203">
        <v>43125</v>
      </c>
      <c r="AE4564" s="203">
        <v>43160</v>
      </c>
      <c r="AF4564" s="167" t="s">
        <v>3470</v>
      </c>
    </row>
    <row r="4565" spans="28:32" x14ac:dyDescent="0.25">
      <c r="AB4565" s="167" t="s">
        <v>3551</v>
      </c>
      <c r="AC4565" s="167">
        <v>342</v>
      </c>
      <c r="AD4565" s="203">
        <v>43125</v>
      </c>
      <c r="AE4565" s="203">
        <v>43160</v>
      </c>
      <c r="AF4565" s="167" t="s">
        <v>3470</v>
      </c>
    </row>
    <row r="4566" spans="28:32" x14ac:dyDescent="0.25">
      <c r="AB4566" s="167" t="s">
        <v>3551</v>
      </c>
      <c r="AC4566" s="167">
        <v>342</v>
      </c>
      <c r="AD4566" s="203">
        <v>43125</v>
      </c>
      <c r="AE4566" s="203">
        <v>43160</v>
      </c>
      <c r="AF4566" s="167" t="s">
        <v>3470</v>
      </c>
    </row>
    <row r="4567" spans="28:32" x14ac:dyDescent="0.25">
      <c r="AB4567" s="167" t="s">
        <v>3134</v>
      </c>
      <c r="AC4567" s="167">
        <v>342</v>
      </c>
      <c r="AD4567" s="203">
        <v>43125</v>
      </c>
      <c r="AE4567" s="203">
        <v>43160</v>
      </c>
      <c r="AF4567" s="167" t="s">
        <v>3470</v>
      </c>
    </row>
    <row r="4568" spans="28:32" x14ac:dyDescent="0.25">
      <c r="AB4568" s="167" t="s">
        <v>3136</v>
      </c>
      <c r="AC4568" s="167">
        <v>347</v>
      </c>
      <c r="AD4568" s="203">
        <v>43118</v>
      </c>
      <c r="AE4568" s="203">
        <v>43133</v>
      </c>
      <c r="AF4568" s="167" t="s">
        <v>3470</v>
      </c>
    </row>
    <row r="4569" spans="28:32" x14ac:dyDescent="0.25">
      <c r="AB4569" s="167" t="s">
        <v>3136</v>
      </c>
      <c r="AC4569" s="167">
        <v>340</v>
      </c>
      <c r="AD4569" s="203">
        <v>43133</v>
      </c>
      <c r="AE4569" s="203">
        <v>43168</v>
      </c>
      <c r="AF4569" s="167" t="s">
        <v>3470</v>
      </c>
    </row>
    <row r="4570" spans="28:32" x14ac:dyDescent="0.25">
      <c r="AB4570" s="167" t="s">
        <v>3136</v>
      </c>
      <c r="AC4570" s="167">
        <v>340</v>
      </c>
      <c r="AD4570" s="203">
        <v>43133</v>
      </c>
      <c r="AE4570" s="203">
        <v>43168</v>
      </c>
      <c r="AF4570" s="167" t="s">
        <v>3470</v>
      </c>
    </row>
    <row r="4571" spans="28:32" x14ac:dyDescent="0.25">
      <c r="AB4571" s="167" t="s">
        <v>3136</v>
      </c>
      <c r="AC4571" s="167">
        <v>364</v>
      </c>
      <c r="AD4571" s="203">
        <v>43168</v>
      </c>
      <c r="AE4571" s="203">
        <v>43179</v>
      </c>
      <c r="AF4571" s="167" t="s">
        <v>3470</v>
      </c>
    </row>
    <row r="4572" spans="28:32" x14ac:dyDescent="0.25">
      <c r="AB4572" s="167" t="s">
        <v>3136</v>
      </c>
      <c r="AC4572" s="167">
        <v>353</v>
      </c>
      <c r="AD4572" s="203">
        <v>43180</v>
      </c>
      <c r="AE4572" s="203">
        <v>0</v>
      </c>
      <c r="AF4572" s="167" t="s">
        <v>3469</v>
      </c>
    </row>
    <row r="4573" spans="28:32" x14ac:dyDescent="0.25">
      <c r="AB4573" s="167" t="s">
        <v>3136</v>
      </c>
      <c r="AC4573" s="167">
        <v>353</v>
      </c>
      <c r="AD4573" s="203">
        <v>43180</v>
      </c>
      <c r="AE4573" s="203">
        <v>0</v>
      </c>
      <c r="AF4573" s="167" t="s">
        <v>3469</v>
      </c>
    </row>
    <row r="4574" spans="28:32" x14ac:dyDescent="0.25">
      <c r="AB4574" s="167" t="s">
        <v>3136</v>
      </c>
      <c r="AC4574" s="167">
        <v>353</v>
      </c>
      <c r="AD4574" s="203">
        <v>43180</v>
      </c>
      <c r="AE4574" s="203">
        <v>0</v>
      </c>
      <c r="AF4574" s="167" t="s">
        <v>3469</v>
      </c>
    </row>
    <row r="4575" spans="28:32" x14ac:dyDescent="0.25">
      <c r="AB4575" s="167" t="s">
        <v>3136</v>
      </c>
      <c r="AC4575" s="167">
        <v>353</v>
      </c>
      <c r="AD4575" s="203">
        <v>43180</v>
      </c>
      <c r="AE4575" s="203">
        <v>0</v>
      </c>
      <c r="AF4575" s="167" t="s">
        <v>3469</v>
      </c>
    </row>
    <row r="4576" spans="28:32" x14ac:dyDescent="0.25">
      <c r="AB4576" s="167" t="s">
        <v>3136</v>
      </c>
      <c r="AC4576" s="167">
        <v>353</v>
      </c>
      <c r="AD4576" s="203">
        <v>43180</v>
      </c>
      <c r="AE4576" s="203">
        <v>0</v>
      </c>
      <c r="AF4576" s="167" t="s">
        <v>3469</v>
      </c>
    </row>
    <row r="4577" spans="28:32" x14ac:dyDescent="0.25">
      <c r="AB4577" s="167" t="s">
        <v>3444</v>
      </c>
      <c r="AC4577" s="167">
        <v>364</v>
      </c>
      <c r="AD4577" s="203">
        <v>43168</v>
      </c>
      <c r="AE4577" s="203">
        <v>43179</v>
      </c>
      <c r="AF4577" s="167" t="s">
        <v>3470</v>
      </c>
    </row>
    <row r="4578" spans="28:32" x14ac:dyDescent="0.25">
      <c r="AB4578" s="167" t="s">
        <v>3444</v>
      </c>
      <c r="AC4578" s="167">
        <v>353</v>
      </c>
      <c r="AD4578" s="203">
        <v>43180</v>
      </c>
      <c r="AE4578" s="203">
        <v>0</v>
      </c>
      <c r="AF4578" s="167" t="s">
        <v>3469</v>
      </c>
    </row>
    <row r="4579" spans="28:32" x14ac:dyDescent="0.25">
      <c r="AB4579" s="167" t="s">
        <v>3137</v>
      </c>
      <c r="AC4579" s="167">
        <v>342</v>
      </c>
      <c r="AD4579" s="203">
        <v>43125</v>
      </c>
      <c r="AE4579" s="203">
        <v>43160</v>
      </c>
      <c r="AF4579" s="167" t="s">
        <v>3470</v>
      </c>
    </row>
    <row r="4580" spans="28:32" x14ac:dyDescent="0.25">
      <c r="AB4580" s="167" t="s">
        <v>3552</v>
      </c>
      <c r="AC4580" s="167">
        <v>342</v>
      </c>
      <c r="AD4580" s="203">
        <v>43125</v>
      </c>
      <c r="AE4580" s="203">
        <v>43160</v>
      </c>
      <c r="AF4580" s="167" t="s">
        <v>3470</v>
      </c>
    </row>
    <row r="4581" spans="28:32" x14ac:dyDescent="0.25">
      <c r="AB4581" s="167" t="s">
        <v>3138</v>
      </c>
      <c r="AC4581" s="167">
        <v>323</v>
      </c>
      <c r="AD4581" s="203">
        <v>43074</v>
      </c>
      <c r="AE4581" s="203">
        <v>43111</v>
      </c>
      <c r="AF4581" s="167" t="s">
        <v>3470</v>
      </c>
    </row>
    <row r="4582" spans="28:32" x14ac:dyDescent="0.25">
      <c r="AB4582" s="167" t="s">
        <v>3138</v>
      </c>
      <c r="AC4582" s="167">
        <v>347</v>
      </c>
      <c r="AD4582" s="203">
        <v>43118</v>
      </c>
      <c r="AE4582" s="203">
        <v>43133</v>
      </c>
      <c r="AF4582" s="167" t="s">
        <v>3470</v>
      </c>
    </row>
    <row r="4583" spans="28:32" x14ac:dyDescent="0.25">
      <c r="AB4583" s="167" t="s">
        <v>3138</v>
      </c>
      <c r="AC4583" s="167">
        <v>340</v>
      </c>
      <c r="AD4583" s="203">
        <v>43133</v>
      </c>
      <c r="AE4583" s="203">
        <v>43168</v>
      </c>
      <c r="AF4583" s="167" t="s">
        <v>3470</v>
      </c>
    </row>
    <row r="4584" spans="28:32" x14ac:dyDescent="0.25">
      <c r="AB4584" s="167" t="s">
        <v>3138</v>
      </c>
      <c r="AC4584" s="167">
        <v>340</v>
      </c>
      <c r="AD4584" s="203">
        <v>43133</v>
      </c>
      <c r="AE4584" s="203">
        <v>43168</v>
      </c>
      <c r="AF4584" s="167" t="s">
        <v>3470</v>
      </c>
    </row>
    <row r="4585" spans="28:32" x14ac:dyDescent="0.25">
      <c r="AB4585" s="167" t="s">
        <v>3138</v>
      </c>
      <c r="AC4585" s="167">
        <v>357</v>
      </c>
      <c r="AD4585" s="203">
        <v>43139</v>
      </c>
      <c r="AE4585" s="203">
        <v>43164</v>
      </c>
      <c r="AF4585" s="167" t="s">
        <v>3470</v>
      </c>
    </row>
    <row r="4586" spans="28:32" x14ac:dyDescent="0.25">
      <c r="AB4586" s="167" t="s">
        <v>3138</v>
      </c>
      <c r="AC4586" s="167">
        <v>364</v>
      </c>
      <c r="AD4586" s="203">
        <v>43168</v>
      </c>
      <c r="AE4586" s="203">
        <v>43179</v>
      </c>
      <c r="AF4586" s="167" t="s">
        <v>3470</v>
      </c>
    </row>
    <row r="4587" spans="28:32" x14ac:dyDescent="0.25">
      <c r="AB4587" s="167" t="s">
        <v>3138</v>
      </c>
      <c r="AC4587" s="167">
        <v>353</v>
      </c>
      <c r="AD4587" s="203">
        <v>43180</v>
      </c>
      <c r="AE4587" s="203">
        <v>0</v>
      </c>
      <c r="AF4587" s="167" t="s">
        <v>3469</v>
      </c>
    </row>
    <row r="4588" spans="28:32" x14ac:dyDescent="0.25">
      <c r="AB4588" s="167" t="s">
        <v>3138</v>
      </c>
      <c r="AC4588" s="167">
        <v>353</v>
      </c>
      <c r="AD4588" s="203">
        <v>43180</v>
      </c>
      <c r="AE4588" s="203">
        <v>0</v>
      </c>
      <c r="AF4588" s="167" t="s">
        <v>3469</v>
      </c>
    </row>
    <row r="4589" spans="28:32" x14ac:dyDescent="0.25">
      <c r="AB4589" s="167" t="s">
        <v>3138</v>
      </c>
      <c r="AC4589" s="167">
        <v>353</v>
      </c>
      <c r="AD4589" s="203">
        <v>43180</v>
      </c>
      <c r="AE4589" s="203">
        <v>0</v>
      </c>
      <c r="AF4589" s="167" t="s">
        <v>3469</v>
      </c>
    </row>
    <row r="4590" spans="28:32" x14ac:dyDescent="0.25">
      <c r="AB4590" s="167" t="s">
        <v>3139</v>
      </c>
      <c r="AC4590" s="167">
        <v>364</v>
      </c>
      <c r="AD4590" s="203">
        <v>43168</v>
      </c>
      <c r="AE4590" s="203">
        <v>43179</v>
      </c>
      <c r="AF4590" s="167" t="s">
        <v>3470</v>
      </c>
    </row>
    <row r="4591" spans="28:32" x14ac:dyDescent="0.25">
      <c r="AB4591" s="167" t="s">
        <v>3139</v>
      </c>
      <c r="AC4591" s="167">
        <v>353</v>
      </c>
      <c r="AD4591" s="203">
        <v>43180</v>
      </c>
      <c r="AE4591" s="203">
        <v>0</v>
      </c>
      <c r="AF4591" s="167" t="s">
        <v>3469</v>
      </c>
    </row>
    <row r="4592" spans="28:32" x14ac:dyDescent="0.25">
      <c r="AB4592" s="167" t="s">
        <v>3141</v>
      </c>
      <c r="AC4592" s="167">
        <v>357</v>
      </c>
      <c r="AD4592" s="203">
        <v>43139</v>
      </c>
      <c r="AE4592" s="203">
        <v>43164</v>
      </c>
      <c r="AF4592" s="167" t="s">
        <v>3470</v>
      </c>
    </row>
    <row r="4593" spans="28:32" x14ac:dyDescent="0.25">
      <c r="AB4593" s="167" t="s">
        <v>3141</v>
      </c>
      <c r="AC4593" s="167">
        <v>364</v>
      </c>
      <c r="AD4593" s="203">
        <v>43168</v>
      </c>
      <c r="AE4593" s="203">
        <v>43179</v>
      </c>
      <c r="AF4593" s="167" t="s">
        <v>3470</v>
      </c>
    </row>
    <row r="4594" spans="28:32" x14ac:dyDescent="0.25">
      <c r="AB4594" s="167" t="s">
        <v>3141</v>
      </c>
      <c r="AC4594" s="167">
        <v>353</v>
      </c>
      <c r="AD4594" s="203">
        <v>43180</v>
      </c>
      <c r="AE4594" s="203">
        <v>0</v>
      </c>
      <c r="AF4594" s="167" t="s">
        <v>3469</v>
      </c>
    </row>
    <row r="4595" spans="28:32" x14ac:dyDescent="0.25">
      <c r="AB4595" s="167" t="s">
        <v>3141</v>
      </c>
      <c r="AC4595" s="167">
        <v>353</v>
      </c>
      <c r="AD4595" s="203">
        <v>43180</v>
      </c>
      <c r="AE4595" s="203">
        <v>0</v>
      </c>
      <c r="AF4595" s="167" t="s">
        <v>3469</v>
      </c>
    </row>
    <row r="4596" spans="28:32" x14ac:dyDescent="0.25">
      <c r="AB4596" s="167" t="s">
        <v>3553</v>
      </c>
      <c r="AC4596" s="167">
        <v>328</v>
      </c>
      <c r="AD4596" s="203">
        <v>43089</v>
      </c>
      <c r="AE4596" s="203">
        <v>43122</v>
      </c>
      <c r="AF4596" s="167" t="s">
        <v>3470</v>
      </c>
    </row>
    <row r="4597" spans="28:32" x14ac:dyDescent="0.25">
      <c r="AB4597" s="167" t="s">
        <v>3142</v>
      </c>
      <c r="AC4597" s="167">
        <v>328</v>
      </c>
      <c r="AD4597" s="203">
        <v>43089</v>
      </c>
      <c r="AE4597" s="203">
        <v>43122</v>
      </c>
      <c r="AF4597" s="167" t="s">
        <v>3470</v>
      </c>
    </row>
    <row r="4598" spans="28:32" x14ac:dyDescent="0.25">
      <c r="AB4598" s="167" t="s">
        <v>3144</v>
      </c>
      <c r="AC4598" s="167">
        <v>327</v>
      </c>
      <c r="AD4598" s="203">
        <v>43074</v>
      </c>
      <c r="AE4598" s="203">
        <v>43131</v>
      </c>
      <c r="AF4598" s="167" t="s">
        <v>3470</v>
      </c>
    </row>
    <row r="4599" spans="28:32" x14ac:dyDescent="0.25">
      <c r="AB4599" s="167" t="s">
        <v>3144</v>
      </c>
      <c r="AC4599" s="167">
        <v>347</v>
      </c>
      <c r="AD4599" s="203">
        <v>43118</v>
      </c>
      <c r="AE4599" s="203">
        <v>43133</v>
      </c>
      <c r="AF4599" s="167" t="s">
        <v>3470</v>
      </c>
    </row>
    <row r="4600" spans="28:32" x14ac:dyDescent="0.25">
      <c r="AB4600" s="167" t="s">
        <v>3144</v>
      </c>
      <c r="AC4600" s="167">
        <v>340</v>
      </c>
      <c r="AD4600" s="203">
        <v>43133</v>
      </c>
      <c r="AE4600" s="203">
        <v>43168</v>
      </c>
      <c r="AF4600" s="167" t="s">
        <v>3470</v>
      </c>
    </row>
    <row r="4601" spans="28:32" x14ac:dyDescent="0.25">
      <c r="AB4601" s="167" t="s">
        <v>3144</v>
      </c>
      <c r="AC4601" s="167">
        <v>374</v>
      </c>
      <c r="AD4601" s="203">
        <v>43195</v>
      </c>
      <c r="AE4601" s="203">
        <v>0</v>
      </c>
      <c r="AF4601" s="167" t="s">
        <v>3469</v>
      </c>
    </row>
    <row r="4602" spans="28:32" x14ac:dyDescent="0.25">
      <c r="AB4602" s="167" t="s">
        <v>3146</v>
      </c>
      <c r="AC4602" s="167">
        <v>327</v>
      </c>
      <c r="AD4602" s="203">
        <v>43074</v>
      </c>
      <c r="AE4602" s="203">
        <v>43131</v>
      </c>
      <c r="AF4602" s="167" t="s">
        <v>3470</v>
      </c>
    </row>
    <row r="4603" spans="28:32" x14ac:dyDescent="0.25">
      <c r="AB4603" s="167" t="s">
        <v>3146</v>
      </c>
      <c r="AC4603" s="167">
        <v>347</v>
      </c>
      <c r="AD4603" s="203">
        <v>43118</v>
      </c>
      <c r="AE4603" s="203">
        <v>43133</v>
      </c>
      <c r="AF4603" s="167" t="s">
        <v>3470</v>
      </c>
    </row>
    <row r="4604" spans="28:32" x14ac:dyDescent="0.25">
      <c r="AB4604" s="167" t="s">
        <v>3146</v>
      </c>
      <c r="AC4604" s="167">
        <v>340</v>
      </c>
      <c r="AD4604" s="203">
        <v>43133</v>
      </c>
      <c r="AE4604" s="203">
        <v>43168</v>
      </c>
      <c r="AF4604" s="167" t="s">
        <v>3470</v>
      </c>
    </row>
    <row r="4605" spans="28:32" x14ac:dyDescent="0.25">
      <c r="AB4605" s="167" t="s">
        <v>3146</v>
      </c>
      <c r="AC4605" s="167">
        <v>374</v>
      </c>
      <c r="AD4605" s="203">
        <v>43195</v>
      </c>
      <c r="AE4605" s="203">
        <v>0</v>
      </c>
      <c r="AF4605" s="167" t="s">
        <v>3469</v>
      </c>
    </row>
    <row r="4606" spans="28:32" x14ac:dyDescent="0.25">
      <c r="AB4606" s="167" t="s">
        <v>3148</v>
      </c>
      <c r="AC4606" s="167">
        <v>353</v>
      </c>
      <c r="AD4606" s="203">
        <v>43180</v>
      </c>
      <c r="AE4606" s="203">
        <v>0</v>
      </c>
      <c r="AF4606" s="167" t="s">
        <v>3469</v>
      </c>
    </row>
    <row r="4607" spans="28:32" x14ac:dyDescent="0.25">
      <c r="AB4607" s="167" t="s">
        <v>3148</v>
      </c>
      <c r="AC4607" s="167">
        <v>353</v>
      </c>
      <c r="AD4607" s="203">
        <v>43180</v>
      </c>
      <c r="AE4607" s="203">
        <v>0</v>
      </c>
      <c r="AF4607" s="167" t="s">
        <v>3469</v>
      </c>
    </row>
    <row r="4608" spans="28:32" x14ac:dyDescent="0.25">
      <c r="AB4608" s="167" t="s">
        <v>3149</v>
      </c>
      <c r="AC4608" s="167">
        <v>342</v>
      </c>
      <c r="AD4608" s="203">
        <v>43125</v>
      </c>
      <c r="AE4608" s="203">
        <v>43160</v>
      </c>
      <c r="AF4608" s="167" t="s">
        <v>3470</v>
      </c>
    </row>
    <row r="4609" spans="28:32" x14ac:dyDescent="0.25">
      <c r="AB4609" s="167" t="s">
        <v>3554</v>
      </c>
      <c r="AC4609" s="167">
        <v>342</v>
      </c>
      <c r="AD4609" s="203">
        <v>43125</v>
      </c>
      <c r="AE4609" s="203">
        <v>43160</v>
      </c>
      <c r="AF4609" s="167" t="s">
        <v>3470</v>
      </c>
    </row>
    <row r="4610" spans="28:32" x14ac:dyDescent="0.25">
      <c r="AB4610" s="167" t="s">
        <v>3554</v>
      </c>
      <c r="AC4610" s="167">
        <v>342</v>
      </c>
      <c r="AD4610" s="203">
        <v>43125</v>
      </c>
      <c r="AE4610" s="203">
        <v>43160</v>
      </c>
      <c r="AF4610" s="167" t="s">
        <v>3470</v>
      </c>
    </row>
    <row r="4611" spans="28:32" x14ac:dyDescent="0.25">
      <c r="AB4611" s="167" t="s">
        <v>3150</v>
      </c>
      <c r="AC4611" s="167">
        <v>377</v>
      </c>
      <c r="AD4611" s="203">
        <v>43210</v>
      </c>
      <c r="AE4611" s="203">
        <v>43210</v>
      </c>
      <c r="AF4611" s="167" t="s">
        <v>3470</v>
      </c>
    </row>
    <row r="4612" spans="28:32" x14ac:dyDescent="0.25">
      <c r="AB4612" s="167" t="s">
        <v>3152</v>
      </c>
      <c r="AC4612" s="167">
        <v>364</v>
      </c>
      <c r="AD4612" s="203">
        <v>43168</v>
      </c>
      <c r="AE4612" s="203">
        <v>43179</v>
      </c>
      <c r="AF4612" s="167" t="s">
        <v>3470</v>
      </c>
    </row>
    <row r="4613" spans="28:32" x14ac:dyDescent="0.25">
      <c r="AB4613" s="167" t="s">
        <v>3152</v>
      </c>
      <c r="AC4613" s="167">
        <v>353</v>
      </c>
      <c r="AD4613" s="203">
        <v>43180</v>
      </c>
      <c r="AE4613" s="203">
        <v>0</v>
      </c>
      <c r="AF4613" s="167" t="s">
        <v>3469</v>
      </c>
    </row>
    <row r="4614" spans="28:32" x14ac:dyDescent="0.25">
      <c r="AB4614" s="167" t="s">
        <v>3154</v>
      </c>
      <c r="AC4614" s="167">
        <v>356</v>
      </c>
      <c r="AD4614" s="203">
        <v>43139</v>
      </c>
      <c r="AE4614" s="203">
        <v>0</v>
      </c>
      <c r="AF4614" s="167" t="s">
        <v>3469</v>
      </c>
    </row>
    <row r="4615" spans="28:32" x14ac:dyDescent="0.25">
      <c r="AB4615" s="167" t="s">
        <v>3156</v>
      </c>
      <c r="AC4615" s="167">
        <v>356</v>
      </c>
      <c r="AD4615" s="203">
        <v>43139</v>
      </c>
      <c r="AE4615" s="203">
        <v>0</v>
      </c>
      <c r="AF4615" s="167" t="s">
        <v>3469</v>
      </c>
    </row>
    <row r="4616" spans="28:32" x14ac:dyDescent="0.25">
      <c r="AB4616" s="167" t="s">
        <v>3157</v>
      </c>
      <c r="AC4616" s="167">
        <v>350</v>
      </c>
      <c r="AD4616" s="203">
        <v>43132</v>
      </c>
      <c r="AE4616" s="203">
        <v>43195</v>
      </c>
      <c r="AF4616" s="167" t="s">
        <v>3470</v>
      </c>
    </row>
    <row r="4617" spans="28:32" x14ac:dyDescent="0.25">
      <c r="AB4617" s="167" t="s">
        <v>3157</v>
      </c>
      <c r="AC4617" s="167">
        <v>377</v>
      </c>
      <c r="AD4617" s="203">
        <v>43210</v>
      </c>
      <c r="AE4617" s="203">
        <v>43210</v>
      </c>
      <c r="AF4617" s="167" t="s">
        <v>3470</v>
      </c>
    </row>
    <row r="4618" spans="28:32" x14ac:dyDescent="0.25">
      <c r="AB4618" s="167" t="s">
        <v>3158</v>
      </c>
      <c r="AC4618" s="167">
        <v>333</v>
      </c>
      <c r="AD4618" s="203">
        <v>43206</v>
      </c>
      <c r="AE4618" s="203">
        <v>43210</v>
      </c>
      <c r="AF4618" s="167" t="s">
        <v>3470</v>
      </c>
    </row>
    <row r="4619" spans="28:32" x14ac:dyDescent="0.25">
      <c r="AB4619" s="167" t="s">
        <v>3159</v>
      </c>
      <c r="AC4619" s="167">
        <v>342</v>
      </c>
      <c r="AD4619" s="203">
        <v>43125</v>
      </c>
      <c r="AE4619" s="203">
        <v>43160</v>
      </c>
      <c r="AF4619" s="167" t="s">
        <v>3470</v>
      </c>
    </row>
    <row r="4620" spans="28:32" x14ac:dyDescent="0.25">
      <c r="AB4620" s="167" t="s">
        <v>3160</v>
      </c>
      <c r="AC4620" s="167">
        <v>342</v>
      </c>
      <c r="AD4620" s="203">
        <v>43125</v>
      </c>
      <c r="AE4620" s="203">
        <v>43160</v>
      </c>
      <c r="AF4620" s="167" t="s">
        <v>3470</v>
      </c>
    </row>
    <row r="4621" spans="28:32" x14ac:dyDescent="0.25">
      <c r="AB4621" s="167" t="s">
        <v>3161</v>
      </c>
      <c r="AC4621" s="167">
        <v>342</v>
      </c>
      <c r="AD4621" s="203">
        <v>43125</v>
      </c>
      <c r="AE4621" s="203">
        <v>43160</v>
      </c>
      <c r="AF4621" s="167" t="s">
        <v>3470</v>
      </c>
    </row>
    <row r="4622" spans="28:32" x14ac:dyDescent="0.25">
      <c r="AB4622" s="167" t="s">
        <v>3162</v>
      </c>
      <c r="AC4622" s="167">
        <v>342</v>
      </c>
      <c r="AD4622" s="203">
        <v>43125</v>
      </c>
      <c r="AE4622" s="203">
        <v>43160</v>
      </c>
      <c r="AF4622" s="167" t="s">
        <v>3470</v>
      </c>
    </row>
    <row r="4623" spans="28:32" x14ac:dyDescent="0.25">
      <c r="AB4623" s="167" t="s">
        <v>3163</v>
      </c>
      <c r="AC4623" s="167">
        <v>342</v>
      </c>
      <c r="AD4623" s="203">
        <v>43125</v>
      </c>
      <c r="AE4623" s="203">
        <v>43160</v>
      </c>
      <c r="AF4623" s="167" t="s">
        <v>3470</v>
      </c>
    </row>
    <row r="4624" spans="28:32" x14ac:dyDescent="0.25">
      <c r="AB4624" s="167" t="s">
        <v>3164</v>
      </c>
      <c r="AC4624" s="167">
        <v>342</v>
      </c>
      <c r="AD4624" s="203">
        <v>43125</v>
      </c>
      <c r="AE4624" s="203">
        <v>43160</v>
      </c>
      <c r="AF4624" s="167" t="s">
        <v>3470</v>
      </c>
    </row>
    <row r="4625" spans="28:32" x14ac:dyDescent="0.25">
      <c r="AB4625" s="167" t="s">
        <v>3165</v>
      </c>
      <c r="AC4625" s="167">
        <v>342</v>
      </c>
      <c r="AD4625" s="203">
        <v>43125</v>
      </c>
      <c r="AE4625" s="203">
        <v>43160</v>
      </c>
      <c r="AF4625" s="167" t="s">
        <v>3470</v>
      </c>
    </row>
    <row r="4626" spans="28:32" x14ac:dyDescent="0.25">
      <c r="AB4626" s="167" t="s">
        <v>3166</v>
      </c>
      <c r="AC4626" s="167">
        <v>342</v>
      </c>
      <c r="AD4626" s="203">
        <v>43125</v>
      </c>
      <c r="AE4626" s="203">
        <v>43160</v>
      </c>
      <c r="AF4626" s="167" t="s">
        <v>3470</v>
      </c>
    </row>
    <row r="4627" spans="28:32" x14ac:dyDescent="0.25">
      <c r="AB4627" s="167" t="s">
        <v>3167</v>
      </c>
      <c r="AC4627" s="167">
        <v>342</v>
      </c>
      <c r="AD4627" s="203">
        <v>43125</v>
      </c>
      <c r="AE4627" s="203">
        <v>43160</v>
      </c>
      <c r="AF4627" s="167" t="s">
        <v>3470</v>
      </c>
    </row>
    <row r="4628" spans="28:32" x14ac:dyDescent="0.25">
      <c r="AB4628" s="167" t="s">
        <v>3168</v>
      </c>
      <c r="AC4628" s="167">
        <v>342</v>
      </c>
      <c r="AD4628" s="203">
        <v>43125</v>
      </c>
      <c r="AE4628" s="203">
        <v>43160</v>
      </c>
      <c r="AF4628" s="167" t="s">
        <v>3470</v>
      </c>
    </row>
    <row r="4629" spans="28:32" x14ac:dyDescent="0.25">
      <c r="AB4629" s="167" t="s">
        <v>3169</v>
      </c>
      <c r="AC4629" s="167">
        <v>342</v>
      </c>
      <c r="AD4629" s="203">
        <v>43125</v>
      </c>
      <c r="AE4629" s="203">
        <v>43160</v>
      </c>
      <c r="AF4629" s="167" t="s">
        <v>3470</v>
      </c>
    </row>
    <row r="4630" spans="28:32" x14ac:dyDescent="0.25">
      <c r="AB4630" s="167" t="s">
        <v>3555</v>
      </c>
      <c r="AC4630" s="167">
        <v>342</v>
      </c>
      <c r="AD4630" s="203">
        <v>43125</v>
      </c>
      <c r="AE4630" s="203">
        <v>43160</v>
      </c>
      <c r="AF4630" s="167" t="s">
        <v>3470</v>
      </c>
    </row>
    <row r="4631" spans="28:32" x14ac:dyDescent="0.25">
      <c r="AB4631" s="167" t="s">
        <v>3170</v>
      </c>
      <c r="AC4631" s="167">
        <v>342</v>
      </c>
      <c r="AD4631" s="203">
        <v>43125</v>
      </c>
      <c r="AE4631" s="203">
        <v>43160</v>
      </c>
      <c r="AF4631" s="167" t="s">
        <v>3470</v>
      </c>
    </row>
    <row r="4632" spans="28:32" x14ac:dyDescent="0.25">
      <c r="AB4632" s="167" t="s">
        <v>3171</v>
      </c>
      <c r="AC4632" s="167">
        <v>342</v>
      </c>
      <c r="AD4632" s="203">
        <v>43125</v>
      </c>
      <c r="AE4632" s="203">
        <v>43160</v>
      </c>
      <c r="AF4632" s="167" t="s">
        <v>3470</v>
      </c>
    </row>
    <row r="4633" spans="28:32" x14ac:dyDescent="0.25">
      <c r="AB4633" s="167" t="s">
        <v>3172</v>
      </c>
      <c r="AC4633" s="167">
        <v>342</v>
      </c>
      <c r="AD4633" s="203">
        <v>43125</v>
      </c>
      <c r="AE4633" s="203">
        <v>43160</v>
      </c>
      <c r="AF4633" s="167" t="s">
        <v>3470</v>
      </c>
    </row>
    <row r="4634" spans="28:32" x14ac:dyDescent="0.25">
      <c r="AB4634" s="167" t="s">
        <v>3173</v>
      </c>
      <c r="AC4634" s="167">
        <v>342</v>
      </c>
      <c r="AD4634" s="203">
        <v>43125</v>
      </c>
      <c r="AE4634" s="203">
        <v>43160</v>
      </c>
      <c r="AF4634" s="167" t="s">
        <v>3470</v>
      </c>
    </row>
    <row r="4635" spans="28:32" x14ac:dyDescent="0.25">
      <c r="AB4635" s="167" t="s">
        <v>3174</v>
      </c>
      <c r="AC4635" s="167">
        <v>342</v>
      </c>
      <c r="AD4635" s="203">
        <v>43125</v>
      </c>
      <c r="AE4635" s="203">
        <v>43160</v>
      </c>
      <c r="AF4635" s="167" t="s">
        <v>3470</v>
      </c>
    </row>
    <row r="4636" spans="28:32" x14ac:dyDescent="0.25">
      <c r="AB4636" s="167" t="s">
        <v>3175</v>
      </c>
      <c r="AC4636" s="167">
        <v>342</v>
      </c>
      <c r="AD4636" s="203">
        <v>43125</v>
      </c>
      <c r="AE4636" s="203">
        <v>43160</v>
      </c>
      <c r="AF4636" s="167" t="s">
        <v>3470</v>
      </c>
    </row>
    <row r="4637" spans="28:32" x14ac:dyDescent="0.25">
      <c r="AB4637" s="167" t="s">
        <v>3176</v>
      </c>
      <c r="AC4637" s="167">
        <v>342</v>
      </c>
      <c r="AD4637" s="203">
        <v>43125</v>
      </c>
      <c r="AE4637" s="203">
        <v>43160</v>
      </c>
      <c r="AF4637" s="167" t="s">
        <v>3470</v>
      </c>
    </row>
    <row r="4638" spans="28:32" x14ac:dyDescent="0.25">
      <c r="AB4638" s="167" t="s">
        <v>3177</v>
      </c>
      <c r="AC4638" s="167">
        <v>342</v>
      </c>
      <c r="AD4638" s="203">
        <v>43125</v>
      </c>
      <c r="AE4638" s="203">
        <v>43160</v>
      </c>
      <c r="AF4638" s="167" t="s">
        <v>3470</v>
      </c>
    </row>
    <row r="4639" spans="28:32" x14ac:dyDescent="0.25">
      <c r="AB4639" s="167" t="s">
        <v>3178</v>
      </c>
      <c r="AC4639" s="167">
        <v>342</v>
      </c>
      <c r="AD4639" s="203">
        <v>43125</v>
      </c>
      <c r="AE4639" s="203">
        <v>43160</v>
      </c>
      <c r="AF4639" s="167" t="s">
        <v>3470</v>
      </c>
    </row>
    <row r="4640" spans="28:32" x14ac:dyDescent="0.25">
      <c r="AB4640" s="167" t="s">
        <v>3179</v>
      </c>
      <c r="AC4640" s="167">
        <v>342</v>
      </c>
      <c r="AD4640" s="203">
        <v>43125</v>
      </c>
      <c r="AE4640" s="203">
        <v>43160</v>
      </c>
      <c r="AF4640" s="167" t="s">
        <v>3470</v>
      </c>
    </row>
    <row r="4641" spans="28:32" x14ac:dyDescent="0.25">
      <c r="AB4641" s="167" t="s">
        <v>3180</v>
      </c>
      <c r="AC4641" s="167">
        <v>342</v>
      </c>
      <c r="AD4641" s="203">
        <v>43125</v>
      </c>
      <c r="AE4641" s="203">
        <v>43160</v>
      </c>
      <c r="AF4641" s="167" t="s">
        <v>3470</v>
      </c>
    </row>
    <row r="4642" spans="28:32" x14ac:dyDescent="0.25">
      <c r="AB4642" s="167" t="s">
        <v>3181</v>
      </c>
      <c r="AC4642" s="167">
        <v>342</v>
      </c>
      <c r="AD4642" s="203">
        <v>43125</v>
      </c>
      <c r="AE4642" s="203">
        <v>43160</v>
      </c>
      <c r="AF4642" s="167" t="s">
        <v>3470</v>
      </c>
    </row>
    <row r="4643" spans="28:32" x14ac:dyDescent="0.25">
      <c r="AB4643" s="167" t="s">
        <v>3182</v>
      </c>
      <c r="AC4643" s="167">
        <v>342</v>
      </c>
      <c r="AD4643" s="203">
        <v>43125</v>
      </c>
      <c r="AE4643" s="203">
        <v>43160</v>
      </c>
      <c r="AF4643" s="167" t="s">
        <v>3470</v>
      </c>
    </row>
    <row r="4644" spans="28:32" x14ac:dyDescent="0.25">
      <c r="AB4644" s="167" t="s">
        <v>3183</v>
      </c>
      <c r="AC4644" s="167">
        <v>342</v>
      </c>
      <c r="AD4644" s="203">
        <v>43125</v>
      </c>
      <c r="AE4644" s="203">
        <v>43160</v>
      </c>
      <c r="AF4644" s="167" t="s">
        <v>3470</v>
      </c>
    </row>
    <row r="4645" spans="28:32" x14ac:dyDescent="0.25">
      <c r="AB4645" s="167" t="s">
        <v>3184</v>
      </c>
      <c r="AC4645" s="167">
        <v>342</v>
      </c>
      <c r="AD4645" s="203">
        <v>43125</v>
      </c>
      <c r="AE4645" s="203">
        <v>43160</v>
      </c>
      <c r="AF4645" s="167" t="s">
        <v>3470</v>
      </c>
    </row>
    <row r="4646" spans="28:32" x14ac:dyDescent="0.25">
      <c r="AB4646" s="167" t="s">
        <v>3185</v>
      </c>
      <c r="AC4646" s="167">
        <v>342</v>
      </c>
      <c r="AD4646" s="203">
        <v>43125</v>
      </c>
      <c r="AE4646" s="203">
        <v>43160</v>
      </c>
      <c r="AF4646" s="167" t="s">
        <v>3470</v>
      </c>
    </row>
    <row r="4647" spans="28:32" x14ac:dyDescent="0.25">
      <c r="AB4647" s="167" t="s">
        <v>3186</v>
      </c>
      <c r="AC4647" s="167">
        <v>342</v>
      </c>
      <c r="AD4647" s="203">
        <v>43125</v>
      </c>
      <c r="AE4647" s="203">
        <v>43160</v>
      </c>
      <c r="AF4647" s="167" t="s">
        <v>3470</v>
      </c>
    </row>
    <row r="4648" spans="28:32" x14ac:dyDescent="0.25">
      <c r="AB4648" s="167" t="s">
        <v>3187</v>
      </c>
      <c r="AC4648" s="167">
        <v>342</v>
      </c>
      <c r="AD4648" s="203">
        <v>43125</v>
      </c>
      <c r="AE4648" s="203">
        <v>43160</v>
      </c>
      <c r="AF4648" s="167" t="s">
        <v>3470</v>
      </c>
    </row>
    <row r="4649" spans="28:32" x14ac:dyDescent="0.25">
      <c r="AB4649" s="167" t="s">
        <v>3188</v>
      </c>
      <c r="AC4649" s="167">
        <v>342</v>
      </c>
      <c r="AD4649" s="203">
        <v>43125</v>
      </c>
      <c r="AE4649" s="203">
        <v>43160</v>
      </c>
      <c r="AF4649" s="167" t="s">
        <v>3470</v>
      </c>
    </row>
    <row r="4650" spans="28:32" x14ac:dyDescent="0.25">
      <c r="AB4650" s="167" t="s">
        <v>3189</v>
      </c>
      <c r="AC4650" s="167">
        <v>342</v>
      </c>
      <c r="AD4650" s="203">
        <v>43125</v>
      </c>
      <c r="AE4650" s="203">
        <v>43160</v>
      </c>
      <c r="AF4650" s="167" t="s">
        <v>3470</v>
      </c>
    </row>
    <row r="4651" spans="28:32" x14ac:dyDescent="0.25">
      <c r="AB4651" s="167" t="s">
        <v>3190</v>
      </c>
      <c r="AC4651" s="167">
        <v>342</v>
      </c>
      <c r="AD4651" s="203">
        <v>43125</v>
      </c>
      <c r="AE4651" s="203">
        <v>43160</v>
      </c>
      <c r="AF4651" s="167" t="s">
        <v>3470</v>
      </c>
    </row>
    <row r="4652" spans="28:32" x14ac:dyDescent="0.25">
      <c r="AB4652" s="167" t="s">
        <v>3191</v>
      </c>
      <c r="AC4652" s="167">
        <v>342</v>
      </c>
      <c r="AD4652" s="203">
        <v>43125</v>
      </c>
      <c r="AE4652" s="203">
        <v>43160</v>
      </c>
      <c r="AF4652" s="167" t="s">
        <v>3470</v>
      </c>
    </row>
    <row r="4653" spans="28:32" x14ac:dyDescent="0.25">
      <c r="AB4653" s="167" t="s">
        <v>3192</v>
      </c>
      <c r="AC4653" s="167">
        <v>342</v>
      </c>
      <c r="AD4653" s="203">
        <v>43125</v>
      </c>
      <c r="AE4653" s="203">
        <v>43160</v>
      </c>
      <c r="AF4653" s="167" t="s">
        <v>3470</v>
      </c>
    </row>
    <row r="4654" spans="28:32" x14ac:dyDescent="0.25">
      <c r="AB4654" s="167" t="s">
        <v>3556</v>
      </c>
      <c r="AC4654" s="167">
        <v>342</v>
      </c>
      <c r="AD4654" s="203">
        <v>43125</v>
      </c>
      <c r="AE4654" s="203">
        <v>43160</v>
      </c>
      <c r="AF4654" s="167" t="s">
        <v>3470</v>
      </c>
    </row>
    <row r="4655" spans="28:32" x14ac:dyDescent="0.25">
      <c r="AB4655" s="167" t="s">
        <v>3193</v>
      </c>
      <c r="AC4655" s="167">
        <v>342</v>
      </c>
      <c r="AD4655" s="203">
        <v>43125</v>
      </c>
      <c r="AE4655" s="203">
        <v>43160</v>
      </c>
      <c r="AF4655" s="167" t="s">
        <v>3470</v>
      </c>
    </row>
    <row r="4656" spans="28:32" x14ac:dyDescent="0.25">
      <c r="AB4656" s="167" t="s">
        <v>3194</v>
      </c>
      <c r="AC4656" s="167">
        <v>342</v>
      </c>
      <c r="AD4656" s="203">
        <v>43125</v>
      </c>
      <c r="AE4656" s="203">
        <v>43160</v>
      </c>
      <c r="AF4656" s="167" t="s">
        <v>3470</v>
      </c>
    </row>
    <row r="4657" spans="28:32" x14ac:dyDescent="0.25">
      <c r="AB4657" s="167" t="s">
        <v>3195</v>
      </c>
      <c r="AC4657" s="167">
        <v>342</v>
      </c>
      <c r="AD4657" s="203">
        <v>43125</v>
      </c>
      <c r="AE4657" s="203">
        <v>43160</v>
      </c>
      <c r="AF4657" s="167" t="s">
        <v>3470</v>
      </c>
    </row>
    <row r="4658" spans="28:32" x14ac:dyDescent="0.25">
      <c r="AB4658" s="167" t="s">
        <v>3196</v>
      </c>
      <c r="AC4658" s="167">
        <v>342</v>
      </c>
      <c r="AD4658" s="203">
        <v>43125</v>
      </c>
      <c r="AE4658" s="203">
        <v>43160</v>
      </c>
      <c r="AF4658" s="167" t="s">
        <v>3470</v>
      </c>
    </row>
    <row r="4659" spans="28:32" x14ac:dyDescent="0.25">
      <c r="AB4659" s="167" t="s">
        <v>3197</v>
      </c>
      <c r="AC4659" s="167">
        <v>342</v>
      </c>
      <c r="AD4659" s="203">
        <v>43125</v>
      </c>
      <c r="AE4659" s="203">
        <v>43160</v>
      </c>
      <c r="AF4659" s="167" t="s">
        <v>3470</v>
      </c>
    </row>
    <row r="4660" spans="28:32" x14ac:dyDescent="0.25">
      <c r="AB4660" s="167" t="s">
        <v>3198</v>
      </c>
      <c r="AC4660" s="167">
        <v>342</v>
      </c>
      <c r="AD4660" s="203">
        <v>43125</v>
      </c>
      <c r="AE4660" s="203">
        <v>43160</v>
      </c>
      <c r="AF4660" s="167" t="s">
        <v>3470</v>
      </c>
    </row>
    <row r="4661" spans="28:32" x14ac:dyDescent="0.25">
      <c r="AB4661" s="167" t="s">
        <v>3199</v>
      </c>
      <c r="AC4661" s="167">
        <v>342</v>
      </c>
      <c r="AD4661" s="203">
        <v>43125</v>
      </c>
      <c r="AE4661" s="203">
        <v>43160</v>
      </c>
      <c r="AF4661" s="167" t="s">
        <v>3470</v>
      </c>
    </row>
    <row r="4662" spans="28:32" x14ac:dyDescent="0.25">
      <c r="AB4662" s="167" t="s">
        <v>3200</v>
      </c>
      <c r="AC4662" s="167">
        <v>342</v>
      </c>
      <c r="AD4662" s="203">
        <v>43125</v>
      </c>
      <c r="AE4662" s="203">
        <v>43160</v>
      </c>
      <c r="AF4662" s="167" t="s">
        <v>3470</v>
      </c>
    </row>
    <row r="4663" spans="28:32" x14ac:dyDescent="0.25">
      <c r="AB4663" s="167" t="s">
        <v>3201</v>
      </c>
      <c r="AC4663" s="167">
        <v>342</v>
      </c>
      <c r="AD4663" s="203">
        <v>43125</v>
      </c>
      <c r="AE4663" s="203">
        <v>43160</v>
      </c>
      <c r="AF4663" s="167" t="s">
        <v>3470</v>
      </c>
    </row>
    <row r="4664" spans="28:32" x14ac:dyDescent="0.25">
      <c r="AB4664" s="167" t="s">
        <v>3202</v>
      </c>
      <c r="AC4664" s="167">
        <v>342</v>
      </c>
      <c r="AD4664" s="203">
        <v>43125</v>
      </c>
      <c r="AE4664" s="203">
        <v>43160</v>
      </c>
      <c r="AF4664" s="167" t="s">
        <v>3470</v>
      </c>
    </row>
    <row r="4665" spans="28:32" x14ac:dyDescent="0.25">
      <c r="AB4665" s="167" t="s">
        <v>3203</v>
      </c>
      <c r="AC4665" s="167">
        <v>342</v>
      </c>
      <c r="AD4665" s="203">
        <v>43125</v>
      </c>
      <c r="AE4665" s="203">
        <v>43160</v>
      </c>
      <c r="AF4665" s="167" t="s">
        <v>3470</v>
      </c>
    </row>
    <row r="4666" spans="28:32" x14ac:dyDescent="0.25">
      <c r="AB4666" s="167" t="s">
        <v>3204</v>
      </c>
      <c r="AC4666" s="167">
        <v>342</v>
      </c>
      <c r="AD4666" s="203">
        <v>43125</v>
      </c>
      <c r="AE4666" s="203">
        <v>43160</v>
      </c>
      <c r="AF4666" s="167" t="s">
        <v>3470</v>
      </c>
    </row>
    <row r="4667" spans="28:32" x14ac:dyDescent="0.25">
      <c r="AB4667" s="167" t="s">
        <v>3205</v>
      </c>
      <c r="AC4667" s="167">
        <v>342</v>
      </c>
      <c r="AD4667" s="203">
        <v>43125</v>
      </c>
      <c r="AE4667" s="203">
        <v>43160</v>
      </c>
      <c r="AF4667" s="167" t="s">
        <v>3470</v>
      </c>
    </row>
    <row r="4668" spans="28:32" x14ac:dyDescent="0.25">
      <c r="AB4668" s="167" t="s">
        <v>3206</v>
      </c>
      <c r="AC4668" s="167">
        <v>342</v>
      </c>
      <c r="AD4668" s="203">
        <v>43125</v>
      </c>
      <c r="AE4668" s="203">
        <v>43160</v>
      </c>
      <c r="AF4668" s="167" t="s">
        <v>3470</v>
      </c>
    </row>
    <row r="4669" spans="28:32" x14ac:dyDescent="0.25">
      <c r="AB4669" s="167" t="s">
        <v>3207</v>
      </c>
      <c r="AC4669" s="167">
        <v>342</v>
      </c>
      <c r="AD4669" s="203">
        <v>43125</v>
      </c>
      <c r="AE4669" s="203">
        <v>43160</v>
      </c>
      <c r="AF4669" s="167" t="s">
        <v>3470</v>
      </c>
    </row>
    <row r="4670" spans="28:32" x14ac:dyDescent="0.25">
      <c r="AB4670" s="167" t="s">
        <v>3208</v>
      </c>
      <c r="AC4670" s="167">
        <v>342</v>
      </c>
      <c r="AD4670" s="203">
        <v>43125</v>
      </c>
      <c r="AE4670" s="203">
        <v>43160</v>
      </c>
      <c r="AF4670" s="167" t="s">
        <v>3470</v>
      </c>
    </row>
    <row r="4671" spans="28:32" x14ac:dyDescent="0.25">
      <c r="AB4671" s="167" t="s">
        <v>3209</v>
      </c>
      <c r="AC4671" s="167">
        <v>342</v>
      </c>
      <c r="AD4671" s="203">
        <v>43125</v>
      </c>
      <c r="AE4671" s="203">
        <v>43160</v>
      </c>
      <c r="AF4671" s="167" t="s">
        <v>3470</v>
      </c>
    </row>
    <row r="4672" spans="28:32" x14ac:dyDescent="0.25">
      <c r="AB4672" s="167" t="s">
        <v>3210</v>
      </c>
      <c r="AC4672" s="167">
        <v>342</v>
      </c>
      <c r="AD4672" s="203">
        <v>43125</v>
      </c>
      <c r="AE4672" s="203">
        <v>43160</v>
      </c>
      <c r="AF4672" s="167" t="s">
        <v>3470</v>
      </c>
    </row>
    <row r="4673" spans="28:32" x14ac:dyDescent="0.25">
      <c r="AB4673" s="167" t="s">
        <v>3211</v>
      </c>
      <c r="AC4673" s="167">
        <v>342</v>
      </c>
      <c r="AD4673" s="203">
        <v>43125</v>
      </c>
      <c r="AE4673" s="203">
        <v>43160</v>
      </c>
      <c r="AF4673" s="167" t="s">
        <v>3470</v>
      </c>
    </row>
    <row r="4674" spans="28:32" x14ac:dyDescent="0.25">
      <c r="AB4674" s="167" t="s">
        <v>3212</v>
      </c>
      <c r="AC4674" s="167">
        <v>342</v>
      </c>
      <c r="AD4674" s="203">
        <v>43125</v>
      </c>
      <c r="AE4674" s="203">
        <v>43160</v>
      </c>
      <c r="AF4674" s="167" t="s">
        <v>3470</v>
      </c>
    </row>
    <row r="4675" spans="28:32" x14ac:dyDescent="0.25">
      <c r="AB4675" s="167" t="s">
        <v>3213</v>
      </c>
      <c r="AC4675" s="167">
        <v>342</v>
      </c>
      <c r="AD4675" s="203">
        <v>43125</v>
      </c>
      <c r="AE4675" s="203">
        <v>43160</v>
      </c>
      <c r="AF4675" s="167" t="s">
        <v>3470</v>
      </c>
    </row>
    <row r="4676" spans="28:32" x14ac:dyDescent="0.25">
      <c r="AB4676" s="167" t="s">
        <v>3214</v>
      </c>
      <c r="AC4676" s="167">
        <v>342</v>
      </c>
      <c r="AD4676" s="203">
        <v>43125</v>
      </c>
      <c r="AE4676" s="203">
        <v>43160</v>
      </c>
      <c r="AF4676" s="167" t="s">
        <v>3470</v>
      </c>
    </row>
    <row r="4677" spans="28:32" x14ac:dyDescent="0.25">
      <c r="AB4677" s="167" t="s">
        <v>3215</v>
      </c>
      <c r="AC4677" s="167">
        <v>342</v>
      </c>
      <c r="AD4677" s="203">
        <v>43125</v>
      </c>
      <c r="AE4677" s="203">
        <v>43160</v>
      </c>
      <c r="AF4677" s="167" t="s">
        <v>3470</v>
      </c>
    </row>
    <row r="4678" spans="28:32" x14ac:dyDescent="0.25">
      <c r="AB4678" s="167" t="s">
        <v>3216</v>
      </c>
      <c r="AC4678" s="167">
        <v>342</v>
      </c>
      <c r="AD4678" s="203">
        <v>43125</v>
      </c>
      <c r="AE4678" s="203">
        <v>43160</v>
      </c>
      <c r="AF4678" s="167" t="s">
        <v>3470</v>
      </c>
    </row>
    <row r="4679" spans="28:32" x14ac:dyDescent="0.25">
      <c r="AB4679" s="167" t="s">
        <v>3217</v>
      </c>
      <c r="AC4679" s="167">
        <v>342</v>
      </c>
      <c r="AD4679" s="203">
        <v>43125</v>
      </c>
      <c r="AE4679" s="203">
        <v>43160</v>
      </c>
      <c r="AF4679" s="167" t="s">
        <v>3470</v>
      </c>
    </row>
    <row r="4680" spans="28:32" x14ac:dyDescent="0.25">
      <c r="AB4680" s="167" t="s">
        <v>3218</v>
      </c>
      <c r="AC4680" s="167">
        <v>342</v>
      </c>
      <c r="AD4680" s="203">
        <v>43125</v>
      </c>
      <c r="AE4680" s="203">
        <v>43160</v>
      </c>
      <c r="AF4680" s="167" t="s">
        <v>3470</v>
      </c>
    </row>
    <row r="4681" spans="28:32" x14ac:dyDescent="0.25">
      <c r="AB4681" s="167" t="s">
        <v>3219</v>
      </c>
      <c r="AC4681" s="167">
        <v>342</v>
      </c>
      <c r="AD4681" s="203">
        <v>43125</v>
      </c>
      <c r="AE4681" s="203">
        <v>43160</v>
      </c>
      <c r="AF4681" s="167" t="s">
        <v>3470</v>
      </c>
    </row>
    <row r="4682" spans="28:32" x14ac:dyDescent="0.25">
      <c r="AB4682" s="167" t="s">
        <v>3220</v>
      </c>
      <c r="AC4682" s="167">
        <v>342</v>
      </c>
      <c r="AD4682" s="203">
        <v>43125</v>
      </c>
      <c r="AE4682" s="203">
        <v>43160</v>
      </c>
      <c r="AF4682" s="167" t="s">
        <v>3470</v>
      </c>
    </row>
    <row r="4683" spans="28:32" x14ac:dyDescent="0.25">
      <c r="AB4683" s="167" t="s">
        <v>3221</v>
      </c>
      <c r="AC4683" s="167">
        <v>342</v>
      </c>
      <c r="AD4683" s="203">
        <v>43125</v>
      </c>
      <c r="AE4683" s="203">
        <v>43160</v>
      </c>
      <c r="AF4683" s="167" t="s">
        <v>3470</v>
      </c>
    </row>
    <row r="4684" spans="28:32" x14ac:dyDescent="0.25">
      <c r="AB4684" s="167" t="s">
        <v>3222</v>
      </c>
      <c r="AC4684" s="167">
        <v>342</v>
      </c>
      <c r="AD4684" s="203">
        <v>43125</v>
      </c>
      <c r="AE4684" s="203">
        <v>43160</v>
      </c>
      <c r="AF4684" s="167" t="s">
        <v>3470</v>
      </c>
    </row>
    <row r="4685" spans="28:32" x14ac:dyDescent="0.25">
      <c r="AB4685" s="167" t="s">
        <v>3223</v>
      </c>
      <c r="AC4685" s="167">
        <v>342</v>
      </c>
      <c r="AD4685" s="203">
        <v>43125</v>
      </c>
      <c r="AE4685" s="203">
        <v>43160</v>
      </c>
      <c r="AF4685" s="167" t="s">
        <v>3470</v>
      </c>
    </row>
    <row r="4686" spans="28:32" x14ac:dyDescent="0.25">
      <c r="AB4686" s="167" t="s">
        <v>3224</v>
      </c>
      <c r="AC4686" s="167">
        <v>342</v>
      </c>
      <c r="AD4686" s="203">
        <v>43125</v>
      </c>
      <c r="AE4686" s="203">
        <v>43160</v>
      </c>
      <c r="AF4686" s="167" t="s">
        <v>3470</v>
      </c>
    </row>
    <row r="4687" spans="28:32" x14ac:dyDescent="0.25">
      <c r="AB4687" s="167" t="s">
        <v>3225</v>
      </c>
      <c r="AC4687" s="167">
        <v>342</v>
      </c>
      <c r="AD4687" s="203">
        <v>43125</v>
      </c>
      <c r="AE4687" s="203">
        <v>43160</v>
      </c>
      <c r="AF4687" s="167" t="s">
        <v>3470</v>
      </c>
    </row>
    <row r="4688" spans="28:32" x14ac:dyDescent="0.25">
      <c r="AB4688" s="167" t="s">
        <v>3226</v>
      </c>
      <c r="AC4688" s="167">
        <v>342</v>
      </c>
      <c r="AD4688" s="203">
        <v>43125</v>
      </c>
      <c r="AE4688" s="203">
        <v>43160</v>
      </c>
      <c r="AF4688" s="167" t="s">
        <v>3470</v>
      </c>
    </row>
    <row r="4689" spans="28:32" x14ac:dyDescent="0.25">
      <c r="AB4689" s="167" t="s">
        <v>3227</v>
      </c>
      <c r="AC4689" s="167">
        <v>342</v>
      </c>
      <c r="AD4689" s="203">
        <v>43125</v>
      </c>
      <c r="AE4689" s="203">
        <v>43160</v>
      </c>
      <c r="AF4689" s="167" t="s">
        <v>3470</v>
      </c>
    </row>
    <row r="4690" spans="28:32" x14ac:dyDescent="0.25">
      <c r="AB4690" s="167" t="s">
        <v>3228</v>
      </c>
      <c r="AC4690" s="167">
        <v>342</v>
      </c>
      <c r="AD4690" s="203">
        <v>43125</v>
      </c>
      <c r="AE4690" s="203">
        <v>43160</v>
      </c>
      <c r="AF4690" s="167" t="s">
        <v>3470</v>
      </c>
    </row>
    <row r="4691" spans="28:32" x14ac:dyDescent="0.25">
      <c r="AB4691" s="167" t="s">
        <v>3230</v>
      </c>
      <c r="AC4691" s="167">
        <v>357</v>
      </c>
      <c r="AD4691" s="203">
        <v>43139</v>
      </c>
      <c r="AE4691" s="203">
        <v>43164</v>
      </c>
      <c r="AF4691" s="167" t="s">
        <v>3470</v>
      </c>
    </row>
    <row r="4692" spans="28:32" x14ac:dyDescent="0.25">
      <c r="AB4692" s="167" t="s">
        <v>3230</v>
      </c>
      <c r="AC4692" s="167">
        <v>364</v>
      </c>
      <c r="AD4692" s="203">
        <v>43168</v>
      </c>
      <c r="AE4692" s="203">
        <v>43179</v>
      </c>
      <c r="AF4692" s="167" t="s">
        <v>3470</v>
      </c>
    </row>
    <row r="4693" spans="28:32" x14ac:dyDescent="0.25">
      <c r="AB4693" s="167" t="s">
        <v>3230</v>
      </c>
      <c r="AC4693" s="167">
        <v>353</v>
      </c>
      <c r="AD4693" s="203">
        <v>43180</v>
      </c>
      <c r="AE4693" s="203">
        <v>0</v>
      </c>
      <c r="AF4693" s="167" t="s">
        <v>3469</v>
      </c>
    </row>
    <row r="4694" spans="28:32" x14ac:dyDescent="0.25">
      <c r="AB4694" s="167" t="s">
        <v>3230</v>
      </c>
      <c r="AC4694" s="167">
        <v>353</v>
      </c>
      <c r="AD4694" s="203">
        <v>43180</v>
      </c>
      <c r="AE4694" s="203">
        <v>0</v>
      </c>
      <c r="AF4694" s="167" t="s">
        <v>3469</v>
      </c>
    </row>
    <row r="4695" spans="28:32" x14ac:dyDescent="0.25">
      <c r="AB4695" s="167" t="s">
        <v>3230</v>
      </c>
      <c r="AC4695" s="167">
        <v>353</v>
      </c>
      <c r="AD4695" s="203">
        <v>43180</v>
      </c>
      <c r="AE4695" s="203">
        <v>0</v>
      </c>
      <c r="AF4695" s="167" t="s">
        <v>3469</v>
      </c>
    </row>
    <row r="4696" spans="28:32" x14ac:dyDescent="0.25">
      <c r="AB4696" s="167" t="s">
        <v>3230</v>
      </c>
      <c r="AC4696" s="167">
        <v>353</v>
      </c>
      <c r="AD4696" s="203">
        <v>43180</v>
      </c>
      <c r="AE4696" s="203">
        <v>0</v>
      </c>
      <c r="AF4696" s="167" t="s">
        <v>3469</v>
      </c>
    </row>
    <row r="4697" spans="28:32" x14ac:dyDescent="0.25">
      <c r="AB4697" s="167" t="s">
        <v>3231</v>
      </c>
      <c r="AC4697" s="167">
        <v>342</v>
      </c>
      <c r="AD4697" s="203">
        <v>43125</v>
      </c>
      <c r="AE4697" s="203">
        <v>43160</v>
      </c>
      <c r="AF4697" s="167" t="s">
        <v>3470</v>
      </c>
    </row>
    <row r="4698" spans="28:32" x14ac:dyDescent="0.25">
      <c r="AB4698" s="167" t="s">
        <v>3232</v>
      </c>
      <c r="AC4698" s="167">
        <v>342</v>
      </c>
      <c r="AD4698" s="203">
        <v>43125</v>
      </c>
      <c r="AE4698" s="203">
        <v>43160</v>
      </c>
      <c r="AF4698" s="167" t="s">
        <v>3470</v>
      </c>
    </row>
    <row r="4699" spans="28:32" x14ac:dyDescent="0.25">
      <c r="AB4699" s="167" t="s">
        <v>3233</v>
      </c>
      <c r="AC4699" s="167">
        <v>342</v>
      </c>
      <c r="AD4699" s="203">
        <v>43125</v>
      </c>
      <c r="AE4699" s="203">
        <v>43160</v>
      </c>
      <c r="AF4699" s="167" t="s">
        <v>3470</v>
      </c>
    </row>
    <row r="4700" spans="28:32" x14ac:dyDescent="0.25">
      <c r="AB4700" s="167" t="s">
        <v>3235</v>
      </c>
      <c r="AC4700" s="167">
        <v>323</v>
      </c>
      <c r="AD4700" s="203">
        <v>43074</v>
      </c>
      <c r="AE4700" s="203">
        <v>43111</v>
      </c>
      <c r="AF4700" s="167" t="s">
        <v>3470</v>
      </c>
    </row>
    <row r="4701" spans="28:32" x14ac:dyDescent="0.25">
      <c r="AB4701" s="167" t="s">
        <v>3235</v>
      </c>
      <c r="AC4701" s="167">
        <v>347</v>
      </c>
      <c r="AD4701" s="203">
        <v>43118</v>
      </c>
      <c r="AE4701" s="203">
        <v>43133</v>
      </c>
      <c r="AF4701" s="167" t="s">
        <v>3470</v>
      </c>
    </row>
    <row r="4702" spans="28:32" x14ac:dyDescent="0.25">
      <c r="AB4702" s="167" t="s">
        <v>3235</v>
      </c>
      <c r="AC4702" s="167">
        <v>340</v>
      </c>
      <c r="AD4702" s="203">
        <v>43133</v>
      </c>
      <c r="AE4702" s="203">
        <v>43168</v>
      </c>
      <c r="AF4702" s="167" t="s">
        <v>3470</v>
      </c>
    </row>
    <row r="4703" spans="28:32" x14ac:dyDescent="0.25">
      <c r="AB4703" s="167" t="s">
        <v>3235</v>
      </c>
      <c r="AC4703" s="167">
        <v>340</v>
      </c>
      <c r="AD4703" s="203">
        <v>43133</v>
      </c>
      <c r="AE4703" s="203">
        <v>43168</v>
      </c>
      <c r="AF4703" s="167" t="s">
        <v>3470</v>
      </c>
    </row>
    <row r="4704" spans="28:32" x14ac:dyDescent="0.25">
      <c r="AB4704" s="167" t="s">
        <v>3235</v>
      </c>
      <c r="AC4704" s="167">
        <v>357</v>
      </c>
      <c r="AD4704" s="203">
        <v>43139</v>
      </c>
      <c r="AE4704" s="203">
        <v>43164</v>
      </c>
      <c r="AF4704" s="167" t="s">
        <v>3470</v>
      </c>
    </row>
    <row r="4705" spans="28:32" x14ac:dyDescent="0.25">
      <c r="AB4705" s="167" t="s">
        <v>3235</v>
      </c>
      <c r="AC4705" s="167">
        <v>364</v>
      </c>
      <c r="AD4705" s="203">
        <v>43168</v>
      </c>
      <c r="AE4705" s="203">
        <v>43179</v>
      </c>
      <c r="AF4705" s="167" t="s">
        <v>3470</v>
      </c>
    </row>
    <row r="4706" spans="28:32" x14ac:dyDescent="0.25">
      <c r="AB4706" s="167" t="s">
        <v>3235</v>
      </c>
      <c r="AC4706" s="167">
        <v>353</v>
      </c>
      <c r="AD4706" s="203">
        <v>43180</v>
      </c>
      <c r="AE4706" s="203">
        <v>0</v>
      </c>
      <c r="AF4706" s="167" t="s">
        <v>3469</v>
      </c>
    </row>
    <row r="4707" spans="28:32" x14ac:dyDescent="0.25">
      <c r="AB4707" s="167" t="s">
        <v>3235</v>
      </c>
      <c r="AC4707" s="167">
        <v>353</v>
      </c>
      <c r="AD4707" s="203">
        <v>43180</v>
      </c>
      <c r="AE4707" s="203">
        <v>0</v>
      </c>
      <c r="AF4707" s="167" t="s">
        <v>3469</v>
      </c>
    </row>
    <row r="4708" spans="28:32" x14ac:dyDescent="0.25">
      <c r="AB4708" s="167" t="s">
        <v>3237</v>
      </c>
      <c r="AC4708" s="167">
        <v>353</v>
      </c>
      <c r="AD4708" s="203">
        <v>43180</v>
      </c>
      <c r="AE4708" s="203">
        <v>0</v>
      </c>
      <c r="AF4708" s="167" t="s">
        <v>3469</v>
      </c>
    </row>
    <row r="4709" spans="28:32" x14ac:dyDescent="0.25">
      <c r="AB4709" s="167" t="s">
        <v>3237</v>
      </c>
      <c r="AC4709" s="167">
        <v>353</v>
      </c>
      <c r="AD4709" s="203">
        <v>43180</v>
      </c>
      <c r="AE4709" s="203">
        <v>0</v>
      </c>
      <c r="AF4709" s="167" t="s">
        <v>3469</v>
      </c>
    </row>
    <row r="4710" spans="28:32" x14ac:dyDescent="0.25">
      <c r="AB4710" s="167" t="s">
        <v>3237</v>
      </c>
      <c r="AC4710" s="167">
        <v>353</v>
      </c>
      <c r="AD4710" s="203">
        <v>43180</v>
      </c>
      <c r="AE4710" s="203">
        <v>0</v>
      </c>
      <c r="AF4710" s="167" t="s">
        <v>3469</v>
      </c>
    </row>
    <row r="4711" spans="28:32" x14ac:dyDescent="0.25">
      <c r="AB4711" s="167" t="s">
        <v>3237</v>
      </c>
      <c r="AC4711" s="167">
        <v>353</v>
      </c>
      <c r="AD4711" s="203">
        <v>43180</v>
      </c>
      <c r="AE4711" s="203">
        <v>0</v>
      </c>
      <c r="AF4711" s="167" t="s">
        <v>3469</v>
      </c>
    </row>
    <row r="4712" spans="28:32" x14ac:dyDescent="0.25">
      <c r="AB4712" s="167" t="s">
        <v>3237</v>
      </c>
      <c r="AC4712" s="167">
        <v>353</v>
      </c>
      <c r="AD4712" s="203">
        <v>43180</v>
      </c>
      <c r="AE4712" s="203">
        <v>0</v>
      </c>
      <c r="AF4712" s="167" t="s">
        <v>3469</v>
      </c>
    </row>
    <row r="4713" spans="28:32" x14ac:dyDescent="0.25">
      <c r="AB4713" s="167" t="s">
        <v>3237</v>
      </c>
      <c r="AC4713" s="167">
        <v>353</v>
      </c>
      <c r="AD4713" s="203">
        <v>43180</v>
      </c>
      <c r="AE4713" s="203">
        <v>0</v>
      </c>
      <c r="AF4713" s="167" t="s">
        <v>3469</v>
      </c>
    </row>
    <row r="4714" spans="28:32" x14ac:dyDescent="0.25">
      <c r="AB4714" s="167" t="s">
        <v>3237</v>
      </c>
      <c r="AC4714" s="167">
        <v>353</v>
      </c>
      <c r="AD4714" s="203">
        <v>43180</v>
      </c>
      <c r="AE4714" s="203">
        <v>0</v>
      </c>
      <c r="AF4714" s="167" t="s">
        <v>3469</v>
      </c>
    </row>
    <row r="4715" spans="28:32" x14ac:dyDescent="0.25">
      <c r="AB4715" s="167" t="s">
        <v>3237</v>
      </c>
      <c r="AC4715" s="167">
        <v>374</v>
      </c>
      <c r="AD4715" s="203">
        <v>43195</v>
      </c>
      <c r="AE4715" s="203">
        <v>0</v>
      </c>
      <c r="AF4715" s="167" t="s">
        <v>3469</v>
      </c>
    </row>
    <row r="4716" spans="28:32" x14ac:dyDescent="0.25">
      <c r="AB4716" s="167" t="s">
        <v>3393</v>
      </c>
      <c r="AC4716" s="167">
        <v>351</v>
      </c>
      <c r="AD4716" s="203">
        <v>43133</v>
      </c>
      <c r="AE4716" s="203">
        <v>43224</v>
      </c>
      <c r="AF4716" s="167" t="s">
        <v>3469</v>
      </c>
    </row>
    <row r="4717" spans="28:32" x14ac:dyDescent="0.25">
      <c r="AB4717" s="167" t="s">
        <v>3394</v>
      </c>
      <c r="AC4717" s="167">
        <v>351</v>
      </c>
      <c r="AD4717" s="203">
        <v>43133</v>
      </c>
      <c r="AE4717" s="203">
        <v>43224</v>
      </c>
      <c r="AF4717" s="167" t="s">
        <v>3469</v>
      </c>
    </row>
    <row r="4718" spans="28:32" x14ac:dyDescent="0.25">
      <c r="AB4718" s="167" t="s">
        <v>3238</v>
      </c>
      <c r="AC4718" s="167">
        <v>348</v>
      </c>
      <c r="AD4718" s="203">
        <v>43122</v>
      </c>
      <c r="AE4718" s="203">
        <v>43160</v>
      </c>
      <c r="AF4718" s="167" t="s">
        <v>3470</v>
      </c>
    </row>
    <row r="4719" spans="28:32" x14ac:dyDescent="0.25">
      <c r="AB4719" s="167" t="s">
        <v>3239</v>
      </c>
      <c r="AC4719" s="167">
        <v>348</v>
      </c>
      <c r="AD4719" s="203">
        <v>43122</v>
      </c>
      <c r="AE4719" s="203">
        <v>43160</v>
      </c>
      <c r="AF4719" s="167" t="s">
        <v>3470</v>
      </c>
    </row>
    <row r="4720" spans="28:32" x14ac:dyDescent="0.25">
      <c r="AB4720" s="167" t="s">
        <v>3557</v>
      </c>
      <c r="AC4720" s="167">
        <v>348</v>
      </c>
      <c r="AD4720" s="203">
        <v>43122</v>
      </c>
      <c r="AE4720" s="203">
        <v>43160</v>
      </c>
      <c r="AF4720" s="167" t="s">
        <v>3470</v>
      </c>
    </row>
    <row r="4721" spans="28:32" x14ac:dyDescent="0.25">
      <c r="AB4721" s="167" t="s">
        <v>3240</v>
      </c>
      <c r="AC4721" s="167">
        <v>348</v>
      </c>
      <c r="AD4721" s="203">
        <v>43122</v>
      </c>
      <c r="AE4721" s="203">
        <v>43160</v>
      </c>
      <c r="AF4721" s="167" t="s">
        <v>3470</v>
      </c>
    </row>
    <row r="4722" spans="28:32" x14ac:dyDescent="0.25">
      <c r="AB4722" s="167" t="s">
        <v>3241</v>
      </c>
      <c r="AC4722" s="167">
        <v>348</v>
      </c>
      <c r="AD4722" s="203">
        <v>43122</v>
      </c>
      <c r="AE4722" s="203">
        <v>43160</v>
      </c>
      <c r="AF4722" s="167" t="s">
        <v>3470</v>
      </c>
    </row>
    <row r="4723" spans="28:32" x14ac:dyDescent="0.25">
      <c r="AB4723" s="167" t="s">
        <v>3242</v>
      </c>
      <c r="AC4723" s="167">
        <v>348</v>
      </c>
      <c r="AD4723" s="203">
        <v>43122</v>
      </c>
      <c r="AE4723" s="203">
        <v>43160</v>
      </c>
      <c r="AF4723" s="167" t="s">
        <v>3470</v>
      </c>
    </row>
    <row r="4724" spans="28:32" x14ac:dyDescent="0.25">
      <c r="AB4724" s="167" t="s">
        <v>3243</v>
      </c>
      <c r="AC4724" s="167">
        <v>348</v>
      </c>
      <c r="AD4724" s="203">
        <v>43122</v>
      </c>
      <c r="AE4724" s="203">
        <v>43160</v>
      </c>
      <c r="AF4724" s="167" t="s">
        <v>3470</v>
      </c>
    </row>
    <row r="4725" spans="28:32" x14ac:dyDescent="0.25">
      <c r="AB4725" s="167" t="s">
        <v>3244</v>
      </c>
      <c r="AC4725" s="167">
        <v>348</v>
      </c>
      <c r="AD4725" s="203">
        <v>43122</v>
      </c>
      <c r="AE4725" s="203">
        <v>43160</v>
      </c>
      <c r="AF4725" s="167" t="s">
        <v>3470</v>
      </c>
    </row>
    <row r="4726" spans="28:32" x14ac:dyDescent="0.25">
      <c r="AB4726" s="167" t="s">
        <v>3245</v>
      </c>
      <c r="AC4726" s="167">
        <v>348</v>
      </c>
      <c r="AD4726" s="203">
        <v>43122</v>
      </c>
      <c r="AE4726" s="203">
        <v>43160</v>
      </c>
      <c r="AF4726" s="167" t="s">
        <v>3470</v>
      </c>
    </row>
    <row r="4727" spans="28:32" x14ac:dyDescent="0.25">
      <c r="AB4727" s="167" t="s">
        <v>3246</v>
      </c>
      <c r="AC4727" s="167">
        <v>348</v>
      </c>
      <c r="AD4727" s="203">
        <v>43122</v>
      </c>
      <c r="AE4727" s="203">
        <v>43160</v>
      </c>
      <c r="AF4727" s="167" t="s">
        <v>3470</v>
      </c>
    </row>
    <row r="4728" spans="28:32" x14ac:dyDescent="0.25">
      <c r="AB4728" s="167" t="s">
        <v>3247</v>
      </c>
      <c r="AC4728" s="167">
        <v>348</v>
      </c>
      <c r="AD4728" s="203">
        <v>43122</v>
      </c>
      <c r="AE4728" s="203">
        <v>43160</v>
      </c>
      <c r="AF4728" s="167" t="s">
        <v>3470</v>
      </c>
    </row>
    <row r="4729" spans="28:32" x14ac:dyDescent="0.25">
      <c r="AB4729" s="167" t="s">
        <v>3395</v>
      </c>
      <c r="AC4729" s="167">
        <v>351</v>
      </c>
      <c r="AD4729" s="203">
        <v>43133</v>
      </c>
      <c r="AE4729" s="203">
        <v>43224</v>
      </c>
      <c r="AF4729" s="167" t="s">
        <v>3469</v>
      </c>
    </row>
    <row r="4730" spans="28:32" x14ac:dyDescent="0.25">
      <c r="AB4730" s="167" t="s">
        <v>3248</v>
      </c>
      <c r="AC4730" s="167">
        <v>342</v>
      </c>
      <c r="AD4730" s="203">
        <v>43125</v>
      </c>
      <c r="AE4730" s="203">
        <v>43160</v>
      </c>
      <c r="AF4730" s="167" t="s">
        <v>3470</v>
      </c>
    </row>
    <row r="4731" spans="28:32" x14ac:dyDescent="0.25">
      <c r="AB4731" s="167" t="s">
        <v>3249</v>
      </c>
      <c r="AC4731" s="167">
        <v>342</v>
      </c>
      <c r="AD4731" s="203">
        <v>43125</v>
      </c>
      <c r="AE4731" s="203">
        <v>43160</v>
      </c>
      <c r="AF4731" s="167" t="s">
        <v>3470</v>
      </c>
    </row>
    <row r="4732" spans="28:32" x14ac:dyDescent="0.25">
      <c r="AB4732" s="167" t="s">
        <v>3250</v>
      </c>
      <c r="AC4732" s="167">
        <v>350</v>
      </c>
      <c r="AD4732" s="203">
        <v>43132</v>
      </c>
      <c r="AE4732" s="203">
        <v>43195</v>
      </c>
      <c r="AF4732" s="167" t="s">
        <v>3470</v>
      </c>
    </row>
    <row r="4733" spans="28:32" x14ac:dyDescent="0.25">
      <c r="AB4733" s="167" t="s">
        <v>3250</v>
      </c>
      <c r="AC4733" s="167">
        <v>333</v>
      </c>
      <c r="AD4733" s="203">
        <v>43206</v>
      </c>
      <c r="AE4733" s="203">
        <v>43210</v>
      </c>
      <c r="AF4733" s="167" t="s">
        <v>3470</v>
      </c>
    </row>
    <row r="4734" spans="28:32" x14ac:dyDescent="0.25">
      <c r="AB4734" s="167" t="s">
        <v>3250</v>
      </c>
      <c r="AC4734" s="167">
        <v>377</v>
      </c>
      <c r="AD4734" s="203">
        <v>43210</v>
      </c>
      <c r="AE4734" s="203">
        <v>43210</v>
      </c>
      <c r="AF4734" s="167" t="s">
        <v>3470</v>
      </c>
    </row>
    <row r="4735" spans="28:32" x14ac:dyDescent="0.25">
      <c r="AB4735" s="167" t="s">
        <v>3252</v>
      </c>
      <c r="AC4735" s="167">
        <v>357</v>
      </c>
      <c r="AD4735" s="203">
        <v>43139</v>
      </c>
      <c r="AE4735" s="203">
        <v>43164</v>
      </c>
      <c r="AF4735" s="167" t="s">
        <v>3470</v>
      </c>
    </row>
    <row r="4736" spans="28:32" x14ac:dyDescent="0.25">
      <c r="AB4736" s="167" t="s">
        <v>3252</v>
      </c>
      <c r="AC4736" s="167">
        <v>364</v>
      </c>
      <c r="AD4736" s="203">
        <v>43168</v>
      </c>
      <c r="AE4736" s="203">
        <v>43179</v>
      </c>
      <c r="AF4736" s="167" t="s">
        <v>3470</v>
      </c>
    </row>
    <row r="4737" spans="28:32" x14ac:dyDescent="0.25">
      <c r="AB4737" s="167" t="s">
        <v>3252</v>
      </c>
      <c r="AC4737" s="167">
        <v>353</v>
      </c>
      <c r="AD4737" s="203">
        <v>43180</v>
      </c>
      <c r="AE4737" s="203">
        <v>0</v>
      </c>
      <c r="AF4737" s="167" t="s">
        <v>3469</v>
      </c>
    </row>
    <row r="4738" spans="28:32" x14ac:dyDescent="0.25">
      <c r="AB4738" s="167" t="s">
        <v>3252</v>
      </c>
      <c r="AC4738" s="167">
        <v>353</v>
      </c>
      <c r="AD4738" s="203">
        <v>43180</v>
      </c>
      <c r="AE4738" s="203">
        <v>0</v>
      </c>
      <c r="AF4738" s="167" t="s">
        <v>3469</v>
      </c>
    </row>
    <row r="4739" spans="28:32" x14ac:dyDescent="0.25">
      <c r="AB4739" s="167" t="s">
        <v>3252</v>
      </c>
      <c r="AC4739" s="167">
        <v>353</v>
      </c>
      <c r="AD4739" s="203">
        <v>43180</v>
      </c>
      <c r="AE4739" s="203">
        <v>0</v>
      </c>
      <c r="AF4739" s="167" t="s">
        <v>3469</v>
      </c>
    </row>
    <row r="4740" spans="28:32" x14ac:dyDescent="0.25">
      <c r="AB4740" s="167" t="s">
        <v>3253</v>
      </c>
      <c r="AC4740" s="167">
        <v>342</v>
      </c>
      <c r="AD4740" s="203">
        <v>43125</v>
      </c>
      <c r="AE4740" s="203">
        <v>43160</v>
      </c>
      <c r="AF4740" s="167" t="s">
        <v>3470</v>
      </c>
    </row>
    <row r="4741" spans="28:32" x14ac:dyDescent="0.25">
      <c r="AB4741" s="167" t="s">
        <v>3254</v>
      </c>
      <c r="AC4741" s="167">
        <v>342</v>
      </c>
      <c r="AD4741" s="203">
        <v>43125</v>
      </c>
      <c r="AE4741" s="203">
        <v>43160</v>
      </c>
      <c r="AF4741" s="167" t="s">
        <v>3470</v>
      </c>
    </row>
    <row r="4742" spans="28:32" x14ac:dyDescent="0.25">
      <c r="AB4742" s="167" t="s">
        <v>3255</v>
      </c>
      <c r="AC4742" s="167">
        <v>342</v>
      </c>
      <c r="AD4742" s="203">
        <v>43125</v>
      </c>
      <c r="AE4742" s="203">
        <v>43160</v>
      </c>
      <c r="AF4742" s="167" t="s">
        <v>3470</v>
      </c>
    </row>
    <row r="4743" spans="28:32" x14ac:dyDescent="0.25">
      <c r="AB4743" s="167" t="s">
        <v>3256</v>
      </c>
      <c r="AC4743" s="167">
        <v>342</v>
      </c>
      <c r="AD4743" s="203">
        <v>43125</v>
      </c>
      <c r="AE4743" s="203">
        <v>43160</v>
      </c>
      <c r="AF4743" s="167" t="s">
        <v>3470</v>
      </c>
    </row>
    <row r="4744" spans="28:32" x14ac:dyDescent="0.25">
      <c r="AB4744" s="167" t="s">
        <v>3257</v>
      </c>
      <c r="AC4744" s="167">
        <v>342</v>
      </c>
      <c r="AD4744" s="203">
        <v>43125</v>
      </c>
      <c r="AE4744" s="203">
        <v>43160</v>
      </c>
      <c r="AF4744" s="167" t="s">
        <v>3470</v>
      </c>
    </row>
    <row r="4745" spans="28:32" x14ac:dyDescent="0.25">
      <c r="AB4745" s="167" t="s">
        <v>3258</v>
      </c>
      <c r="AC4745" s="167">
        <v>342</v>
      </c>
      <c r="AD4745" s="203">
        <v>43125</v>
      </c>
      <c r="AE4745" s="203">
        <v>43160</v>
      </c>
      <c r="AF4745" s="167" t="s">
        <v>3470</v>
      </c>
    </row>
    <row r="4746" spans="28:32" x14ac:dyDescent="0.25">
      <c r="AB4746" s="167" t="s">
        <v>3259</v>
      </c>
      <c r="AC4746" s="167">
        <v>342</v>
      </c>
      <c r="AD4746" s="203">
        <v>43125</v>
      </c>
      <c r="AE4746" s="203">
        <v>43160</v>
      </c>
      <c r="AF4746" s="167" t="s">
        <v>3470</v>
      </c>
    </row>
    <row r="4747" spans="28:32" x14ac:dyDescent="0.25">
      <c r="AB4747" s="167" t="s">
        <v>3260</v>
      </c>
      <c r="AC4747" s="167">
        <v>342</v>
      </c>
      <c r="AD4747" s="203">
        <v>43125</v>
      </c>
      <c r="AE4747" s="203">
        <v>43160</v>
      </c>
      <c r="AF4747" s="167" t="s">
        <v>3470</v>
      </c>
    </row>
    <row r="4748" spans="28:32" x14ac:dyDescent="0.25">
      <c r="AB4748" s="167" t="s">
        <v>3261</v>
      </c>
      <c r="AC4748" s="167">
        <v>342</v>
      </c>
      <c r="AD4748" s="203">
        <v>43125</v>
      </c>
      <c r="AE4748" s="203">
        <v>43160</v>
      </c>
      <c r="AF4748" s="167" t="s">
        <v>3470</v>
      </c>
    </row>
    <row r="4749" spans="28:32" x14ac:dyDescent="0.25">
      <c r="AB4749" s="167" t="s">
        <v>3263</v>
      </c>
      <c r="AC4749" s="167">
        <v>364</v>
      </c>
      <c r="AD4749" s="203">
        <v>43168</v>
      </c>
      <c r="AE4749" s="203">
        <v>43179</v>
      </c>
      <c r="AF4749" s="167" t="s">
        <v>3470</v>
      </c>
    </row>
    <row r="4750" spans="28:32" x14ac:dyDescent="0.25">
      <c r="AB4750" s="167" t="s">
        <v>3263</v>
      </c>
      <c r="AC4750" s="167">
        <v>353</v>
      </c>
      <c r="AD4750" s="203">
        <v>43180</v>
      </c>
      <c r="AE4750" s="203">
        <v>0</v>
      </c>
      <c r="AF4750" s="167" t="s">
        <v>3469</v>
      </c>
    </row>
    <row r="4751" spans="28:32" x14ac:dyDescent="0.25">
      <c r="AB4751" s="167" t="s">
        <v>3263</v>
      </c>
      <c r="AC4751" s="167">
        <v>353</v>
      </c>
      <c r="AD4751" s="203">
        <v>43180</v>
      </c>
      <c r="AE4751" s="203">
        <v>0</v>
      </c>
      <c r="AF4751" s="167" t="s">
        <v>3469</v>
      </c>
    </row>
    <row r="4752" spans="28:32" x14ac:dyDescent="0.25">
      <c r="AB4752" s="167" t="s">
        <v>3265</v>
      </c>
      <c r="AC4752" s="167">
        <v>357</v>
      </c>
      <c r="AD4752" s="203">
        <v>43139</v>
      </c>
      <c r="AE4752" s="203">
        <v>43164</v>
      </c>
      <c r="AF4752" s="167" t="s">
        <v>3470</v>
      </c>
    </row>
    <row r="4753" spans="28:32" x14ac:dyDescent="0.25">
      <c r="AB4753" s="167" t="s">
        <v>3265</v>
      </c>
      <c r="AC4753" s="167">
        <v>353</v>
      </c>
      <c r="AD4753" s="203">
        <v>43180</v>
      </c>
      <c r="AE4753" s="203">
        <v>0</v>
      </c>
      <c r="AF4753" s="167" t="s">
        <v>3469</v>
      </c>
    </row>
    <row r="4754" spans="28:32" x14ac:dyDescent="0.25">
      <c r="AB4754" s="167" t="s">
        <v>3267</v>
      </c>
      <c r="AC4754" s="167">
        <v>357</v>
      </c>
      <c r="AD4754" s="203">
        <v>43139</v>
      </c>
      <c r="AE4754" s="203">
        <v>43164</v>
      </c>
      <c r="AF4754" s="167" t="s">
        <v>3470</v>
      </c>
    </row>
    <row r="4755" spans="28:32" x14ac:dyDescent="0.25">
      <c r="AB4755" s="167" t="s">
        <v>3267</v>
      </c>
      <c r="AC4755" s="167">
        <v>353</v>
      </c>
      <c r="AD4755" s="203">
        <v>43180</v>
      </c>
      <c r="AE4755" s="203">
        <v>0</v>
      </c>
      <c r="AF4755" s="167" t="s">
        <v>3469</v>
      </c>
    </row>
    <row r="4756" spans="28:32" x14ac:dyDescent="0.25">
      <c r="AB4756" s="167" t="s">
        <v>3269</v>
      </c>
      <c r="AC4756" s="167">
        <v>357</v>
      </c>
      <c r="AD4756" s="203">
        <v>43139</v>
      </c>
      <c r="AE4756" s="203">
        <v>43164</v>
      </c>
      <c r="AF4756" s="167" t="s">
        <v>3470</v>
      </c>
    </row>
    <row r="4757" spans="28:32" x14ac:dyDescent="0.25">
      <c r="AB4757" s="167" t="s">
        <v>3269</v>
      </c>
      <c r="AC4757" s="167">
        <v>353</v>
      </c>
      <c r="AD4757" s="203">
        <v>43180</v>
      </c>
      <c r="AE4757" s="203">
        <v>0</v>
      </c>
      <c r="AF4757" s="167" t="s">
        <v>3469</v>
      </c>
    </row>
    <row r="4758" spans="28:32" x14ac:dyDescent="0.25">
      <c r="AB4758" s="167" t="s">
        <v>3271</v>
      </c>
      <c r="AC4758" s="167">
        <v>357</v>
      </c>
      <c r="AD4758" s="203">
        <v>43139</v>
      </c>
      <c r="AE4758" s="203">
        <v>43164</v>
      </c>
      <c r="AF4758" s="167" t="s">
        <v>3470</v>
      </c>
    </row>
    <row r="4759" spans="28:32" x14ac:dyDescent="0.25">
      <c r="AB4759" s="167" t="s">
        <v>3271</v>
      </c>
      <c r="AC4759" s="167">
        <v>353</v>
      </c>
      <c r="AD4759" s="203">
        <v>43180</v>
      </c>
      <c r="AE4759" s="203">
        <v>0</v>
      </c>
      <c r="AF4759" s="167" t="s">
        <v>3469</v>
      </c>
    </row>
    <row r="4760" spans="28:32" x14ac:dyDescent="0.25">
      <c r="AB4760" s="167" t="s">
        <v>3273</v>
      </c>
      <c r="AC4760" s="167">
        <v>357</v>
      </c>
      <c r="AD4760" s="203">
        <v>43139</v>
      </c>
      <c r="AE4760" s="203">
        <v>43164</v>
      </c>
      <c r="AF4760" s="167" t="s">
        <v>3470</v>
      </c>
    </row>
    <row r="4761" spans="28:32" x14ac:dyDescent="0.25">
      <c r="AB4761" s="167" t="s">
        <v>3273</v>
      </c>
      <c r="AC4761" s="167">
        <v>353</v>
      </c>
      <c r="AD4761" s="203">
        <v>43180</v>
      </c>
      <c r="AE4761" s="203">
        <v>0</v>
      </c>
      <c r="AF4761" s="167" t="s">
        <v>3469</v>
      </c>
    </row>
    <row r="4762" spans="28:32" x14ac:dyDescent="0.25">
      <c r="AB4762" s="167" t="s">
        <v>3275</v>
      </c>
      <c r="AC4762" s="167">
        <v>357</v>
      </c>
      <c r="AD4762" s="203">
        <v>43139</v>
      </c>
      <c r="AE4762" s="203">
        <v>43164</v>
      </c>
      <c r="AF4762" s="167" t="s">
        <v>3470</v>
      </c>
    </row>
    <row r="4763" spans="28:32" x14ac:dyDescent="0.25">
      <c r="AB4763" s="167" t="s">
        <v>3275</v>
      </c>
      <c r="AC4763" s="167">
        <v>353</v>
      </c>
      <c r="AD4763" s="203">
        <v>43180</v>
      </c>
      <c r="AE4763" s="203">
        <v>0</v>
      </c>
      <c r="AF4763" s="167" t="s">
        <v>3469</v>
      </c>
    </row>
    <row r="4764" spans="28:32" x14ac:dyDescent="0.25">
      <c r="AB4764" s="167" t="s">
        <v>3558</v>
      </c>
      <c r="AC4764" s="167">
        <v>342</v>
      </c>
      <c r="AD4764" s="203">
        <v>43125</v>
      </c>
      <c r="AE4764" s="203">
        <v>43160</v>
      </c>
      <c r="AF4764" s="167" t="s">
        <v>3470</v>
      </c>
    </row>
    <row r="4765" spans="28:32" x14ac:dyDescent="0.25">
      <c r="AB4765" s="167" t="s">
        <v>3559</v>
      </c>
      <c r="AC4765" s="167">
        <v>342</v>
      </c>
      <c r="AD4765" s="203">
        <v>43125</v>
      </c>
      <c r="AE4765" s="203">
        <v>43160</v>
      </c>
      <c r="AF4765" s="167" t="s">
        <v>3470</v>
      </c>
    </row>
    <row r="4766" spans="28:32" x14ac:dyDescent="0.25">
      <c r="AB4766" s="167" t="s">
        <v>3560</v>
      </c>
      <c r="AC4766" s="167">
        <v>342</v>
      </c>
      <c r="AD4766" s="203">
        <v>43125</v>
      </c>
      <c r="AE4766" s="203">
        <v>43160</v>
      </c>
      <c r="AF4766" s="167" t="s">
        <v>3470</v>
      </c>
    </row>
    <row r="4767" spans="28:32" x14ac:dyDescent="0.25">
      <c r="AB4767" s="167" t="s">
        <v>3276</v>
      </c>
      <c r="AC4767" s="167">
        <v>342</v>
      </c>
      <c r="AD4767" s="203">
        <v>43125</v>
      </c>
      <c r="AE4767" s="203">
        <v>43160</v>
      </c>
      <c r="AF4767" s="167" t="s">
        <v>3470</v>
      </c>
    </row>
    <row r="4768" spans="28:32" x14ac:dyDescent="0.25">
      <c r="AB4768" s="167" t="s">
        <v>3561</v>
      </c>
      <c r="AC4768" s="167">
        <v>342</v>
      </c>
      <c r="AD4768" s="203">
        <v>43125</v>
      </c>
      <c r="AE4768" s="203">
        <v>43160</v>
      </c>
      <c r="AF4768" s="167" t="s">
        <v>3470</v>
      </c>
    </row>
    <row r="4769" spans="28:32" x14ac:dyDescent="0.25">
      <c r="AB4769" s="167" t="s">
        <v>3562</v>
      </c>
      <c r="AC4769" s="167">
        <v>342</v>
      </c>
      <c r="AD4769" s="203">
        <v>43125</v>
      </c>
      <c r="AE4769" s="203">
        <v>43160</v>
      </c>
      <c r="AF4769" s="167" t="s">
        <v>3470</v>
      </c>
    </row>
    <row r="4770" spans="28:32" x14ac:dyDescent="0.25">
      <c r="AB4770" s="167" t="s">
        <v>3563</v>
      </c>
      <c r="AC4770" s="167">
        <v>342</v>
      </c>
      <c r="AD4770" s="203">
        <v>43125</v>
      </c>
      <c r="AE4770" s="203">
        <v>43160</v>
      </c>
      <c r="AF4770" s="167" t="s">
        <v>3470</v>
      </c>
    </row>
    <row r="4771" spans="28:32" x14ac:dyDescent="0.25">
      <c r="AB4771" s="167" t="s">
        <v>3278</v>
      </c>
      <c r="AC4771" s="167">
        <v>374</v>
      </c>
      <c r="AD4771" s="203">
        <v>43195</v>
      </c>
      <c r="AE4771" s="203">
        <v>0</v>
      </c>
      <c r="AF4771" s="167" t="s">
        <v>3469</v>
      </c>
    </row>
    <row r="4772" spans="28:32" x14ac:dyDescent="0.25">
      <c r="AB4772" s="167" t="s">
        <v>3280</v>
      </c>
      <c r="AC4772" s="167">
        <v>364</v>
      </c>
      <c r="AD4772" s="203">
        <v>43168</v>
      </c>
      <c r="AE4772" s="203">
        <v>43179</v>
      </c>
      <c r="AF4772" s="167" t="s">
        <v>3470</v>
      </c>
    </row>
    <row r="4773" spans="28:32" x14ac:dyDescent="0.25">
      <c r="AB4773" s="167" t="s">
        <v>3280</v>
      </c>
      <c r="AC4773" s="167">
        <v>353</v>
      </c>
      <c r="AD4773" s="203">
        <v>43180</v>
      </c>
      <c r="AE4773" s="203">
        <v>0</v>
      </c>
      <c r="AF4773" s="167" t="s">
        <v>3469</v>
      </c>
    </row>
    <row r="4774" spans="28:32" x14ac:dyDescent="0.25">
      <c r="AB4774" s="167" t="s">
        <v>3282</v>
      </c>
      <c r="AC4774" s="167">
        <v>357</v>
      </c>
      <c r="AD4774" s="203">
        <v>43139</v>
      </c>
      <c r="AE4774" s="203">
        <v>43164</v>
      </c>
      <c r="AF4774" s="167" t="s">
        <v>3470</v>
      </c>
    </row>
    <row r="4775" spans="28:32" x14ac:dyDescent="0.25">
      <c r="AB4775" s="167" t="s">
        <v>3282</v>
      </c>
      <c r="AC4775" s="167">
        <v>353</v>
      </c>
      <c r="AD4775" s="203">
        <v>43180</v>
      </c>
      <c r="AE4775" s="203">
        <v>0</v>
      </c>
      <c r="AF4775" s="167" t="s">
        <v>3469</v>
      </c>
    </row>
    <row r="4776" spans="28:32" x14ac:dyDescent="0.25">
      <c r="AB4776" s="167" t="s">
        <v>3284</v>
      </c>
      <c r="AC4776" s="167">
        <v>357</v>
      </c>
      <c r="AD4776" s="203">
        <v>43139</v>
      </c>
      <c r="AE4776" s="203">
        <v>43164</v>
      </c>
      <c r="AF4776" s="167" t="s">
        <v>3470</v>
      </c>
    </row>
    <row r="4777" spans="28:32" x14ac:dyDescent="0.25">
      <c r="AB4777" s="167" t="s">
        <v>3284</v>
      </c>
      <c r="AC4777" s="167">
        <v>353</v>
      </c>
      <c r="AD4777" s="203">
        <v>43180</v>
      </c>
      <c r="AE4777" s="203">
        <v>0</v>
      </c>
      <c r="AF4777" s="167" t="s">
        <v>3469</v>
      </c>
    </row>
    <row r="4778" spans="28:32" x14ac:dyDescent="0.25">
      <c r="AB4778" s="167" t="s">
        <v>3286</v>
      </c>
      <c r="AC4778" s="167">
        <v>357</v>
      </c>
      <c r="AD4778" s="203">
        <v>43139</v>
      </c>
      <c r="AE4778" s="203">
        <v>43164</v>
      </c>
      <c r="AF4778" s="167" t="s">
        <v>3470</v>
      </c>
    </row>
    <row r="4779" spans="28:32" x14ac:dyDescent="0.25">
      <c r="AB4779" s="167" t="s">
        <v>3286</v>
      </c>
      <c r="AC4779" s="167">
        <v>364</v>
      </c>
      <c r="AD4779" s="203">
        <v>43168</v>
      </c>
      <c r="AE4779" s="203">
        <v>43179</v>
      </c>
      <c r="AF4779" s="167" t="s">
        <v>3470</v>
      </c>
    </row>
    <row r="4780" spans="28:32" x14ac:dyDescent="0.25">
      <c r="AB4780" s="167" t="s">
        <v>3286</v>
      </c>
      <c r="AC4780" s="167">
        <v>353</v>
      </c>
      <c r="AD4780" s="203">
        <v>43180</v>
      </c>
      <c r="AE4780" s="203">
        <v>0</v>
      </c>
      <c r="AF4780" s="167" t="s">
        <v>3469</v>
      </c>
    </row>
    <row r="4781" spans="28:32" x14ac:dyDescent="0.25">
      <c r="AB4781" s="167" t="s">
        <v>3286</v>
      </c>
      <c r="AC4781" s="167">
        <v>353</v>
      </c>
      <c r="AD4781" s="203">
        <v>43180</v>
      </c>
      <c r="AE4781" s="203">
        <v>0</v>
      </c>
      <c r="AF4781" s="167" t="s">
        <v>3469</v>
      </c>
    </row>
    <row r="4782" spans="28:32" x14ac:dyDescent="0.25">
      <c r="AB4782" s="167" t="s">
        <v>3286</v>
      </c>
      <c r="AC4782" s="167">
        <v>353</v>
      </c>
      <c r="AD4782" s="203">
        <v>43180</v>
      </c>
      <c r="AE4782" s="203">
        <v>0</v>
      </c>
      <c r="AF4782" s="167" t="s">
        <v>3469</v>
      </c>
    </row>
    <row r="4783" spans="28:32" x14ac:dyDescent="0.25">
      <c r="AB4783" s="167" t="s">
        <v>3286</v>
      </c>
      <c r="AC4783" s="167">
        <v>353</v>
      </c>
      <c r="AD4783" s="203">
        <v>43180</v>
      </c>
      <c r="AE4783" s="203">
        <v>0</v>
      </c>
      <c r="AF4783" s="167" t="s">
        <v>3469</v>
      </c>
    </row>
    <row r="4784" spans="28:32" x14ac:dyDescent="0.25">
      <c r="AB4784" s="167" t="s">
        <v>3286</v>
      </c>
      <c r="AC4784" s="167">
        <v>353</v>
      </c>
      <c r="AD4784" s="203">
        <v>43180</v>
      </c>
      <c r="AE4784" s="203">
        <v>0</v>
      </c>
      <c r="AF4784" s="167" t="s">
        <v>3469</v>
      </c>
    </row>
    <row r="4785" spans="28:32" x14ac:dyDescent="0.25">
      <c r="AB4785" s="167" t="s">
        <v>3466</v>
      </c>
      <c r="AC4785" s="167">
        <v>374</v>
      </c>
      <c r="AD4785" s="203">
        <v>43195</v>
      </c>
      <c r="AE4785" s="203">
        <v>0</v>
      </c>
      <c r="AF4785" s="167" t="s">
        <v>3469</v>
      </c>
    </row>
    <row r="4786" spans="28:32" x14ac:dyDescent="0.25">
      <c r="AB4786" s="167" t="s">
        <v>3467</v>
      </c>
      <c r="AC4786" s="167">
        <v>374</v>
      </c>
      <c r="AD4786" s="203">
        <v>43195</v>
      </c>
      <c r="AE4786" s="203">
        <v>0</v>
      </c>
      <c r="AF4786" s="167" t="s">
        <v>3469</v>
      </c>
    </row>
    <row r="4787" spans="28:32" x14ac:dyDescent="0.25">
      <c r="AB4787" s="167" t="s">
        <v>3468</v>
      </c>
      <c r="AC4787" s="167">
        <v>374</v>
      </c>
      <c r="AD4787" s="203">
        <v>43195</v>
      </c>
      <c r="AE4787" s="203">
        <v>0</v>
      </c>
      <c r="AF4787" s="167" t="s">
        <v>3469</v>
      </c>
    </row>
    <row r="4788" spans="28:32" x14ac:dyDescent="0.25">
      <c r="AB4788" s="167" t="s">
        <v>3287</v>
      </c>
      <c r="AC4788" s="167">
        <v>342</v>
      </c>
      <c r="AD4788" s="203">
        <v>43125</v>
      </c>
      <c r="AE4788" s="203">
        <v>43160</v>
      </c>
      <c r="AF4788" s="167" t="s">
        <v>3470</v>
      </c>
    </row>
    <row r="4789" spans="28:32" x14ac:dyDescent="0.25">
      <c r="AB4789" s="167" t="s">
        <v>3288</v>
      </c>
      <c r="AC4789" s="167">
        <v>342</v>
      </c>
      <c r="AD4789" s="203">
        <v>43125</v>
      </c>
      <c r="AE4789" s="203">
        <v>43160</v>
      </c>
      <c r="AF4789" s="167" t="s">
        <v>3470</v>
      </c>
    </row>
    <row r="4790" spans="28:32" x14ac:dyDescent="0.25">
      <c r="AB4790" s="167" t="s">
        <v>3289</v>
      </c>
      <c r="AC4790" s="167">
        <v>342</v>
      </c>
      <c r="AD4790" s="203">
        <v>43125</v>
      </c>
      <c r="AE4790" s="203">
        <v>43160</v>
      </c>
      <c r="AF4790" s="167" t="s">
        <v>3470</v>
      </c>
    </row>
    <row r="4791" spans="28:32" x14ac:dyDescent="0.25">
      <c r="AB4791" s="167" t="s">
        <v>3290</v>
      </c>
      <c r="AC4791" s="167">
        <v>342</v>
      </c>
      <c r="AD4791" s="203">
        <v>43125</v>
      </c>
      <c r="AE4791" s="203">
        <v>43160</v>
      </c>
      <c r="AF4791" s="167" t="s">
        <v>3470</v>
      </c>
    </row>
    <row r="4792" spans="28:32" x14ac:dyDescent="0.25">
      <c r="AB4792" s="167" t="s">
        <v>3291</v>
      </c>
      <c r="AC4792" s="167">
        <v>342</v>
      </c>
      <c r="AD4792" s="203">
        <v>43125</v>
      </c>
      <c r="AE4792" s="203">
        <v>43160</v>
      </c>
      <c r="AF4792" s="167" t="s">
        <v>3470</v>
      </c>
    </row>
    <row r="4793" spans="28:32" x14ac:dyDescent="0.25">
      <c r="AB4793" s="167" t="s">
        <v>3292</v>
      </c>
      <c r="AC4793" s="167">
        <v>342</v>
      </c>
      <c r="AD4793" s="203">
        <v>43125</v>
      </c>
      <c r="AE4793" s="203">
        <v>43160</v>
      </c>
      <c r="AF4793" s="167" t="s">
        <v>3470</v>
      </c>
    </row>
    <row r="4794" spans="28:32" x14ac:dyDescent="0.25">
      <c r="AB4794" s="167" t="s">
        <v>3293</v>
      </c>
      <c r="AC4794" s="167">
        <v>342</v>
      </c>
      <c r="AD4794" s="203">
        <v>43125</v>
      </c>
      <c r="AE4794" s="203">
        <v>43160</v>
      </c>
      <c r="AF4794" s="167" t="s">
        <v>3470</v>
      </c>
    </row>
    <row r="4795" spans="28:32" x14ac:dyDescent="0.25">
      <c r="AB4795" s="167" t="s">
        <v>3295</v>
      </c>
      <c r="AC4795" s="167">
        <v>357</v>
      </c>
      <c r="AD4795" s="203">
        <v>43139</v>
      </c>
      <c r="AE4795" s="203">
        <v>43164</v>
      </c>
      <c r="AF4795" s="167" t="s">
        <v>3470</v>
      </c>
    </row>
    <row r="4796" spans="28:32" x14ac:dyDescent="0.25">
      <c r="AB4796" s="167" t="s">
        <v>3295</v>
      </c>
      <c r="AC4796" s="167">
        <v>364</v>
      </c>
      <c r="AD4796" s="203">
        <v>43168</v>
      </c>
      <c r="AE4796" s="203">
        <v>43179</v>
      </c>
      <c r="AF4796" s="167" t="s">
        <v>3470</v>
      </c>
    </row>
    <row r="4797" spans="28:32" x14ac:dyDescent="0.25">
      <c r="AB4797" s="167" t="s">
        <v>3295</v>
      </c>
      <c r="AC4797" s="167">
        <v>353</v>
      </c>
      <c r="AD4797" s="203">
        <v>43180</v>
      </c>
      <c r="AE4797" s="203">
        <v>0</v>
      </c>
      <c r="AF4797" s="167" t="s">
        <v>3469</v>
      </c>
    </row>
    <row r="4798" spans="28:32" x14ac:dyDescent="0.25">
      <c r="AB4798" s="167" t="s">
        <v>3295</v>
      </c>
      <c r="AC4798" s="167">
        <v>353</v>
      </c>
      <c r="AD4798" s="203">
        <v>43180</v>
      </c>
      <c r="AE4798" s="203">
        <v>0</v>
      </c>
      <c r="AF4798" s="167" t="s">
        <v>3469</v>
      </c>
    </row>
    <row r="4799" spans="28:32" x14ac:dyDescent="0.25">
      <c r="AB4799" s="167" t="s">
        <v>3297</v>
      </c>
      <c r="AC4799" s="167">
        <v>357</v>
      </c>
      <c r="AD4799" s="203">
        <v>43139</v>
      </c>
      <c r="AE4799" s="203">
        <v>43164</v>
      </c>
      <c r="AF4799" s="167" t="s">
        <v>3470</v>
      </c>
    </row>
    <row r="4800" spans="28:32" x14ac:dyDescent="0.25">
      <c r="AB4800" s="167" t="s">
        <v>3297</v>
      </c>
      <c r="AC4800" s="167">
        <v>353</v>
      </c>
      <c r="AD4800" s="203">
        <v>43180</v>
      </c>
      <c r="AE4800" s="203">
        <v>0</v>
      </c>
      <c r="AF4800" s="167" t="s">
        <v>3469</v>
      </c>
    </row>
    <row r="4801" spans="28:32" x14ac:dyDescent="0.25">
      <c r="AB4801" s="167" t="s">
        <v>3299</v>
      </c>
      <c r="AC4801" s="167">
        <v>353</v>
      </c>
      <c r="AD4801" s="203">
        <v>43180</v>
      </c>
      <c r="AE4801" s="203">
        <v>0</v>
      </c>
      <c r="AF4801" s="167" t="s">
        <v>3469</v>
      </c>
    </row>
    <row r="4802" spans="28:32" x14ac:dyDescent="0.25">
      <c r="AB4802" s="167" t="s">
        <v>3300</v>
      </c>
      <c r="AC4802" s="167">
        <v>335</v>
      </c>
      <c r="AD4802" s="203">
        <v>43133</v>
      </c>
      <c r="AE4802" s="203">
        <v>43147</v>
      </c>
      <c r="AF4802" s="167" t="s">
        <v>3470</v>
      </c>
    </row>
    <row r="4803" spans="28:32" x14ac:dyDescent="0.25">
      <c r="AB4803" s="167" t="s">
        <v>3300</v>
      </c>
      <c r="AC4803" s="167">
        <v>364</v>
      </c>
      <c r="AD4803" s="203">
        <v>43168</v>
      </c>
      <c r="AE4803" s="203">
        <v>43179</v>
      </c>
      <c r="AF4803" s="167" t="s">
        <v>3470</v>
      </c>
    </row>
    <row r="4804" spans="28:32" x14ac:dyDescent="0.25">
      <c r="AB4804" s="167" t="s">
        <v>3302</v>
      </c>
      <c r="AC4804" s="167">
        <v>357</v>
      </c>
      <c r="AD4804" s="203">
        <v>43139</v>
      </c>
      <c r="AE4804" s="203">
        <v>43164</v>
      </c>
      <c r="AF4804" s="167" t="s">
        <v>3470</v>
      </c>
    </row>
    <row r="4805" spans="28:32" x14ac:dyDescent="0.25">
      <c r="AB4805" s="167" t="s">
        <v>3302</v>
      </c>
      <c r="AC4805" s="167">
        <v>353</v>
      </c>
      <c r="AD4805" s="203">
        <v>43180</v>
      </c>
      <c r="AE4805" s="203">
        <v>0</v>
      </c>
      <c r="AF4805" s="167" t="s">
        <v>3469</v>
      </c>
    </row>
    <row r="4806" spans="28:32" x14ac:dyDescent="0.25">
      <c r="AB4806" s="167" t="s">
        <v>3304</v>
      </c>
      <c r="AC4806" s="167">
        <v>357</v>
      </c>
      <c r="AD4806" s="203">
        <v>43139</v>
      </c>
      <c r="AE4806" s="203">
        <v>43164</v>
      </c>
      <c r="AF4806" s="167" t="s">
        <v>3470</v>
      </c>
    </row>
    <row r="4807" spans="28:32" x14ac:dyDescent="0.25">
      <c r="AB4807" s="167" t="s">
        <v>3304</v>
      </c>
      <c r="AC4807" s="167">
        <v>353</v>
      </c>
      <c r="AD4807" s="203">
        <v>43180</v>
      </c>
      <c r="AE4807" s="203">
        <v>0</v>
      </c>
      <c r="AF4807" s="167" t="s">
        <v>3469</v>
      </c>
    </row>
    <row r="4808" spans="28:32" x14ac:dyDescent="0.25">
      <c r="AB4808" s="167" t="s">
        <v>3305</v>
      </c>
      <c r="AC4808" s="167">
        <v>335</v>
      </c>
      <c r="AD4808" s="203">
        <v>43133</v>
      </c>
      <c r="AE4808" s="203">
        <v>43147</v>
      </c>
      <c r="AF4808" s="167" t="s">
        <v>3470</v>
      </c>
    </row>
    <row r="4809" spans="28:32" x14ac:dyDescent="0.25">
      <c r="AB4809" s="167" t="s">
        <v>3307</v>
      </c>
      <c r="AC4809" s="167">
        <v>357</v>
      </c>
      <c r="AD4809" s="203">
        <v>43139</v>
      </c>
      <c r="AE4809" s="203">
        <v>43164</v>
      </c>
      <c r="AF4809" s="167" t="s">
        <v>3470</v>
      </c>
    </row>
    <row r="4810" spans="28:32" x14ac:dyDescent="0.25">
      <c r="AB4810" s="167" t="s">
        <v>3307</v>
      </c>
      <c r="AC4810" s="167">
        <v>353</v>
      </c>
      <c r="AD4810" s="203">
        <v>43180</v>
      </c>
      <c r="AE4810" s="203">
        <v>0</v>
      </c>
      <c r="AF4810" s="167" t="s">
        <v>3469</v>
      </c>
    </row>
    <row r="4811" spans="28:32" x14ac:dyDescent="0.25">
      <c r="AB4811" s="167" t="s">
        <v>3309</v>
      </c>
      <c r="AC4811" s="167">
        <v>357</v>
      </c>
      <c r="AD4811" s="203">
        <v>43139</v>
      </c>
      <c r="AE4811" s="203">
        <v>43164</v>
      </c>
      <c r="AF4811" s="167" t="s">
        <v>3470</v>
      </c>
    </row>
    <row r="4812" spans="28:32" x14ac:dyDescent="0.25">
      <c r="AB4812" s="167" t="s">
        <v>3309</v>
      </c>
      <c r="AC4812" s="167">
        <v>353</v>
      </c>
      <c r="AD4812" s="203">
        <v>43180</v>
      </c>
      <c r="AE4812" s="203">
        <v>0</v>
      </c>
      <c r="AF4812" s="167" t="s">
        <v>3469</v>
      </c>
    </row>
    <row r="4813" spans="28:32" x14ac:dyDescent="0.25">
      <c r="AB4813" s="167" t="s">
        <v>3311</v>
      </c>
      <c r="AC4813" s="167">
        <v>364</v>
      </c>
      <c r="AD4813" s="203">
        <v>43168</v>
      </c>
      <c r="AE4813" s="203">
        <v>43179</v>
      </c>
      <c r="AF4813" s="167" t="s">
        <v>3470</v>
      </c>
    </row>
    <row r="4814" spans="28:32" x14ac:dyDescent="0.25">
      <c r="AB4814" s="167" t="s">
        <v>3311</v>
      </c>
      <c r="AC4814" s="167">
        <v>353</v>
      </c>
      <c r="AD4814" s="203">
        <v>43180</v>
      </c>
      <c r="AE4814" s="203">
        <v>0</v>
      </c>
      <c r="AF4814" s="167" t="s">
        <v>3469</v>
      </c>
    </row>
    <row r="4815" spans="28:32" x14ac:dyDescent="0.25">
      <c r="AB4815" s="167" t="s">
        <v>3311</v>
      </c>
      <c r="AC4815" s="167">
        <v>353</v>
      </c>
      <c r="AD4815" s="203">
        <v>43180</v>
      </c>
      <c r="AE4815" s="203">
        <v>0</v>
      </c>
      <c r="AF4815" s="167" t="s">
        <v>3469</v>
      </c>
    </row>
    <row r="4816" spans="28:32" x14ac:dyDescent="0.25">
      <c r="AB4816" s="167" t="s">
        <v>3311</v>
      </c>
      <c r="AC4816" s="167">
        <v>353</v>
      </c>
      <c r="AD4816" s="203">
        <v>43180</v>
      </c>
      <c r="AE4816" s="203">
        <v>0</v>
      </c>
      <c r="AF4816" s="167" t="s">
        <v>3469</v>
      </c>
    </row>
    <row r="4817" spans="28:32" x14ac:dyDescent="0.25">
      <c r="AB4817" s="167" t="s">
        <v>3313</v>
      </c>
      <c r="AC4817" s="167">
        <v>357</v>
      </c>
      <c r="AD4817" s="203">
        <v>43139</v>
      </c>
      <c r="AE4817" s="203">
        <v>43164</v>
      </c>
      <c r="AF4817" s="167" t="s">
        <v>3470</v>
      </c>
    </row>
    <row r="4818" spans="28:32" x14ac:dyDescent="0.25">
      <c r="AB4818" s="167" t="s">
        <v>3313</v>
      </c>
      <c r="AC4818" s="167">
        <v>353</v>
      </c>
      <c r="AD4818" s="203">
        <v>43180</v>
      </c>
      <c r="AE4818" s="203">
        <v>0</v>
      </c>
      <c r="AF4818" s="167" t="s">
        <v>3469</v>
      </c>
    </row>
    <row r="4819" spans="28:32" x14ac:dyDescent="0.25">
      <c r="AB4819" s="167" t="s">
        <v>3313</v>
      </c>
      <c r="AC4819" s="167">
        <v>353</v>
      </c>
      <c r="AD4819" s="203">
        <v>43180</v>
      </c>
      <c r="AE4819" s="203">
        <v>0</v>
      </c>
      <c r="AF4819" s="167" t="s">
        <v>3469</v>
      </c>
    </row>
    <row r="4820" spans="28:32" x14ac:dyDescent="0.25">
      <c r="AB4820" s="167" t="s">
        <v>3313</v>
      </c>
      <c r="AC4820" s="167">
        <v>353</v>
      </c>
      <c r="AD4820" s="203">
        <v>43180</v>
      </c>
      <c r="AE4820" s="203">
        <v>0</v>
      </c>
      <c r="AF4820" s="167" t="s">
        <v>3469</v>
      </c>
    </row>
    <row r="4821" spans="28:32" x14ac:dyDescent="0.25">
      <c r="AB4821" s="167" t="s">
        <v>3315</v>
      </c>
      <c r="AC4821" s="167">
        <v>364</v>
      </c>
      <c r="AD4821" s="203">
        <v>43168</v>
      </c>
      <c r="AE4821" s="203">
        <v>43179</v>
      </c>
      <c r="AF4821" s="167" t="s">
        <v>3470</v>
      </c>
    </row>
    <row r="4822" spans="28:32" x14ac:dyDescent="0.25">
      <c r="AB4822" s="167" t="s">
        <v>3315</v>
      </c>
      <c r="AC4822" s="167">
        <v>353</v>
      </c>
      <c r="AD4822" s="203">
        <v>43180</v>
      </c>
      <c r="AE4822" s="203">
        <v>0</v>
      </c>
      <c r="AF4822" s="167" t="s">
        <v>3469</v>
      </c>
    </row>
    <row r="4823" spans="28:32" x14ac:dyDescent="0.25">
      <c r="AB4823" s="167" t="s">
        <v>3315</v>
      </c>
      <c r="AC4823" s="167">
        <v>353</v>
      </c>
      <c r="AD4823" s="203">
        <v>43180</v>
      </c>
      <c r="AE4823" s="203">
        <v>0</v>
      </c>
      <c r="AF4823" s="167" t="s">
        <v>3469</v>
      </c>
    </row>
    <row r="4824" spans="28:32" x14ac:dyDescent="0.25">
      <c r="AB4824" s="167" t="s">
        <v>3315</v>
      </c>
      <c r="AC4824" s="167">
        <v>353</v>
      </c>
      <c r="AD4824" s="203">
        <v>43180</v>
      </c>
      <c r="AE4824" s="203">
        <v>0</v>
      </c>
      <c r="AF4824" s="167" t="s">
        <v>3469</v>
      </c>
    </row>
    <row r="4825" spans="28:32" x14ac:dyDescent="0.25">
      <c r="AB4825" s="167" t="s">
        <v>3405</v>
      </c>
      <c r="AC4825" s="167">
        <v>365</v>
      </c>
      <c r="AD4825" s="203">
        <v>43174</v>
      </c>
      <c r="AE4825" s="203">
        <v>0</v>
      </c>
      <c r="AF4825" s="167" t="s">
        <v>3469</v>
      </c>
    </row>
    <row r="4826" spans="28:32" x14ac:dyDescent="0.25">
      <c r="AB4826" s="167" t="s">
        <v>3406</v>
      </c>
      <c r="AC4826" s="167">
        <v>365</v>
      </c>
      <c r="AD4826" s="203">
        <v>43174</v>
      </c>
      <c r="AE4826" s="203">
        <v>0</v>
      </c>
      <c r="AF4826" s="167" t="s">
        <v>3469</v>
      </c>
    </row>
    <row r="4827" spans="28:32" x14ac:dyDescent="0.25">
      <c r="AB4827" s="167" t="s">
        <v>3316</v>
      </c>
      <c r="AC4827" s="167">
        <v>342</v>
      </c>
      <c r="AD4827" s="203">
        <v>43125</v>
      </c>
      <c r="AE4827" s="203">
        <v>43160</v>
      </c>
      <c r="AF4827" s="167" t="s">
        <v>3470</v>
      </c>
    </row>
    <row r="4828" spans="28:32" x14ac:dyDescent="0.25">
      <c r="AB4828" s="167" t="s">
        <v>3317</v>
      </c>
      <c r="AC4828" s="167">
        <v>342</v>
      </c>
      <c r="AD4828" s="203">
        <v>43125</v>
      </c>
      <c r="AE4828" s="203">
        <v>43160</v>
      </c>
      <c r="AF4828" s="167" t="s">
        <v>3470</v>
      </c>
    </row>
    <row r="4829" spans="28:32" x14ac:dyDescent="0.25">
      <c r="AB4829" s="167" t="s">
        <v>3318</v>
      </c>
      <c r="AC4829" s="167">
        <v>342</v>
      </c>
      <c r="AD4829" s="203">
        <v>43125</v>
      </c>
      <c r="AE4829" s="203">
        <v>43160</v>
      </c>
      <c r="AF4829" s="167" t="s">
        <v>3470</v>
      </c>
    </row>
    <row r="4830" spans="28:32" x14ac:dyDescent="0.25">
      <c r="AB4830" s="167" t="s">
        <v>3319</v>
      </c>
      <c r="AC4830" s="167">
        <v>342</v>
      </c>
      <c r="AD4830" s="203">
        <v>43125</v>
      </c>
      <c r="AE4830" s="203">
        <v>43160</v>
      </c>
      <c r="AF4830" s="167" t="s">
        <v>3470</v>
      </c>
    </row>
    <row r="4831" spans="28:32" x14ac:dyDescent="0.25">
      <c r="AB4831" s="167" t="s">
        <v>3320</v>
      </c>
      <c r="AC4831" s="167">
        <v>342</v>
      </c>
      <c r="AD4831" s="203">
        <v>43125</v>
      </c>
      <c r="AE4831" s="203">
        <v>43160</v>
      </c>
      <c r="AF4831" s="167" t="s">
        <v>3470</v>
      </c>
    </row>
    <row r="4832" spans="28:32" x14ac:dyDescent="0.25">
      <c r="AB4832" s="167" t="s">
        <v>3321</v>
      </c>
      <c r="AC4832" s="167">
        <v>342</v>
      </c>
      <c r="AD4832" s="203">
        <v>43125</v>
      </c>
      <c r="AE4832" s="203">
        <v>43160</v>
      </c>
      <c r="AF4832" s="167" t="s">
        <v>3470</v>
      </c>
    </row>
    <row r="4833" spans="28:32" x14ac:dyDescent="0.25">
      <c r="AB4833" s="167" t="s">
        <v>3322</v>
      </c>
      <c r="AC4833" s="167">
        <v>342</v>
      </c>
      <c r="AD4833" s="203">
        <v>43125</v>
      </c>
      <c r="AE4833" s="203">
        <v>43160</v>
      </c>
      <c r="AF4833" s="167" t="s">
        <v>3470</v>
      </c>
    </row>
    <row r="4834" spans="28:32" x14ac:dyDescent="0.25">
      <c r="AB4834" s="167" t="s">
        <v>3323</v>
      </c>
      <c r="AC4834" s="167">
        <v>342</v>
      </c>
      <c r="AD4834" s="203">
        <v>43125</v>
      </c>
      <c r="AE4834" s="203">
        <v>43160</v>
      </c>
      <c r="AF4834" s="167" t="s">
        <v>3470</v>
      </c>
    </row>
    <row r="4835" spans="28:32" x14ac:dyDescent="0.25">
      <c r="AB4835" s="167" t="s">
        <v>3324</v>
      </c>
      <c r="AC4835" s="167">
        <v>342</v>
      </c>
      <c r="AD4835" s="203">
        <v>43125</v>
      </c>
      <c r="AE4835" s="203">
        <v>43160</v>
      </c>
      <c r="AF4835" s="167" t="s">
        <v>3470</v>
      </c>
    </row>
    <row r="4836" spans="28:32" x14ac:dyDescent="0.25">
      <c r="AB4836" s="167" t="s">
        <v>3325</v>
      </c>
      <c r="AC4836" s="167">
        <v>342</v>
      </c>
      <c r="AD4836" s="203">
        <v>43125</v>
      </c>
      <c r="AE4836" s="203">
        <v>43160</v>
      </c>
      <c r="AF4836" s="167" t="s">
        <v>3470</v>
      </c>
    </row>
    <row r="4837" spans="28:32" x14ac:dyDescent="0.25">
      <c r="AB4837" s="167" t="s">
        <v>3326</v>
      </c>
      <c r="AC4837" s="167">
        <v>342</v>
      </c>
      <c r="AD4837" s="203">
        <v>43125</v>
      </c>
      <c r="AE4837" s="203">
        <v>43160</v>
      </c>
      <c r="AF4837" s="167" t="s">
        <v>3470</v>
      </c>
    </row>
    <row r="4838" spans="28:32" x14ac:dyDescent="0.25">
      <c r="AB4838" s="167" t="s">
        <v>3327</v>
      </c>
      <c r="AC4838" s="167">
        <v>342</v>
      </c>
      <c r="AD4838" s="203">
        <v>43125</v>
      </c>
      <c r="AE4838" s="203">
        <v>43160</v>
      </c>
      <c r="AF4838" s="167" t="s">
        <v>3470</v>
      </c>
    </row>
    <row r="4839" spans="28:32" x14ac:dyDescent="0.25">
      <c r="AB4839" s="167" t="s">
        <v>3328</v>
      </c>
      <c r="AC4839" s="167">
        <v>342</v>
      </c>
      <c r="AD4839" s="203">
        <v>43125</v>
      </c>
      <c r="AE4839" s="203">
        <v>43160</v>
      </c>
      <c r="AF4839" s="167" t="s">
        <v>3470</v>
      </c>
    </row>
    <row r="4840" spans="28:32" x14ac:dyDescent="0.25">
      <c r="AB4840" s="167" t="s">
        <v>3564</v>
      </c>
      <c r="AC4840" s="167">
        <v>342</v>
      </c>
      <c r="AD4840" s="203">
        <v>43125</v>
      </c>
      <c r="AE4840" s="203">
        <v>43160</v>
      </c>
      <c r="AF4840" s="167" t="s">
        <v>3470</v>
      </c>
    </row>
    <row r="4841" spans="28:32" x14ac:dyDescent="0.25">
      <c r="AB4841" s="167" t="s">
        <v>3329</v>
      </c>
      <c r="AC4841" s="167">
        <v>342</v>
      </c>
      <c r="AD4841" s="203">
        <v>43133</v>
      </c>
      <c r="AE4841" s="203">
        <v>43160</v>
      </c>
      <c r="AF4841" s="167" t="s">
        <v>3470</v>
      </c>
    </row>
    <row r="4842" spans="28:32" x14ac:dyDescent="0.25">
      <c r="AB4842" s="167" t="s">
        <v>3565</v>
      </c>
      <c r="AC4842" s="167">
        <v>342</v>
      </c>
      <c r="AD4842" s="203">
        <v>43125</v>
      </c>
      <c r="AE4842" s="203">
        <v>43160</v>
      </c>
      <c r="AF4842" s="167" t="s">
        <v>3470</v>
      </c>
    </row>
    <row r="4843" spans="28:32" x14ac:dyDescent="0.25">
      <c r="AB4843" s="167" t="s">
        <v>3566</v>
      </c>
      <c r="AC4843" s="167">
        <v>342</v>
      </c>
      <c r="AD4843" s="203">
        <v>43125</v>
      </c>
      <c r="AE4843" s="203">
        <v>43160</v>
      </c>
      <c r="AF4843" s="167" t="s">
        <v>3470</v>
      </c>
    </row>
    <row r="4844" spans="28:32" x14ac:dyDescent="0.25">
      <c r="AB4844" s="167" t="s">
        <v>3567</v>
      </c>
      <c r="AC4844" s="167">
        <v>342</v>
      </c>
      <c r="AD4844" s="203">
        <v>43133</v>
      </c>
      <c r="AE4844" s="203">
        <v>43160</v>
      </c>
      <c r="AF4844" s="167" t="s">
        <v>3470</v>
      </c>
    </row>
    <row r="4845" spans="28:32" x14ac:dyDescent="0.25">
      <c r="AB4845" s="167" t="s">
        <v>3568</v>
      </c>
      <c r="AC4845" s="167">
        <v>342</v>
      </c>
      <c r="AD4845" s="203">
        <v>43133</v>
      </c>
      <c r="AE4845" s="203">
        <v>43160</v>
      </c>
      <c r="AF4845" s="167" t="s">
        <v>3470</v>
      </c>
    </row>
    <row r="4846" spans="28:32" x14ac:dyDescent="0.25">
      <c r="AB4846" s="167" t="s">
        <v>3569</v>
      </c>
      <c r="AC4846" s="167">
        <v>342</v>
      </c>
      <c r="AD4846" s="203">
        <v>43133</v>
      </c>
      <c r="AE4846" s="203">
        <v>43160</v>
      </c>
      <c r="AF4846" s="167" t="s">
        <v>3470</v>
      </c>
    </row>
    <row r="4847" spans="28:32" x14ac:dyDescent="0.25">
      <c r="AB4847" s="167" t="s">
        <v>3570</v>
      </c>
      <c r="AC4847" s="167">
        <v>357</v>
      </c>
      <c r="AD4847" s="203">
        <v>43139</v>
      </c>
      <c r="AE4847" s="203">
        <v>43164</v>
      </c>
      <c r="AF4847" s="167" t="s">
        <v>3470</v>
      </c>
    </row>
    <row r="4848" spans="28:32" x14ac:dyDescent="0.25">
      <c r="AB4848" s="167" t="s">
        <v>3570</v>
      </c>
      <c r="AC4848" s="167">
        <v>364</v>
      </c>
      <c r="AD4848" s="203">
        <v>43168</v>
      </c>
      <c r="AE4848" s="203">
        <v>43179</v>
      </c>
      <c r="AF4848" s="167" t="s">
        <v>3470</v>
      </c>
    </row>
    <row r="4849" spans="28:32" x14ac:dyDescent="0.25">
      <c r="AB4849" s="167" t="s">
        <v>3331</v>
      </c>
      <c r="AC4849" s="167">
        <v>357</v>
      </c>
      <c r="AD4849" s="203">
        <v>43139</v>
      </c>
      <c r="AE4849" s="203">
        <v>43164</v>
      </c>
      <c r="AF4849" s="167" t="s">
        <v>3470</v>
      </c>
    </row>
    <row r="4850" spans="28:32" x14ac:dyDescent="0.25">
      <c r="AB4850" s="167" t="s">
        <v>3331</v>
      </c>
      <c r="AC4850" s="167">
        <v>353</v>
      </c>
      <c r="AD4850" s="203">
        <v>43180</v>
      </c>
      <c r="AE4850" s="203">
        <v>0</v>
      </c>
      <c r="AF4850" s="167" t="s">
        <v>3469</v>
      </c>
    </row>
    <row r="4851" spans="28:32" x14ac:dyDescent="0.25">
      <c r="AB4851" s="167" t="s">
        <v>3571</v>
      </c>
      <c r="AC4851" s="167">
        <v>357</v>
      </c>
      <c r="AD4851" s="203">
        <v>43139</v>
      </c>
      <c r="AE4851" s="203">
        <v>43164</v>
      </c>
      <c r="AF4851" s="167" t="s">
        <v>3470</v>
      </c>
    </row>
    <row r="4852" spans="28:32" x14ac:dyDescent="0.25">
      <c r="AB4852" s="167" t="s">
        <v>3571</v>
      </c>
      <c r="AC4852" s="167">
        <v>364</v>
      </c>
      <c r="AD4852" s="203">
        <v>43168</v>
      </c>
      <c r="AE4852" s="203">
        <v>43179</v>
      </c>
      <c r="AF4852" s="167" t="s">
        <v>3470</v>
      </c>
    </row>
    <row r="4853" spans="28:32" x14ac:dyDescent="0.25">
      <c r="AB4853" s="167" t="s">
        <v>3333</v>
      </c>
      <c r="AC4853" s="167">
        <v>356</v>
      </c>
      <c r="AD4853" s="203">
        <v>43139</v>
      </c>
      <c r="AE4853" s="203">
        <v>0</v>
      </c>
      <c r="AF4853" s="167" t="s">
        <v>3469</v>
      </c>
    </row>
    <row r="4854" spans="28:32" x14ac:dyDescent="0.25">
      <c r="AB4854" s="167" t="s">
        <v>3335</v>
      </c>
      <c r="AC4854" s="167">
        <v>356</v>
      </c>
      <c r="AD4854" s="203">
        <v>43139</v>
      </c>
      <c r="AE4854" s="203">
        <v>0</v>
      </c>
      <c r="AF4854" s="167" t="s">
        <v>3469</v>
      </c>
    </row>
    <row r="4855" spans="28:32" x14ac:dyDescent="0.25">
      <c r="AB4855" s="167" t="s">
        <v>3396</v>
      </c>
      <c r="AC4855" s="167">
        <v>351</v>
      </c>
      <c r="AD4855" s="203">
        <v>43133</v>
      </c>
      <c r="AE4855" s="203">
        <v>43224</v>
      </c>
      <c r="AF4855" s="167" t="s">
        <v>3469</v>
      </c>
    </row>
    <row r="4856" spans="28:32" x14ac:dyDescent="0.25">
      <c r="AB4856" s="167" t="s">
        <v>3572</v>
      </c>
      <c r="AC4856" s="167">
        <v>364</v>
      </c>
      <c r="AD4856" s="203">
        <v>43168</v>
      </c>
      <c r="AE4856" s="203">
        <v>43179</v>
      </c>
      <c r="AF4856" s="167" t="s">
        <v>3470</v>
      </c>
    </row>
    <row r="4857" spans="28:32" x14ac:dyDescent="0.25">
      <c r="AB4857" s="167" t="s">
        <v>3573</v>
      </c>
      <c r="AC4857" s="167">
        <v>364</v>
      </c>
      <c r="AD4857" s="203">
        <v>43168</v>
      </c>
      <c r="AE4857" s="203">
        <v>43179</v>
      </c>
      <c r="AF4857" s="167" t="s">
        <v>3470</v>
      </c>
    </row>
    <row r="4858" spans="28:32" x14ac:dyDescent="0.25">
      <c r="AB4858" s="167" t="s">
        <v>3337</v>
      </c>
      <c r="AC4858" s="167">
        <v>356</v>
      </c>
      <c r="AD4858" s="203">
        <v>43180</v>
      </c>
      <c r="AE4858" s="203">
        <v>0</v>
      </c>
      <c r="AF4858" s="167" t="s">
        <v>3469</v>
      </c>
    </row>
    <row r="4859" spans="28:32" x14ac:dyDescent="0.25">
      <c r="AB4859" s="167" t="s">
        <v>3339</v>
      </c>
      <c r="AC4859" s="167">
        <v>356</v>
      </c>
      <c r="AD4859" s="203">
        <v>43180</v>
      </c>
      <c r="AE4859" s="203">
        <v>0</v>
      </c>
      <c r="AF4859" s="167" t="s">
        <v>3469</v>
      </c>
    </row>
    <row r="4860" spans="28:32" x14ac:dyDescent="0.25">
      <c r="AB4860" s="167" t="s">
        <v>3446</v>
      </c>
      <c r="AC4860" s="167">
        <v>368</v>
      </c>
      <c r="AD4860" s="203">
        <v>43180</v>
      </c>
      <c r="AE4860" s="203">
        <v>0</v>
      </c>
      <c r="AF4860" s="167" t="s">
        <v>3469</v>
      </c>
    </row>
    <row r="4861" spans="28:32" x14ac:dyDescent="0.25">
      <c r="AB4861" s="167" t="s">
        <v>3448</v>
      </c>
      <c r="AC4861" s="167">
        <v>368</v>
      </c>
      <c r="AD4861" s="203">
        <v>43180</v>
      </c>
      <c r="AE4861" s="203">
        <v>0</v>
      </c>
      <c r="AF4861" s="167" t="s">
        <v>3469</v>
      </c>
    </row>
    <row r="4862" spans="28:32" x14ac:dyDescent="0.25">
      <c r="AB4862" s="167" t="s">
        <v>3449</v>
      </c>
      <c r="AC4862" s="167">
        <v>368</v>
      </c>
      <c r="AD4862" s="203">
        <v>43180</v>
      </c>
      <c r="AE4862" s="203">
        <v>0</v>
      </c>
      <c r="AF4862" s="167" t="s">
        <v>3469</v>
      </c>
    </row>
    <row r="4863" spans="28:32" x14ac:dyDescent="0.25">
      <c r="AB4863" s="167" t="s">
        <v>3574</v>
      </c>
      <c r="AC4863" s="167">
        <v>364</v>
      </c>
      <c r="AD4863" s="203">
        <v>43168</v>
      </c>
      <c r="AE4863" s="203">
        <v>43179</v>
      </c>
      <c r="AF4863" s="167" t="s">
        <v>3470</v>
      </c>
    </row>
    <row r="4864" spans="28:32" x14ac:dyDescent="0.25">
      <c r="AB4864" s="167" t="s">
        <v>3575</v>
      </c>
      <c r="AC4864" s="167">
        <v>364</v>
      </c>
      <c r="AD4864" s="203">
        <v>43168</v>
      </c>
      <c r="AE4864" s="203">
        <v>43179</v>
      </c>
      <c r="AF4864" s="167" t="s">
        <v>3470</v>
      </c>
    </row>
    <row r="4865" spans="28:32" x14ac:dyDescent="0.25">
      <c r="AB4865" s="167" t="s">
        <v>3576</v>
      </c>
      <c r="AC4865" s="167">
        <v>364</v>
      </c>
      <c r="AD4865" s="203">
        <v>43168</v>
      </c>
      <c r="AE4865" s="203">
        <v>43179</v>
      </c>
      <c r="AF4865" s="167" t="s">
        <v>3470</v>
      </c>
    </row>
    <row r="4866" spans="28:32" x14ac:dyDescent="0.25">
      <c r="AB4866" s="167" t="s">
        <v>3577</v>
      </c>
      <c r="AC4866" s="167">
        <v>364</v>
      </c>
      <c r="AD4866" s="203">
        <v>43168</v>
      </c>
      <c r="AE4866" s="203">
        <v>43179</v>
      </c>
      <c r="AF4866" s="167" t="s">
        <v>3470</v>
      </c>
    </row>
    <row r="4867" spans="28:32" x14ac:dyDescent="0.25">
      <c r="AB4867" s="167" t="s">
        <v>3578</v>
      </c>
      <c r="AC4867" s="167">
        <v>364</v>
      </c>
      <c r="AD4867" s="203">
        <v>43168</v>
      </c>
      <c r="AE4867" s="203">
        <v>43179</v>
      </c>
      <c r="AF4867" s="167" t="s">
        <v>3470</v>
      </c>
    </row>
  </sheetData>
  <pageMargins left="0.7" right="0.7" top="0.75" bottom="0.75" header="0.3" footer="0.3"/>
  <tableParts count="4">
    <tablePart r:id="rId1"/>
    <tablePart r:id="rId2"/>
    <tablePart r:id="rId3"/>
    <tablePart r:id="rId4"/>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9"/>
  <dimension ref="A1:U31"/>
  <sheetViews>
    <sheetView showGridLines="0" zoomScaleNormal="100" workbookViewId="0">
      <selection activeCell="D3" sqref="D3"/>
    </sheetView>
  </sheetViews>
  <sheetFormatPr baseColWidth="10" defaultRowHeight="15" x14ac:dyDescent="0.25"/>
  <cols>
    <col min="1" max="1" width="12.42578125" style="160" customWidth="1"/>
    <col min="2" max="2" width="35.85546875" style="160" customWidth="1"/>
    <col min="3" max="3" width="13.42578125" style="160" customWidth="1"/>
    <col min="4" max="4" width="15.5703125" style="160" customWidth="1"/>
    <col min="5" max="5" width="9.140625" style="160" customWidth="1"/>
    <col min="6" max="6" width="11.42578125" style="160" customWidth="1"/>
    <col min="7" max="7" width="11.5703125" style="160" customWidth="1"/>
    <col min="8" max="8" width="14.85546875" style="160" customWidth="1"/>
    <col min="9" max="9" width="17.140625" style="160" customWidth="1"/>
    <col min="10" max="10" width="16.5703125" style="160" customWidth="1"/>
    <col min="11" max="11" width="8.140625" style="160" customWidth="1"/>
    <col min="12" max="12" width="16.42578125" style="160" customWidth="1"/>
    <col min="13" max="13" width="12.5703125" style="160" customWidth="1"/>
    <col min="14" max="14" width="17" style="160" customWidth="1"/>
    <col min="15" max="15" width="12.5703125" style="160" customWidth="1"/>
    <col min="16" max="20" width="16.140625" style="160" customWidth="1"/>
    <col min="21" max="21" width="12.5703125" style="160" customWidth="1"/>
    <col min="22" max="29" width="21.42578125" style="160" customWidth="1"/>
    <col min="30" max="16384" width="11.42578125" style="160"/>
  </cols>
  <sheetData>
    <row r="1" spans="1:21" ht="21" x14ac:dyDescent="0.35">
      <c r="A1" s="164" t="s">
        <v>583</v>
      </c>
    </row>
    <row r="3" spans="1:21" x14ac:dyDescent="0.25">
      <c r="A3" s="117" t="s">
        <v>57</v>
      </c>
      <c r="B3" s="68" t="s">
        <v>513</v>
      </c>
    </row>
    <row r="4" spans="1:21" x14ac:dyDescent="0.25">
      <c r="A4" s="117" t="s">
        <v>54</v>
      </c>
      <c r="B4" s="68" t="s">
        <v>513</v>
      </c>
    </row>
    <row r="6" spans="1:21" x14ac:dyDescent="0.25">
      <c r="A6" s="117" t="s">
        <v>582</v>
      </c>
      <c r="B6"/>
      <c r="C6"/>
      <c r="D6"/>
      <c r="E6"/>
      <c r="F6"/>
      <c r="G6"/>
      <c r="H6" s="117" t="s">
        <v>576</v>
      </c>
      <c r="I6" s="117" t="s">
        <v>574</v>
      </c>
      <c r="J6" s="117" t="s">
        <v>577</v>
      </c>
      <c r="K6"/>
      <c r="L6"/>
    </row>
    <row r="7" spans="1:21" x14ac:dyDescent="0.25">
      <c r="A7"/>
      <c r="B7"/>
      <c r="C7"/>
      <c r="D7"/>
      <c r="E7"/>
      <c r="F7"/>
      <c r="G7"/>
      <c r="H7" s="90" t="s">
        <v>1105</v>
      </c>
      <c r="I7"/>
      <c r="J7"/>
      <c r="K7"/>
      <c r="L7"/>
    </row>
    <row r="8" spans="1:21" x14ac:dyDescent="0.25">
      <c r="A8"/>
      <c r="B8"/>
      <c r="C8"/>
      <c r="D8"/>
      <c r="E8"/>
      <c r="F8"/>
      <c r="G8"/>
      <c r="H8" s="90">
        <v>374</v>
      </c>
      <c r="I8"/>
      <c r="J8"/>
      <c r="K8"/>
      <c r="L8"/>
    </row>
    <row r="9" spans="1:21" x14ac:dyDescent="0.25">
      <c r="A9" s="117" t="s">
        <v>3</v>
      </c>
      <c r="B9" s="117" t="s">
        <v>4</v>
      </c>
      <c r="C9" s="117" t="s">
        <v>23</v>
      </c>
      <c r="D9" s="117" t="s">
        <v>37</v>
      </c>
      <c r="E9" s="165" t="s">
        <v>579</v>
      </c>
      <c r="F9" s="165" t="s">
        <v>575</v>
      </c>
      <c r="G9" s="165" t="s">
        <v>581</v>
      </c>
      <c r="H9" s="20">
        <v>0</v>
      </c>
      <c r="I9"/>
      <c r="J9"/>
      <c r="K9"/>
      <c r="L9"/>
    </row>
    <row r="10" spans="1:21" s="163" customFormat="1" x14ac:dyDescent="0.25">
      <c r="A10" s="68" t="s">
        <v>923</v>
      </c>
      <c r="B10" s="68" t="s">
        <v>959</v>
      </c>
      <c r="C10" s="68" t="s">
        <v>960</v>
      </c>
      <c r="D10" s="1" t="s">
        <v>961</v>
      </c>
      <c r="E10" s="68" t="s">
        <v>573</v>
      </c>
      <c r="F10" s="68">
        <v>34</v>
      </c>
      <c r="G10" s="68" t="s">
        <v>573</v>
      </c>
      <c r="H10" s="27">
        <v>34</v>
      </c>
      <c r="I10"/>
      <c r="J10"/>
      <c r="K10"/>
      <c r="L10"/>
      <c r="M10" s="160"/>
      <c r="N10" s="160"/>
      <c r="O10" s="160"/>
      <c r="P10" s="160"/>
      <c r="Q10" s="160"/>
      <c r="R10" s="160"/>
      <c r="S10" s="160"/>
      <c r="T10" s="160"/>
      <c r="U10" s="160"/>
    </row>
    <row r="11" spans="1:21" s="163" customFormat="1" x14ac:dyDescent="0.25">
      <c r="A11"/>
      <c r="B11"/>
      <c r="C11"/>
      <c r="D11"/>
      <c r="E11"/>
      <c r="F11"/>
      <c r="G11"/>
      <c r="H11"/>
      <c r="I11"/>
      <c r="J11"/>
      <c r="K11"/>
      <c r="L11"/>
      <c r="M11" s="160"/>
      <c r="N11" s="160"/>
      <c r="O11" s="160"/>
      <c r="P11" s="160"/>
      <c r="Q11" s="160"/>
      <c r="R11" s="160"/>
      <c r="S11" s="160"/>
      <c r="T11" s="160"/>
      <c r="U11" s="160"/>
    </row>
    <row r="12" spans="1:21" s="163" customFormat="1" x14ac:dyDescent="0.25">
      <c r="A12"/>
      <c r="B12"/>
      <c r="C12"/>
      <c r="D12"/>
      <c r="E12"/>
      <c r="F12"/>
      <c r="G12"/>
      <c r="H12"/>
      <c r="I12"/>
      <c r="J12"/>
      <c r="K12"/>
      <c r="L12"/>
      <c r="M12" s="160"/>
      <c r="N12" s="160"/>
      <c r="O12" s="160"/>
      <c r="P12" s="160"/>
      <c r="Q12" s="160"/>
      <c r="R12" s="160"/>
      <c r="S12" s="160"/>
      <c r="T12" s="160"/>
      <c r="U12" s="160"/>
    </row>
    <row r="13" spans="1:21" s="163" customFormat="1" x14ac:dyDescent="0.25">
      <c r="A13"/>
      <c r="B13"/>
      <c r="C13"/>
      <c r="D13"/>
      <c r="E13"/>
      <c r="F13"/>
      <c r="G13"/>
      <c r="H13"/>
      <c r="I13"/>
      <c r="J13"/>
      <c r="K13"/>
      <c r="L13"/>
      <c r="M13" s="160"/>
      <c r="N13" s="160"/>
      <c r="O13" s="160"/>
      <c r="P13" s="160"/>
      <c r="Q13" s="160"/>
      <c r="R13" s="160"/>
      <c r="S13" s="160"/>
      <c r="T13" s="160"/>
      <c r="U13" s="160"/>
    </row>
    <row r="14" spans="1:21" s="163" customFormat="1" x14ac:dyDescent="0.25">
      <c r="A14"/>
      <c r="B14"/>
      <c r="C14"/>
      <c r="D14"/>
      <c r="E14"/>
      <c r="F14"/>
      <c r="G14"/>
      <c r="H14"/>
      <c r="I14"/>
      <c r="J14"/>
      <c r="K14"/>
      <c r="L14"/>
      <c r="M14" s="160"/>
      <c r="N14" s="160"/>
      <c r="O14" s="160"/>
      <c r="P14" s="160"/>
      <c r="Q14" s="160"/>
      <c r="R14" s="160"/>
      <c r="S14" s="160"/>
      <c r="T14" s="160"/>
      <c r="U14" s="160"/>
    </row>
    <row r="15" spans="1:21" s="163" customFormat="1" x14ac:dyDescent="0.25">
      <c r="A15"/>
      <c r="B15"/>
      <c r="C15"/>
      <c r="D15"/>
      <c r="E15"/>
      <c r="F15"/>
      <c r="G15"/>
      <c r="H15"/>
      <c r="I15"/>
      <c r="J15"/>
      <c r="K15"/>
      <c r="L15"/>
      <c r="M15" s="160"/>
      <c r="N15" s="160"/>
      <c r="O15" s="160"/>
      <c r="P15" s="160"/>
      <c r="Q15" s="160"/>
      <c r="R15" s="160"/>
      <c r="S15" s="160"/>
      <c r="T15" s="160"/>
      <c r="U15" s="160"/>
    </row>
    <row r="16" spans="1:21" s="163" customFormat="1" x14ac:dyDescent="0.25">
      <c r="A16"/>
      <c r="B16"/>
      <c r="C16"/>
      <c r="D16"/>
      <c r="E16"/>
      <c r="F16"/>
      <c r="G16"/>
      <c r="H16"/>
      <c r="I16"/>
      <c r="J16"/>
      <c r="K16"/>
      <c r="L16"/>
      <c r="M16" s="160"/>
      <c r="N16" s="160"/>
      <c r="O16" s="160"/>
      <c r="P16" s="160"/>
      <c r="Q16" s="160"/>
      <c r="R16" s="160"/>
      <c r="S16" s="160"/>
      <c r="T16" s="160"/>
      <c r="U16" s="160"/>
    </row>
    <row r="17" spans="1:21" s="163" customFormat="1" x14ac:dyDescent="0.25">
      <c r="A17"/>
      <c r="B17"/>
      <c r="C17"/>
      <c r="D17"/>
      <c r="E17"/>
      <c r="F17"/>
      <c r="G17"/>
      <c r="H17"/>
      <c r="I17"/>
      <c r="J17"/>
      <c r="K17"/>
      <c r="L17"/>
      <c r="M17" s="160"/>
      <c r="N17" s="160"/>
      <c r="O17" s="160"/>
      <c r="P17" s="160"/>
      <c r="Q17" s="160"/>
      <c r="R17" s="160"/>
      <c r="S17" s="160"/>
      <c r="T17" s="160"/>
      <c r="U17" s="160"/>
    </row>
    <row r="18" spans="1:21" s="163" customFormat="1" x14ac:dyDescent="0.25">
      <c r="A18"/>
      <c r="B18"/>
      <c r="C18"/>
      <c r="D18"/>
      <c r="E18"/>
      <c r="F18"/>
      <c r="G18"/>
      <c r="H18"/>
      <c r="I18"/>
      <c r="J18"/>
      <c r="K18"/>
      <c r="L18"/>
      <c r="M18" s="160"/>
      <c r="N18" s="160"/>
      <c r="O18" s="160"/>
      <c r="P18" s="160"/>
      <c r="Q18" s="160"/>
      <c r="R18" s="160"/>
      <c r="S18" s="160"/>
      <c r="T18" s="160"/>
      <c r="U18" s="160"/>
    </row>
    <row r="19" spans="1:21" s="163" customFormat="1" x14ac:dyDescent="0.25">
      <c r="A19" s="160"/>
      <c r="B19" s="160"/>
      <c r="C19" s="160"/>
      <c r="D19" s="160"/>
      <c r="E19" s="160"/>
      <c r="F19" s="160"/>
      <c r="G19" s="160"/>
      <c r="H19" s="160"/>
      <c r="I19" s="160"/>
      <c r="J19" s="160"/>
      <c r="K19" s="160"/>
      <c r="L19" s="160"/>
      <c r="M19" s="160"/>
      <c r="N19" s="160"/>
      <c r="O19" s="160"/>
      <c r="P19" s="160"/>
      <c r="Q19" s="160"/>
      <c r="R19" s="160"/>
      <c r="S19" s="160"/>
      <c r="T19" s="160"/>
      <c r="U19" s="160"/>
    </row>
    <row r="20" spans="1:21" s="163" customFormat="1" x14ac:dyDescent="0.25">
      <c r="A20" s="160"/>
      <c r="B20" s="160"/>
      <c r="C20" s="160"/>
      <c r="D20" s="160"/>
      <c r="E20" s="160"/>
      <c r="F20" s="160"/>
      <c r="G20" s="160"/>
      <c r="H20" s="160"/>
      <c r="I20" s="160"/>
      <c r="J20" s="160"/>
      <c r="K20" s="160"/>
      <c r="L20" s="160"/>
      <c r="M20" s="160"/>
      <c r="N20" s="160"/>
      <c r="O20" s="160"/>
      <c r="P20" s="160"/>
      <c r="Q20" s="160"/>
      <c r="R20" s="160"/>
      <c r="S20" s="160"/>
      <c r="T20" s="160"/>
      <c r="U20" s="160"/>
    </row>
    <row r="21" spans="1:21" s="163" customFormat="1" x14ac:dyDescent="0.25">
      <c r="A21" s="160"/>
      <c r="B21" s="160"/>
      <c r="C21" s="160"/>
      <c r="D21" s="160"/>
      <c r="E21" s="160"/>
      <c r="F21" s="160"/>
      <c r="G21" s="160"/>
      <c r="H21" s="160"/>
      <c r="I21" s="160"/>
      <c r="J21" s="160"/>
      <c r="K21" s="160"/>
      <c r="L21" s="160"/>
      <c r="M21" s="160"/>
      <c r="N21" s="160"/>
      <c r="O21" s="160"/>
      <c r="P21" s="160"/>
      <c r="Q21" s="160"/>
      <c r="R21" s="160"/>
      <c r="S21" s="160"/>
      <c r="T21" s="160"/>
      <c r="U21" s="160"/>
    </row>
    <row r="22" spans="1:21" s="163" customFormat="1" x14ac:dyDescent="0.25">
      <c r="A22" s="160"/>
      <c r="B22" s="160"/>
      <c r="C22" s="160"/>
      <c r="D22" s="160"/>
      <c r="E22" s="160"/>
      <c r="F22" s="160"/>
      <c r="G22" s="160"/>
      <c r="H22" s="160"/>
      <c r="I22" s="160"/>
      <c r="J22" s="160"/>
      <c r="K22" s="160"/>
      <c r="L22" s="160"/>
      <c r="M22" s="160"/>
      <c r="N22" s="160"/>
      <c r="O22" s="160"/>
      <c r="P22" s="160"/>
      <c r="Q22" s="160"/>
      <c r="R22" s="160"/>
      <c r="S22" s="160"/>
      <c r="T22" s="160"/>
      <c r="U22" s="160"/>
    </row>
    <row r="23" spans="1:21" s="163" customFormat="1" x14ac:dyDescent="0.25">
      <c r="A23" s="160"/>
      <c r="B23" s="160"/>
      <c r="C23" s="160"/>
      <c r="D23" s="160"/>
      <c r="E23" s="160"/>
      <c r="F23" s="160"/>
      <c r="G23" s="160"/>
      <c r="H23" s="160"/>
      <c r="I23" s="160"/>
      <c r="J23" s="160"/>
      <c r="K23" s="160"/>
      <c r="L23" s="160"/>
      <c r="M23" s="160"/>
      <c r="N23" s="160"/>
      <c r="O23" s="160"/>
      <c r="P23" s="160"/>
      <c r="Q23" s="160"/>
      <c r="R23" s="160"/>
      <c r="S23" s="160"/>
      <c r="T23" s="160"/>
      <c r="U23" s="160"/>
    </row>
    <row r="24" spans="1:21" s="163" customFormat="1" x14ac:dyDescent="0.25">
      <c r="A24" s="160"/>
      <c r="B24" s="160"/>
      <c r="C24" s="160"/>
      <c r="D24" s="160"/>
      <c r="E24" s="160"/>
      <c r="F24" s="160"/>
      <c r="G24" s="160"/>
      <c r="H24" s="160"/>
      <c r="I24" s="160"/>
      <c r="J24" s="160"/>
      <c r="K24" s="160"/>
      <c r="L24" s="160"/>
      <c r="M24" s="160"/>
      <c r="N24" s="160"/>
      <c r="O24" s="160"/>
      <c r="P24" s="160"/>
      <c r="Q24" s="160"/>
      <c r="R24" s="160"/>
      <c r="S24" s="160"/>
      <c r="T24" s="160"/>
      <c r="U24" s="160"/>
    </row>
    <row r="25" spans="1:21" s="163" customFormat="1" x14ac:dyDescent="0.25">
      <c r="A25" s="160"/>
      <c r="B25" s="160"/>
      <c r="C25" s="160"/>
      <c r="D25" s="160"/>
      <c r="E25" s="160"/>
      <c r="F25" s="160"/>
      <c r="G25" s="160"/>
      <c r="H25" s="160"/>
      <c r="I25" s="160"/>
      <c r="J25" s="160"/>
      <c r="K25" s="160"/>
      <c r="L25" s="160"/>
      <c r="M25" s="160"/>
      <c r="N25" s="160"/>
      <c r="O25" s="160"/>
      <c r="P25" s="160"/>
      <c r="Q25" s="160"/>
      <c r="R25" s="160"/>
      <c r="S25" s="160"/>
      <c r="T25" s="160"/>
      <c r="U25" s="160"/>
    </row>
    <row r="26" spans="1:21" s="163" customFormat="1" x14ac:dyDescent="0.25">
      <c r="A26" s="160"/>
      <c r="B26" s="160"/>
      <c r="C26" s="160"/>
      <c r="D26" s="160"/>
      <c r="E26" s="160"/>
      <c r="F26" s="160"/>
      <c r="G26" s="160"/>
      <c r="H26" s="160"/>
      <c r="I26" s="160"/>
      <c r="J26" s="160"/>
      <c r="K26" s="160"/>
      <c r="L26" s="160"/>
      <c r="M26" s="160"/>
      <c r="N26" s="160"/>
      <c r="O26" s="160"/>
      <c r="P26" s="160"/>
      <c r="Q26" s="160"/>
      <c r="R26" s="160"/>
      <c r="S26" s="160"/>
      <c r="T26" s="160"/>
      <c r="U26" s="160"/>
    </row>
    <row r="27" spans="1:21" s="163" customFormat="1" x14ac:dyDescent="0.25">
      <c r="A27" s="160"/>
      <c r="B27" s="160"/>
      <c r="C27" s="160"/>
      <c r="D27" s="160"/>
      <c r="E27" s="160"/>
      <c r="F27" s="160"/>
      <c r="G27" s="160"/>
      <c r="H27" s="160"/>
      <c r="I27" s="160"/>
      <c r="J27" s="160"/>
      <c r="K27" s="160"/>
      <c r="L27" s="160"/>
      <c r="M27" s="160"/>
      <c r="N27" s="160"/>
      <c r="O27" s="160"/>
      <c r="P27" s="160"/>
      <c r="Q27" s="160"/>
      <c r="R27" s="160"/>
      <c r="S27" s="160"/>
      <c r="T27" s="160"/>
      <c r="U27" s="160"/>
    </row>
    <row r="28" spans="1:21" s="163" customFormat="1" x14ac:dyDescent="0.25">
      <c r="A28" s="160"/>
      <c r="B28" s="160"/>
      <c r="C28" s="160"/>
      <c r="D28" s="160"/>
      <c r="E28" s="160"/>
      <c r="F28" s="160"/>
      <c r="G28" s="160"/>
      <c r="H28" s="160"/>
      <c r="I28" s="160"/>
      <c r="J28" s="160"/>
      <c r="K28" s="160"/>
      <c r="L28" s="160"/>
      <c r="M28" s="160"/>
      <c r="N28" s="160"/>
      <c r="O28" s="160"/>
      <c r="P28" s="160"/>
      <c r="Q28" s="160"/>
      <c r="R28" s="160"/>
      <c r="S28" s="160"/>
      <c r="T28" s="160"/>
      <c r="U28" s="160"/>
    </row>
    <row r="29" spans="1:21" s="163" customFormat="1" x14ac:dyDescent="0.25">
      <c r="A29" s="160"/>
      <c r="B29" s="160"/>
      <c r="C29" s="160"/>
      <c r="D29" s="160"/>
      <c r="E29" s="160"/>
      <c r="F29" s="160"/>
      <c r="G29" s="160"/>
      <c r="H29" s="160"/>
      <c r="I29" s="160"/>
      <c r="J29" s="160"/>
      <c r="K29" s="160"/>
      <c r="L29" s="160"/>
      <c r="M29" s="160"/>
      <c r="N29" s="160"/>
      <c r="O29" s="160"/>
      <c r="P29" s="160"/>
      <c r="Q29" s="160"/>
      <c r="R29" s="160"/>
      <c r="S29" s="160"/>
      <c r="T29" s="160"/>
      <c r="U29" s="160"/>
    </row>
    <row r="30" spans="1:21" s="163" customFormat="1" x14ac:dyDescent="0.25">
      <c r="A30" s="160"/>
      <c r="B30" s="160"/>
      <c r="C30" s="160"/>
      <c r="D30" s="160"/>
      <c r="E30" s="160"/>
      <c r="F30" s="160"/>
      <c r="G30" s="160"/>
      <c r="H30" s="160"/>
      <c r="I30" s="160"/>
      <c r="J30" s="160"/>
      <c r="K30" s="160"/>
      <c r="L30" s="160"/>
      <c r="M30" s="160"/>
      <c r="N30" s="160"/>
      <c r="O30" s="160"/>
      <c r="P30" s="160"/>
      <c r="Q30" s="160"/>
      <c r="R30" s="160"/>
      <c r="S30" s="160"/>
      <c r="T30" s="160"/>
      <c r="U30" s="160"/>
    </row>
    <row r="31" spans="1:21" s="163" customFormat="1" x14ac:dyDescent="0.25">
      <c r="A31" s="160"/>
      <c r="B31" s="160"/>
      <c r="C31" s="160"/>
      <c r="D31" s="160"/>
      <c r="E31" s="160"/>
      <c r="F31" s="160"/>
      <c r="G31" s="160"/>
      <c r="H31" s="160"/>
      <c r="I31" s="160"/>
      <c r="J31" s="160"/>
      <c r="K31" s="160"/>
      <c r="L31" s="160"/>
      <c r="M31" s="160"/>
      <c r="N31" s="160"/>
      <c r="O31" s="160"/>
      <c r="P31" s="160"/>
      <c r="Q31" s="160"/>
      <c r="R31" s="160"/>
      <c r="S31" s="160"/>
      <c r="T31" s="160"/>
      <c r="U31" s="160"/>
    </row>
  </sheetData>
  <pageMargins left="0.7" right="0.7" top="0.75" bottom="0.75" header="0.3" footer="0.3"/>
  <pageSetup orientation="portrait" r:id="rId2"/>
  <drawing r:id="rId3"/>
  <legacyDrawing r:id="rId4"/>
  <controls>
    <mc:AlternateContent xmlns:mc="http://schemas.openxmlformats.org/markup-compatibility/2006">
      <mc:Choice Requires="x14">
        <control shapeId="763906" r:id="rId5" name="cmdIr">
          <controlPr defaultSize="0" autoLine="0" r:id="rId6">
            <anchor>
              <from>
                <xdr:col>2</xdr:col>
                <xdr:colOff>28575</xdr:colOff>
                <xdr:row>2</xdr:row>
                <xdr:rowOff>19050</xdr:rowOff>
              </from>
              <to>
                <xdr:col>2</xdr:col>
                <xdr:colOff>742950</xdr:colOff>
                <xdr:row>3</xdr:row>
                <xdr:rowOff>123825</xdr:rowOff>
              </to>
            </anchor>
          </controlPr>
        </control>
      </mc:Choice>
      <mc:Fallback>
        <control shapeId="763906" r:id="rId5" name="cmdIr"/>
      </mc:Fallback>
    </mc:AlternateContent>
    <mc:AlternateContent xmlns:mc="http://schemas.openxmlformats.org/markup-compatibility/2006">
      <mc:Choice Requires="x14">
        <control shapeId="763905" r:id="rId7" name="cmd_Volver">
          <controlPr locked="0" defaultSize="0" autoLine="0" r:id="rId8">
            <anchor>
              <from>
                <xdr:col>2</xdr:col>
                <xdr:colOff>28575</xdr:colOff>
                <xdr:row>0</xdr:row>
                <xdr:rowOff>142875</xdr:rowOff>
              </from>
              <to>
                <xdr:col>2</xdr:col>
                <xdr:colOff>752475</xdr:colOff>
                <xdr:row>2</xdr:row>
                <xdr:rowOff>9525</xdr:rowOff>
              </to>
            </anchor>
          </controlPr>
        </control>
      </mc:Choice>
      <mc:Fallback>
        <control shapeId="763905" r:id="rId7" name="cmd_Volver"/>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6"/>
  <dimension ref="A1:P7"/>
  <sheetViews>
    <sheetView showGridLines="0" zoomScale="80" zoomScaleNormal="80" workbookViewId="0">
      <pane ySplit="1" topLeftCell="A2" activePane="bottomLeft" state="frozen"/>
      <selection pane="bottomLeft"/>
    </sheetView>
  </sheetViews>
  <sheetFormatPr baseColWidth="10" defaultRowHeight="12.75" x14ac:dyDescent="0.2"/>
  <cols>
    <col min="2" max="2" width="15.85546875" customWidth="1"/>
    <col min="5" max="5" width="12.42578125" customWidth="1"/>
    <col min="8" max="8" width="14.5703125" customWidth="1"/>
    <col min="9" max="9" width="14" customWidth="1"/>
    <col min="12" max="12" width="17.28515625" customWidth="1"/>
    <col min="13" max="13" width="18.85546875" customWidth="1"/>
    <col min="14" max="14" width="15.85546875" customWidth="1"/>
    <col min="16" max="16" width="0" hidden="1" customWidth="1"/>
  </cols>
  <sheetData>
    <row r="1" spans="1:16" ht="22.5" x14ac:dyDescent="0.3">
      <c r="A1" s="126" t="s">
        <v>567</v>
      </c>
      <c r="I1" s="168" t="s">
        <v>599</v>
      </c>
    </row>
    <row r="2" spans="1:16" ht="25.5" customHeight="1" x14ac:dyDescent="0.2">
      <c r="A2" s="129" t="s">
        <v>63</v>
      </c>
      <c r="B2" s="127" t="s">
        <v>3</v>
      </c>
      <c r="C2" s="127" t="s">
        <v>4</v>
      </c>
      <c r="D2" s="127" t="s">
        <v>23</v>
      </c>
      <c r="E2" s="127" t="s">
        <v>37</v>
      </c>
      <c r="F2" s="127" t="s">
        <v>279</v>
      </c>
      <c r="G2" s="127" t="s">
        <v>280</v>
      </c>
      <c r="H2" s="127" t="s">
        <v>281</v>
      </c>
      <c r="I2" s="127" t="s">
        <v>282</v>
      </c>
      <c r="J2" s="127" t="s">
        <v>283</v>
      </c>
      <c r="K2" s="127" t="s">
        <v>22</v>
      </c>
      <c r="L2" s="127" t="s">
        <v>284</v>
      </c>
      <c r="M2" s="127" t="s">
        <v>564</v>
      </c>
      <c r="N2" s="127" t="s">
        <v>565</v>
      </c>
      <c r="O2" s="127" t="s">
        <v>566</v>
      </c>
      <c r="P2" s="127" t="s">
        <v>588</v>
      </c>
    </row>
    <row r="3" spans="1:16" x14ac:dyDescent="0.2">
      <c r="A3" s="1" t="s">
        <v>584</v>
      </c>
      <c r="B3" s="1" t="s">
        <v>634</v>
      </c>
      <c r="C3" t="s">
        <v>639</v>
      </c>
      <c r="I3" t="s">
        <v>647</v>
      </c>
      <c r="L3" t="s">
        <v>630</v>
      </c>
      <c r="M3" s="20">
        <v>42852</v>
      </c>
      <c r="N3" s="20">
        <v>42810</v>
      </c>
      <c r="O3" s="90">
        <v>36</v>
      </c>
    </row>
    <row r="4" spans="1:16" x14ac:dyDescent="0.2">
      <c r="A4" t="s">
        <v>584</v>
      </c>
      <c r="B4" t="s">
        <v>633</v>
      </c>
      <c r="C4" t="s">
        <v>638</v>
      </c>
      <c r="I4" t="s">
        <v>643</v>
      </c>
      <c r="L4" t="s">
        <v>629</v>
      </c>
      <c r="M4" s="20">
        <v>42870</v>
      </c>
      <c r="N4" s="20">
        <v>42842</v>
      </c>
      <c r="O4" s="90">
        <v>18</v>
      </c>
    </row>
    <row r="5" spans="1:16" x14ac:dyDescent="0.2">
      <c r="A5" t="s">
        <v>584</v>
      </c>
      <c r="B5" t="s">
        <v>635</v>
      </c>
      <c r="C5" t="s">
        <v>640</v>
      </c>
      <c r="I5" t="s">
        <v>644</v>
      </c>
      <c r="L5" t="s">
        <v>629</v>
      </c>
      <c r="M5" s="20">
        <v>42870</v>
      </c>
      <c r="N5" s="20">
        <v>42842</v>
      </c>
      <c r="O5" s="90">
        <v>18</v>
      </c>
    </row>
    <row r="6" spans="1:16" x14ac:dyDescent="0.2">
      <c r="A6" t="s">
        <v>584</v>
      </c>
      <c r="B6" t="s">
        <v>632</v>
      </c>
      <c r="C6" t="s">
        <v>637</v>
      </c>
      <c r="I6" t="s">
        <v>642</v>
      </c>
      <c r="L6" t="s">
        <v>629</v>
      </c>
      <c r="M6" s="20">
        <v>42870</v>
      </c>
      <c r="N6" s="20">
        <v>42842</v>
      </c>
      <c r="O6" s="90">
        <v>18</v>
      </c>
    </row>
    <row r="7" spans="1:16" x14ac:dyDescent="0.2">
      <c r="A7" t="s">
        <v>584</v>
      </c>
      <c r="B7" t="s">
        <v>631</v>
      </c>
      <c r="C7" t="s">
        <v>636</v>
      </c>
      <c r="I7" t="s">
        <v>641</v>
      </c>
      <c r="L7" t="s">
        <v>629</v>
      </c>
      <c r="M7" s="20">
        <v>42870</v>
      </c>
      <c r="N7" s="20">
        <v>42842</v>
      </c>
      <c r="O7" s="90">
        <v>18</v>
      </c>
    </row>
  </sheetData>
  <sheetProtection sort="0" autoFilter="0"/>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8369" r:id="rId4" name="volver">
              <controlPr defaultSize="0" print="0" autoFill="0" autoPict="0" macro="[0]!Ir_item_Mal_Atendidos_Frecuencia">
                <anchor moveWithCells="1">
                  <from>
                    <xdr:col>6</xdr:col>
                    <xdr:colOff>447675</xdr:colOff>
                    <xdr:row>0</xdr:row>
                    <xdr:rowOff>38100</xdr:rowOff>
                  </from>
                  <to>
                    <xdr:col>7</xdr:col>
                    <xdr:colOff>180975</xdr:colOff>
                    <xdr:row>0</xdr:row>
                    <xdr:rowOff>266700</xdr:rowOff>
                  </to>
                </anchor>
              </controlPr>
            </control>
          </mc:Choice>
        </mc:AlternateContent>
        <mc:AlternateContent xmlns:mc="http://schemas.openxmlformats.org/markup-compatibility/2006">
          <mc:Choice Requires="x14">
            <control shapeId="698370" r:id="rId5" name="Button 2">
              <controlPr defaultSize="0" print="0" autoFill="0" autoPict="0" macro="[0]!Volver_a_Bodega">
                <anchor moveWithCells="1">
                  <from>
                    <xdr:col>7</xdr:col>
                    <xdr:colOff>247650</xdr:colOff>
                    <xdr:row>0</xdr:row>
                    <xdr:rowOff>38100</xdr:rowOff>
                  </from>
                  <to>
                    <xdr:col>7</xdr:col>
                    <xdr:colOff>742950</xdr:colOff>
                    <xdr:row>0</xdr:row>
                    <xdr:rowOff>266700</xdr:rowOff>
                  </to>
                </anchor>
              </controlPr>
            </control>
          </mc:Choice>
        </mc:AlternateContent>
      </controls>
    </mc:Choice>
  </mc:AlternateContent>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7"/>
  <dimension ref="A1:R3"/>
  <sheetViews>
    <sheetView showGridLines="0" zoomScale="80" zoomScaleNormal="80" workbookViewId="0">
      <pane ySplit="1" topLeftCell="A2" activePane="bottomLeft" state="frozen"/>
      <selection pane="bottomLeft"/>
    </sheetView>
  </sheetViews>
  <sheetFormatPr baseColWidth="10" defaultRowHeight="12.75" x14ac:dyDescent="0.2"/>
  <cols>
    <col min="1" max="1" width="11.42578125" style="68"/>
    <col min="2" max="2" width="15.85546875" style="68" customWidth="1"/>
    <col min="3" max="4" width="11.42578125" style="68"/>
    <col min="5" max="5" width="12.42578125" style="68" customWidth="1"/>
    <col min="6" max="7" width="11.42578125" style="68"/>
    <col min="8" max="8" width="14.5703125" style="68" customWidth="1"/>
    <col min="9" max="9" width="14" style="68" customWidth="1"/>
    <col min="10" max="11" width="11.42578125" style="68"/>
    <col min="12" max="12" width="17.28515625" style="68" customWidth="1"/>
    <col min="13" max="13" width="18.85546875" style="68" customWidth="1"/>
    <col min="14" max="14" width="19.5703125" style="68" customWidth="1"/>
    <col min="15" max="15" width="21.85546875" style="68" customWidth="1"/>
    <col min="16" max="16" width="19.42578125" style="68" customWidth="1"/>
    <col min="17" max="17" width="14.7109375" style="68" customWidth="1"/>
    <col min="18" max="18" width="0" style="68" hidden="1" customWidth="1"/>
    <col min="19" max="16384" width="11.42578125" style="68"/>
  </cols>
  <sheetData>
    <row r="1" spans="1:18" ht="22.5" x14ac:dyDescent="0.3">
      <c r="A1" s="126" t="s">
        <v>568</v>
      </c>
      <c r="I1" s="168" t="s">
        <v>600</v>
      </c>
    </row>
    <row r="2" spans="1:18" ht="28.5" customHeight="1" x14ac:dyDescent="0.2">
      <c r="A2" s="127" t="s">
        <v>63</v>
      </c>
      <c r="B2" s="127" t="s">
        <v>3</v>
      </c>
      <c r="C2" s="127" t="s">
        <v>4</v>
      </c>
      <c r="D2" s="127" t="s">
        <v>23</v>
      </c>
      <c r="E2" s="127" t="s">
        <v>37</v>
      </c>
      <c r="F2" s="127" t="s">
        <v>279</v>
      </c>
      <c r="G2" s="127" t="s">
        <v>280</v>
      </c>
      <c r="H2" s="127" t="s">
        <v>281</v>
      </c>
      <c r="I2" s="127" t="s">
        <v>282</v>
      </c>
      <c r="J2" s="127" t="s">
        <v>283</v>
      </c>
      <c r="K2" s="127" t="s">
        <v>22</v>
      </c>
      <c r="L2" s="127" t="s">
        <v>284</v>
      </c>
      <c r="M2" s="127" t="s">
        <v>569</v>
      </c>
      <c r="N2" s="127" t="s">
        <v>570</v>
      </c>
      <c r="O2" s="127" t="s">
        <v>571</v>
      </c>
      <c r="P2" s="127" t="s">
        <v>572</v>
      </c>
      <c r="Q2" s="127" t="s">
        <v>566</v>
      </c>
      <c r="R2" s="127" t="s">
        <v>588</v>
      </c>
    </row>
    <row r="3" spans="1:18" x14ac:dyDescent="0.2">
      <c r="A3" s="1"/>
      <c r="M3" s="20"/>
      <c r="N3" s="20"/>
      <c r="O3" s="90"/>
      <c r="P3" s="90"/>
      <c r="Q3" s="131"/>
      <c r="R3" s="90"/>
    </row>
  </sheetData>
  <sheetProtection sort="0" autoFilter="0"/>
  <pageMargins left="0.7" right="0.7" top="0.75" bottom="0.75" header="0.3" footer="0.3"/>
  <pageSetup paperSize="0" orientation="portrait" horizontalDpi="0" verticalDpi="0" copies="0"/>
  <drawing r:id="rId1"/>
  <legacyDrawing r:id="rId2"/>
  <mc:AlternateContent xmlns:mc="http://schemas.openxmlformats.org/markup-compatibility/2006">
    <mc:Choice Requires="x14">
      <controls>
        <mc:AlternateContent xmlns:mc="http://schemas.openxmlformats.org/markup-compatibility/2006">
          <mc:Choice Requires="x14">
            <control shapeId="755713" r:id="rId3" name="volver">
              <controlPr defaultSize="0" print="0" autoFill="0" autoPict="0" macro="[0]!Volver_a_Bodega">
                <anchor moveWithCells="1">
                  <from>
                    <xdr:col>6</xdr:col>
                    <xdr:colOff>447675</xdr:colOff>
                    <xdr:row>0</xdr:row>
                    <xdr:rowOff>38100</xdr:rowOff>
                  </from>
                  <to>
                    <xdr:col>7</xdr:col>
                    <xdr:colOff>180975</xdr:colOff>
                    <xdr:row>0</xdr:row>
                    <xdr:rowOff>266700</xdr:rowOff>
                  </to>
                </anchor>
              </controlPr>
            </control>
          </mc:Choice>
        </mc:AlternateContent>
        <mc:AlternateContent xmlns:mc="http://schemas.openxmlformats.org/markup-compatibility/2006">
          <mc:Choice Requires="x14">
            <control shapeId="755714" r:id="rId4" name="Button 2">
              <controlPr defaultSize="0" print="0" autoFill="0" autoPict="0" macro="[0]!Ir_item_Mal_Atendidos_Suministro">
                <anchor moveWithCells="1">
                  <from>
                    <xdr:col>5</xdr:col>
                    <xdr:colOff>657225</xdr:colOff>
                    <xdr:row>0</xdr:row>
                    <xdr:rowOff>38100</xdr:rowOff>
                  </from>
                  <to>
                    <xdr:col>6</xdr:col>
                    <xdr:colOff>390525</xdr:colOff>
                    <xdr:row>0</xdr:row>
                    <xdr:rowOff>266700</xdr:rowOff>
                  </to>
                </anchor>
              </controlPr>
            </control>
          </mc:Choice>
        </mc:AlternateContent>
      </controls>
    </mc:Choice>
  </mc:AlternateContent>
  <tableParts count="1">
    <tablePart r:id="rId5"/>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3"/>
  <dimension ref="A1:B2"/>
  <sheetViews>
    <sheetView workbookViewId="0">
      <selection activeCell="A3" sqref="A3"/>
    </sheetView>
  </sheetViews>
  <sheetFormatPr baseColWidth="10" defaultRowHeight="12.75" x14ac:dyDescent="0.2"/>
  <sheetData>
    <row r="1" spans="1:2" x14ac:dyDescent="0.2">
      <c r="A1" t="s">
        <v>560</v>
      </c>
      <c r="B1" t="s">
        <v>561</v>
      </c>
    </row>
    <row r="2" spans="1:2" x14ac:dyDescent="0.2">
      <c r="A2" t="s">
        <v>562</v>
      </c>
      <c r="B2" t="s">
        <v>563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5"/>
  <dimension ref="A1:E2"/>
  <sheetViews>
    <sheetView showGridLines="0" workbookViewId="0">
      <selection activeCell="A2" sqref="A2:E2"/>
    </sheetView>
  </sheetViews>
  <sheetFormatPr baseColWidth="10" defaultRowHeight="12.75" x14ac:dyDescent="0.2"/>
  <cols>
    <col min="1" max="1" width="12.140625" customWidth="1"/>
    <col min="2" max="2" width="34.7109375" customWidth="1"/>
    <col min="3" max="3" width="23.5703125" customWidth="1"/>
    <col min="4" max="4" width="60.7109375" customWidth="1"/>
    <col min="5" max="5" width="39.28515625" customWidth="1"/>
  </cols>
  <sheetData>
    <row r="1" spans="1:5" x14ac:dyDescent="0.2">
      <c r="A1" t="s">
        <v>73</v>
      </c>
      <c r="B1" t="s">
        <v>63</v>
      </c>
      <c r="C1" t="s">
        <v>3</v>
      </c>
      <c r="D1" t="s">
        <v>529</v>
      </c>
      <c r="E1" t="s">
        <v>530</v>
      </c>
    </row>
    <row r="2" spans="1:5" x14ac:dyDescent="0.2">
      <c r="A2" s="1"/>
      <c r="B2" s="1"/>
      <c r="C2" s="1"/>
      <c r="D2" s="1"/>
      <c r="E2" s="1"/>
    </row>
  </sheetData>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404481" r:id="rId4" name="cmdVolver">
          <controlPr defaultSize="0" autoLine="0" r:id="rId5">
            <anchor moveWithCells="1">
              <from>
                <xdr:col>5</xdr:col>
                <xdr:colOff>133350</xdr:colOff>
                <xdr:row>0</xdr:row>
                <xdr:rowOff>9525</xdr:rowOff>
              </from>
              <to>
                <xdr:col>6</xdr:col>
                <xdr:colOff>161925</xdr:colOff>
                <xdr:row>1</xdr:row>
                <xdr:rowOff>38100</xdr:rowOff>
              </to>
            </anchor>
          </controlPr>
        </control>
      </mc:Choice>
      <mc:Fallback>
        <control shapeId="404481" r:id="rId4" name="cmdVolver"/>
      </mc:Fallback>
    </mc:AlternateContent>
  </controls>
  <tableParts count="1">
    <tablePart r:id="rId6"/>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4"/>
  <dimension ref="A1:F2"/>
  <sheetViews>
    <sheetView showGridLines="0" workbookViewId="0">
      <selection activeCell="F2" sqref="F2"/>
    </sheetView>
  </sheetViews>
  <sheetFormatPr baseColWidth="10" defaultRowHeight="12.75" x14ac:dyDescent="0.2"/>
  <cols>
    <col min="3" max="3" width="12" customWidth="1"/>
    <col min="4" max="4" width="13" customWidth="1"/>
    <col min="6" max="6" width="15.42578125" customWidth="1"/>
  </cols>
  <sheetData>
    <row r="1" spans="1:6" x14ac:dyDescent="0.2">
      <c r="A1" t="s">
        <v>43</v>
      </c>
      <c r="B1" t="s">
        <v>518</v>
      </c>
      <c r="C1" t="s">
        <v>519</v>
      </c>
      <c r="D1" t="s">
        <v>520</v>
      </c>
      <c r="F1" s="1" t="s">
        <v>523</v>
      </c>
    </row>
    <row r="2" spans="1:6" x14ac:dyDescent="0.2">
      <c r="A2" t="s">
        <v>527</v>
      </c>
      <c r="B2" t="s">
        <v>489</v>
      </c>
      <c r="D2">
        <v>0.5</v>
      </c>
      <c r="F2" t="s">
        <v>527</v>
      </c>
    </row>
  </sheetData>
  <pageMargins left="0.7" right="0.7" top="0.75" bottom="0.75" header="0.3" footer="0.3"/>
  <tableParts count="2">
    <tablePart r:id="rId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1"/>
  <dimension ref="A1"/>
  <sheetViews>
    <sheetView workbookViewId="0"/>
  </sheetViews>
  <sheetFormatPr baseColWidth="10" defaultRowHeight="12.75" x14ac:dyDescent="0.2"/>
  <sheetData>
    <row r="1" spans="1:1" x14ac:dyDescent="0.2">
      <c r="A1" t="s">
        <v>650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0"/>
  <dimension ref="A1:C54"/>
  <sheetViews>
    <sheetView showGridLines="0" workbookViewId="0">
      <pane ySplit="13" topLeftCell="A16" activePane="bottomLeft" state="frozen"/>
      <selection pane="bottomLeft" activeCell="C24" sqref="C24"/>
    </sheetView>
  </sheetViews>
  <sheetFormatPr baseColWidth="10" defaultRowHeight="12.75" x14ac:dyDescent="0.2"/>
  <cols>
    <col min="1" max="1" width="17.85546875" customWidth="1"/>
    <col min="2" max="2" width="7.5703125" style="68" customWidth="1"/>
  </cols>
  <sheetData>
    <row r="1" spans="1:3" x14ac:dyDescent="0.2">
      <c r="A1" s="1"/>
      <c r="B1" s="1"/>
    </row>
    <row r="14" spans="1:3" x14ac:dyDescent="0.2">
      <c r="A14" s="112"/>
      <c r="B14" s="112">
        <v>1</v>
      </c>
      <c r="C14" t="s">
        <v>453</v>
      </c>
    </row>
    <row r="15" spans="1:3" x14ac:dyDescent="0.2">
      <c r="A15" s="112"/>
      <c r="B15" s="112">
        <v>2</v>
      </c>
      <c r="C15" t="s">
        <v>454</v>
      </c>
    </row>
    <row r="16" spans="1:3" x14ac:dyDescent="0.2">
      <c r="A16" s="112"/>
      <c r="B16" s="112">
        <v>3</v>
      </c>
      <c r="C16" t="s">
        <v>455</v>
      </c>
    </row>
    <row r="17" spans="1:3" x14ac:dyDescent="0.2">
      <c r="A17" s="112"/>
      <c r="B17" s="112">
        <v>4</v>
      </c>
      <c r="C17" t="s">
        <v>456</v>
      </c>
    </row>
    <row r="18" spans="1:3" x14ac:dyDescent="0.2">
      <c r="A18" s="112"/>
      <c r="B18" s="112">
        <v>5</v>
      </c>
      <c r="C18" t="s">
        <v>457</v>
      </c>
    </row>
    <row r="19" spans="1:3" s="68" customFormat="1" x14ac:dyDescent="0.2">
      <c r="A19" s="112"/>
      <c r="B19" s="112">
        <v>6</v>
      </c>
      <c r="C19" s="1" t="s">
        <v>466</v>
      </c>
    </row>
    <row r="20" spans="1:3" s="68" customFormat="1" x14ac:dyDescent="0.2">
      <c r="A20" s="112"/>
      <c r="B20" s="112">
        <v>7</v>
      </c>
      <c r="C20" s="1" t="s">
        <v>467</v>
      </c>
    </row>
    <row r="21" spans="1:3" s="68" customFormat="1" x14ac:dyDescent="0.2">
      <c r="A21" s="112"/>
      <c r="B21" s="112">
        <v>8</v>
      </c>
      <c r="C21" s="1" t="s">
        <v>601</v>
      </c>
    </row>
    <row r="22" spans="1:3" s="68" customFormat="1" x14ac:dyDescent="0.2">
      <c r="A22" s="112"/>
      <c r="B22" s="112">
        <v>9</v>
      </c>
      <c r="C22" s="1" t="s">
        <v>602</v>
      </c>
    </row>
    <row r="23" spans="1:3" ht="16.5" customHeight="1" x14ac:dyDescent="0.2">
      <c r="A23" s="112"/>
      <c r="B23" s="112">
        <v>10</v>
      </c>
      <c r="C23" t="s">
        <v>500</v>
      </c>
    </row>
    <row r="24" spans="1:3" ht="16.5" customHeight="1" x14ac:dyDescent="0.2">
      <c r="A24" s="112"/>
      <c r="B24" s="112">
        <v>11</v>
      </c>
      <c r="C24" t="s">
        <v>1216</v>
      </c>
    </row>
    <row r="25" spans="1:3" ht="16.5" customHeight="1" x14ac:dyDescent="0.2">
      <c r="A25" s="112"/>
      <c r="B25" s="112">
        <v>12</v>
      </c>
      <c r="C25" s="1" t="s">
        <v>537</v>
      </c>
    </row>
    <row r="26" spans="1:3" ht="16.5" customHeight="1" x14ac:dyDescent="0.2">
      <c r="A26" s="112"/>
      <c r="B26" s="112">
        <v>13</v>
      </c>
      <c r="C26" t="s">
        <v>501</v>
      </c>
    </row>
    <row r="27" spans="1:3" ht="16.5" customHeight="1" x14ac:dyDescent="0.2">
      <c r="A27" s="112"/>
      <c r="B27" s="112">
        <v>14</v>
      </c>
      <c r="C27" t="s">
        <v>458</v>
      </c>
    </row>
    <row r="28" spans="1:3" ht="16.5" customHeight="1" x14ac:dyDescent="0.2">
      <c r="A28" s="112"/>
      <c r="B28" s="112">
        <v>15</v>
      </c>
      <c r="C28" t="s">
        <v>502</v>
      </c>
    </row>
    <row r="29" spans="1:3" ht="16.5" customHeight="1" x14ac:dyDescent="0.2">
      <c r="A29" s="112"/>
      <c r="B29" s="112">
        <v>16</v>
      </c>
      <c r="C29" t="s">
        <v>459</v>
      </c>
    </row>
    <row r="30" spans="1:3" ht="16.5" customHeight="1" x14ac:dyDescent="0.2">
      <c r="A30" s="112"/>
      <c r="B30" s="112">
        <v>17</v>
      </c>
      <c r="C30" t="s">
        <v>460</v>
      </c>
    </row>
    <row r="31" spans="1:3" ht="16.5" customHeight="1" x14ac:dyDescent="0.2">
      <c r="A31" s="112"/>
      <c r="B31" s="112">
        <v>18</v>
      </c>
      <c r="C31" t="s">
        <v>461</v>
      </c>
    </row>
    <row r="32" spans="1:3" ht="16.5" customHeight="1" x14ac:dyDescent="0.2">
      <c r="A32" s="112"/>
      <c r="B32" s="112">
        <v>19</v>
      </c>
      <c r="C32" t="s">
        <v>462</v>
      </c>
    </row>
    <row r="33" spans="1:3" ht="16.5" customHeight="1" x14ac:dyDescent="0.2">
      <c r="A33" s="112"/>
      <c r="B33" s="112">
        <v>20</v>
      </c>
      <c r="C33" t="s">
        <v>463</v>
      </c>
    </row>
    <row r="34" spans="1:3" ht="16.5" customHeight="1" x14ac:dyDescent="0.2">
      <c r="A34" s="113"/>
      <c r="B34" s="112">
        <v>21</v>
      </c>
      <c r="C34" s="1" t="s">
        <v>477</v>
      </c>
    </row>
    <row r="35" spans="1:3" s="68" customFormat="1" ht="16.5" customHeight="1" x14ac:dyDescent="0.2">
      <c r="A35" s="113"/>
      <c r="B35" s="112">
        <v>22</v>
      </c>
      <c r="C35" s="1" t="s">
        <v>470</v>
      </c>
    </row>
    <row r="36" spans="1:3" ht="16.5" customHeight="1" x14ac:dyDescent="0.2">
      <c r="A36" s="112"/>
      <c r="B36" s="120">
        <v>23</v>
      </c>
      <c r="C36" s="1" t="s">
        <v>464</v>
      </c>
    </row>
    <row r="37" spans="1:3" ht="16.5" customHeight="1" x14ac:dyDescent="0.2">
      <c r="A37" s="112"/>
      <c r="B37" s="120">
        <v>24</v>
      </c>
      <c r="C37" s="1" t="s">
        <v>478</v>
      </c>
    </row>
    <row r="38" spans="1:3" ht="16.5" customHeight="1" x14ac:dyDescent="0.2">
      <c r="A38" s="112"/>
      <c r="B38" s="120">
        <v>25</v>
      </c>
      <c r="C38" s="1" t="s">
        <v>479</v>
      </c>
    </row>
    <row r="39" spans="1:3" ht="16.5" customHeight="1" x14ac:dyDescent="0.2">
      <c r="A39" s="112"/>
      <c r="B39" s="120">
        <v>26</v>
      </c>
      <c r="C39" s="1" t="s">
        <v>480</v>
      </c>
    </row>
    <row r="40" spans="1:3" ht="16.5" customHeight="1" x14ac:dyDescent="0.2">
      <c r="A40" s="112"/>
      <c r="B40" s="120">
        <v>27</v>
      </c>
      <c r="C40" s="1" t="s">
        <v>481</v>
      </c>
    </row>
    <row r="41" spans="1:3" ht="16.5" customHeight="1" x14ac:dyDescent="0.2">
      <c r="A41" s="112"/>
      <c r="B41" s="120">
        <v>28</v>
      </c>
      <c r="C41" s="1" t="s">
        <v>482</v>
      </c>
    </row>
    <row r="42" spans="1:3" ht="16.5" customHeight="1" x14ac:dyDescent="0.2">
      <c r="A42" s="112"/>
      <c r="B42" s="112">
        <v>29</v>
      </c>
      <c r="C42" s="1" t="s">
        <v>465</v>
      </c>
    </row>
    <row r="43" spans="1:3" ht="16.5" customHeight="1" x14ac:dyDescent="0.2">
      <c r="A43" s="112"/>
      <c r="B43" s="112">
        <v>30</v>
      </c>
      <c r="C43" s="1" t="s">
        <v>468</v>
      </c>
    </row>
    <row r="44" spans="1:3" ht="16.5" customHeight="1" x14ac:dyDescent="0.2">
      <c r="A44" s="112"/>
      <c r="B44" s="112">
        <v>31</v>
      </c>
      <c r="C44" s="1" t="s">
        <v>471</v>
      </c>
    </row>
    <row r="45" spans="1:3" ht="16.5" customHeight="1" x14ac:dyDescent="0.2">
      <c r="A45" s="112"/>
      <c r="B45" s="112">
        <v>32</v>
      </c>
      <c r="C45" s="1" t="s">
        <v>469</v>
      </c>
    </row>
    <row r="46" spans="1:3" ht="16.5" customHeight="1" x14ac:dyDescent="0.2">
      <c r="A46" s="112"/>
      <c r="B46" s="112">
        <v>33</v>
      </c>
      <c r="C46" s="1" t="s">
        <v>483</v>
      </c>
    </row>
    <row r="47" spans="1:3" ht="16.5" customHeight="1" x14ac:dyDescent="0.2">
      <c r="A47" s="112"/>
      <c r="B47" s="112">
        <v>34</v>
      </c>
      <c r="C47" s="1" t="s">
        <v>534</v>
      </c>
    </row>
    <row r="48" spans="1:3" ht="16.5" customHeight="1" x14ac:dyDescent="0.2">
      <c r="A48" s="112"/>
      <c r="B48" s="112">
        <v>35</v>
      </c>
      <c r="C48" s="1" t="s">
        <v>535</v>
      </c>
    </row>
    <row r="49" spans="2:3" x14ac:dyDescent="0.2">
      <c r="B49" s="112">
        <v>36</v>
      </c>
      <c r="C49" s="1" t="s">
        <v>536</v>
      </c>
    </row>
    <row r="52" spans="2:3" x14ac:dyDescent="0.2">
      <c r="C52" s="1"/>
    </row>
    <row r="53" spans="2:3" x14ac:dyDescent="0.2">
      <c r="C53" s="1"/>
    </row>
    <row r="54" spans="2:3" x14ac:dyDescent="0.2">
      <c r="C54" s="1"/>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87045" r:id="rId4" name="cmdVolver">
          <controlPr defaultSize="0" autoLine="0" r:id="rId5">
            <anchor moveWithCells="1">
              <from>
                <xdr:col>0</xdr:col>
                <xdr:colOff>19050</xdr:colOff>
                <xdr:row>0</xdr:row>
                <xdr:rowOff>9525</xdr:rowOff>
              </from>
              <to>
                <xdr:col>0</xdr:col>
                <xdr:colOff>466725</xdr:colOff>
                <xdr:row>1</xdr:row>
                <xdr:rowOff>133350</xdr:rowOff>
              </to>
            </anchor>
          </controlPr>
        </control>
      </mc:Choice>
      <mc:Fallback>
        <control shapeId="87045" r:id="rId4" name="cmdVolver"/>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6600CC"/>
  </sheetPr>
  <dimension ref="A1:AP53"/>
  <sheetViews>
    <sheetView showGridLines="0" topLeftCell="I1" zoomScale="80" zoomScaleNormal="80" workbookViewId="0">
      <selection activeCell="AL2" sqref="AL2:AP24"/>
    </sheetView>
  </sheetViews>
  <sheetFormatPr baseColWidth="10" defaultColWidth="9.140625" defaultRowHeight="12.75" x14ac:dyDescent="0.2"/>
  <cols>
    <col min="1" max="1" width="14.85546875" customWidth="1"/>
    <col min="2" max="2" width="44.28515625" customWidth="1"/>
    <col min="3" max="3" width="12.28515625" bestFit="1" customWidth="1"/>
    <col min="5" max="5" width="16.28515625" customWidth="1"/>
    <col min="6" max="6" width="12.7109375" bestFit="1" customWidth="1"/>
    <col min="7" max="7" width="10.28515625" customWidth="1"/>
    <col min="8" max="8" width="19.5703125" customWidth="1"/>
    <col min="12" max="12" width="41" bestFit="1" customWidth="1"/>
    <col min="13" max="13" width="13" customWidth="1"/>
    <col min="14" max="14" width="11.140625" customWidth="1"/>
    <col min="15" max="15" width="36.5703125" customWidth="1"/>
    <col min="16" max="16" width="1.7109375" customWidth="1"/>
    <col min="17" max="17" width="1.42578125" customWidth="1"/>
    <col min="18" max="18" width="13.5703125" customWidth="1"/>
    <col min="19" max="19" width="16.28515625" bestFit="1" customWidth="1"/>
    <col min="20" max="20" width="13" customWidth="1"/>
    <col min="21" max="21" width="12.7109375" customWidth="1"/>
    <col min="22" max="22" width="23.7109375" customWidth="1"/>
    <col min="23" max="23" width="7.85546875" customWidth="1"/>
    <col min="24" max="24" width="12.28515625" bestFit="1" customWidth="1"/>
    <col min="25" max="25" width="11.28515625" customWidth="1"/>
    <col min="27" max="27" width="15.5703125" customWidth="1"/>
    <col min="30" max="30" width="26.28515625" customWidth="1"/>
    <col min="38" max="38" width="13.85546875" customWidth="1"/>
  </cols>
  <sheetData>
    <row r="1" spans="1:42" ht="11.45" customHeight="1" x14ac:dyDescent="0.2">
      <c r="N1" s="55" t="s">
        <v>103</v>
      </c>
      <c r="O1" s="56" t="str">
        <f ca="1">IFERROR(NOMBREWORKBOOK&amp;"  "&amp;"# "&amp;NOMBREPESTANA1,MID($A$4,(FIND("[",$A$4,1))+1,(FIND("]",$A$4,1))-(FIND("[",$A$4,1))-1)
)</f>
        <v>Control Buffers.xlsm</v>
      </c>
      <c r="P1" s="57"/>
      <c r="Q1" s="58"/>
      <c r="R1" s="55" t="s">
        <v>104</v>
      </c>
      <c r="S1" s="81">
        <f ca="1">SUMPRODUCT(SUBTOTAL(109,OFFSET(OFFSET(CONTROL[[#Headers],[CTV]],1,,,),ROW(CONTROL[CTV])-ROW(CONTROL[[#Headers],[CTV]])-1,,,)),CONTROL[Buff Act])</f>
        <v>876422.42</v>
      </c>
      <c r="V1" s="87" t="str">
        <f t="array" aca="1" ref="V1" ca="1">INDEX(Observaciones_Notables[Observaciones],SMALL(IF((Observaciones_Notables[Observaciones])&lt;&gt;"",ROW(Observaciones_Notables[Observaciones]),10000),ROW(V1))-ROW(Observaciones_Notables[[#Headers],[Observaciones]]))</f>
        <v>5 Sugerencia GDB</v>
      </c>
      <c r="W1" s="80"/>
      <c r="AA1" t="s">
        <v>52</v>
      </c>
      <c r="AD1" s="68" t="s">
        <v>558</v>
      </c>
      <c r="AL1" s="1" t="s">
        <v>81</v>
      </c>
      <c r="AM1" s="1" t="s">
        <v>88</v>
      </c>
      <c r="AN1" s="1" t="s">
        <v>596</v>
      </c>
      <c r="AO1" s="1" t="s">
        <v>597</v>
      </c>
      <c r="AP1" s="1" t="s">
        <v>598</v>
      </c>
    </row>
    <row r="2" spans="1:42" ht="11.45" customHeight="1" x14ac:dyDescent="0.2">
      <c r="A2" t="s">
        <v>56</v>
      </c>
      <c r="N2" s="59" t="s">
        <v>223</v>
      </c>
      <c r="O2" s="59" t="str">
        <f ca="1">PRIMER_CAMPO&amp;" - "&amp;OFFSET(PRIMER_CAMPO,0,COUNTIF(CONTROL[#Headers],"*/*")-1,1,1)&amp;"   "&amp;Tabla_Empresa[DIAS PERIODO]&amp;" días"</f>
        <v>24/01/2017 - 28/11/2018   237 días</v>
      </c>
      <c r="P2" s="60"/>
      <c r="Q2" s="61"/>
      <c r="R2" s="55" t="s">
        <v>124</v>
      </c>
      <c r="S2" s="81">
        <f ca="1">SUMPRODUCT(SUBTOTAL(109,OFFSET(OFFSET(CONTROL[[#Headers],[CTV]],1,,,),ROW(CONTROL[CTV])-ROW(CONTROL[[#Headers],[CTV]])-1,,,)),CONTROL[Inv Fís Act])</f>
        <v>185483.41999999998</v>
      </c>
      <c r="V2" s="87" t="str">
        <f t="array" aca="1" ref="V2" ca="1">INDEX(Observaciones_Notables[Observaciones],SMALL(IF((Observaciones_Notables[Observaciones])&lt;&gt;"",ROW(Observaciones_Notables[Observaciones]),10000),ROW(V2))-ROW(Observaciones_Notables[[#Headers],[Observaciones]]))</f>
        <v>23 Comportamiento</v>
      </c>
      <c r="W2" s="80"/>
      <c r="AA2" s="79" t="str">
        <f>IF(SUMPRODUCT(--(CONTROL[DESCRIPCION]="")),SUMPRODUCT(--(CONTROL[DESCRIPCION]=""))&amp;" No viene de ERP","")</f>
        <v/>
      </c>
      <c r="AL2" s="15"/>
      <c r="AM2" s="13"/>
      <c r="AN2" s="13"/>
      <c r="AO2" s="13"/>
      <c r="AP2" s="13"/>
    </row>
    <row r="3" spans="1:42" ht="11.45" customHeight="1" x14ac:dyDescent="0.2">
      <c r="A3" t="s">
        <v>75</v>
      </c>
      <c r="N3" s="55" t="s">
        <v>224</v>
      </c>
      <c r="O3" s="62">
        <f>MIN(CONTROL[Inicio Per])</f>
        <v>43087</v>
      </c>
      <c r="P3" s="63"/>
      <c r="Q3" s="63"/>
      <c r="R3" s="55" t="s">
        <v>127</v>
      </c>
      <c r="S3" s="81">
        <f ca="1">SUMPRODUCT(SUBTOTAL(109,OFFSET(OFFSET(CONTROL[[#Headers],[CTV]],1,,,),ROW(CONTROL[CTV])-ROW(CONTROL[[#Headers],[CTV]])-1,,,)),CONTROL[Tráns Act])</f>
        <v>209520.13999999998</v>
      </c>
      <c r="V3" s="87" t="str">
        <f t="array" aca="1" ref="V3" ca="1">INDEX(Observaciones_Notables[Observaciones],SMALL(IF((Observaciones_Notables[Observaciones])&lt;&gt;"",ROW(Observaciones_Notables[Observaciones]),10000),ROW(V3))-ROW(Observaciones_Notables[[#Headers],[Observaciones]]))</f>
        <v>3 Sin reposiciones</v>
      </c>
      <c r="W3" s="80"/>
      <c r="AA3" s="79" t="str">
        <f>IF(SUMPRODUCT(--(ISNUMBER(CONTROL[Nuevo Buff Sug]))),SUMPRODUCT(--(ISNUMBER(CONTROL[Nuevo Buff Sug])))&amp;" Sugerencia GDB","")</f>
        <v>5 Sugerencia GDB</v>
      </c>
    </row>
    <row r="4" spans="1:42" ht="11.45" customHeight="1" x14ac:dyDescent="0.2">
      <c r="A4" t="str">
        <f ca="1">CELL("filename",A1)</f>
        <v>D:\Documents RAMCAS\RAM CAS\MEJORA CONTINUA\CONTROL DE BUFFERS\BASE\[Control Buffers.xlsm]NoBorrar</v>
      </c>
      <c r="I4" t="s">
        <v>28</v>
      </c>
      <c r="N4" s="55" t="str">
        <f ca="1">IF(LEN(IF(Falta_Periodo&lt;&gt;"",Falta_Periodo,""))=0,Tabla_Empresa[ITEMS TOTALES]&amp;"-"&amp;SUBTOTAL(3,CONTROL[BODEGA])&amp;" SKUs",IF(Falta_Periodo&lt;&gt;"",Falta_Periodo,""))</f>
        <v>59-59 SKUs</v>
      </c>
      <c r="O4" s="55"/>
      <c r="P4" s="58"/>
      <c r="Q4" s="58"/>
      <c r="R4" s="55" t="s">
        <v>484</v>
      </c>
      <c r="S4" s="116">
        <f>Tabla_Empresa[FECHA REFRESCADO]</f>
        <v>43255.523148148146</v>
      </c>
      <c r="V4" s="87" t="str">
        <f t="array" aca="1" ref="V4" ca="1">INDEX(Observaciones_Notables[Observaciones],SMALL(IF((Observaciones_Notables[Observaciones])&lt;&gt;"",ROW(Observaciones_Notables[Observaciones]),10000),ROW(V4))-ROW(Observaciones_Notables[[#Headers],[Observaciones]]))</f>
        <v>1 Buffer no inicializado</v>
      </c>
      <c r="W4" s="80"/>
      <c r="AA4" s="79" t="str">
        <f>IFERROR(IF(SUMPRODUCT((CONTROL[Comportamiento]&lt;&gt;"")*1),SUMPRODUCT((CONTROL[Comportamiento]&lt;&gt;"")*1)&amp;" Comportamiento",""),"")</f>
        <v>23 Comportamiento</v>
      </c>
    </row>
    <row r="5" spans="1:42" x14ac:dyDescent="0.2">
      <c r="A5" t="str">
        <f ca="1">LEFT(SUBSTITUTE(SUBSTITUTE(A4,"[",""),"]",""),FIND("xlsm",SUBSTITUTE(SUBSTITUTE(A4,"[",""),"]",""),1)+3)</f>
        <v>D:\Documents RAMCAS\RAM CAS\MEJORA CONTINUA\CONTROL DE BUFFERS\BASE\Control Buffers.xlsm</v>
      </c>
      <c r="I5" t="s">
        <v>39</v>
      </c>
      <c r="V5" s="87" t="str">
        <f t="array" aca="1" ref="V5" ca="1">INDEX(Observaciones_Notables[Observaciones],SMALL(IF((Observaciones_Notables[Observaciones])&lt;&gt;"",ROW(Observaciones_Notables[Observaciones]),10000),ROW(V5))-ROW(Observaciones_Notables[[#Headers],[Observaciones]]))</f>
        <v>2 Buffers vacíos</v>
      </c>
      <c r="W5" s="80"/>
      <c r="AA5" s="79" t="str">
        <f>IF(SUMPRODUCT(--CONTROL[Omisiones GDB])=TRUE,"Subida GDB bloqueada","")</f>
        <v/>
      </c>
    </row>
    <row r="6" spans="1:42" x14ac:dyDescent="0.2">
      <c r="A6" t="str">
        <f ca="1">LEFT(CELL("filename",A1),FIND("[",CELL("filename",A1))-2)</f>
        <v>D:\Documents RAMCAS\RAM CAS\MEJORA CONTINUA\CONTROL DE BUFFERS\BASE</v>
      </c>
      <c r="I6" t="s">
        <v>29</v>
      </c>
      <c r="V6" s="87" t="str">
        <f t="array" aca="1" ref="V6" ca="1">INDEX(Observaciones_Notables[Observaciones],SMALL(IF((Observaciones_Notables[Observaciones])&lt;&gt;"",ROW(Observaciones_Notables[Observaciones]),10000),ROW(V6))-ROW(Observaciones_Notables[[#Headers],[Observaciones]]))</f>
        <v>2 Buffers por efectivizar</v>
      </c>
      <c r="AA6" s="79" t="str">
        <f>IF(SUMPRODUCT(--(CONTROL[Acción Estacional]&lt;&gt;"")),SUMPRODUCT(--(CONTROL[Acción Estacional]&lt;&gt;""))&amp;" Acción Estacionalidad","")</f>
        <v/>
      </c>
    </row>
    <row r="7" spans="1:42" x14ac:dyDescent="0.2">
      <c r="V7" s="87" t="e">
        <f t="array" aca="1" ref="V7" ca="1">INDEX(Observaciones_Notables[Observaciones],SMALL(IF((Observaciones_Notables[Observaciones])&lt;&gt;"",ROW(Observaciones_Notables[Observaciones]),10000),ROW(V7))-ROW(Observaciones_Notables[[#Headers],[Observaciones]]))</f>
        <v>#REF!</v>
      </c>
      <c r="AA7" s="79" t="str">
        <f>IF(SUMPRODUCT(--(CONTROL[Ult Transfer Inicial]=0),--(CONTROL[Color]&lt;&gt;"G"),--(CONTROL[PEDIDCalc]&gt;0)),SUMPRODUCT(--(CONTROL[Ult Transfer Inicial]=0),--(CONTROL[Color]&lt;&gt;"G"),--(CONTROL[PEDIDCalc]&gt;0))&amp;" Sin reposiciones","")</f>
        <v>3 Sin reposiciones</v>
      </c>
    </row>
    <row r="8" spans="1:42" x14ac:dyDescent="0.2">
      <c r="A8" t="str">
        <f ca="1">MID(LEFT(A4,FIND("[",A4)-2),1,FIND("CONTROL",LEFT(A4,FIND("[",A4)-2),1)-1)&amp;"CONTROL DE BUFFERS\"</f>
        <v>D:\Documents RAMCAS\RAM CAS\MEJORA CONTINUA\CONTROL DE BUFFERS\</v>
      </c>
      <c r="I8" s="1" t="s">
        <v>27</v>
      </c>
      <c r="V8" s="87" t="e">
        <f t="array" aca="1" ref="V8" ca="1">INDEX(Observaciones_Notables[Observaciones],SMALL(IF((Observaciones_Notables[Observaciones])&lt;&gt;"",ROW(Observaciones_Notables[Observaciones]),10000),ROW(V8))-ROW(Observaciones_Notables[[#Headers],[Observaciones]]))</f>
        <v>#REF!</v>
      </c>
      <c r="AA8" s="79" t="str">
        <f>IF(SUMPRODUCT(IFERROR(SEARCH("MAC",CONTROL[Estado Reposiciones]),0)),SUMPRODUCT(IFERROR(SEARCH("MAC",CONTROL[Estado Reposiciones]),0))&amp;" Mal Atendido Cantidad","")</f>
        <v/>
      </c>
    </row>
    <row r="9" spans="1:42" x14ac:dyDescent="0.2">
      <c r="V9" s="87" t="e">
        <f t="array" aca="1" ref="V9" ca="1">INDEX(Observaciones_Notables[Observaciones],SMALL(IF((Observaciones_Notables[Observaciones])&lt;&gt;"",ROW(Observaciones_Notables[Observaciones]),10000),ROW(V9))-ROW(Observaciones_Notables[[#Headers],[Observaciones]]))</f>
        <v>#REF!</v>
      </c>
      <c r="AA9" s="79" t="str">
        <f>IF(SUMPRODUCT(IFERROR(SEARCH("SAC",CONTROL[Estado Reposiciones]),0)),SUMPRODUCT(IFERROR(SEARCH("SAC",CONTROL[Estado Reposiciones]),0))&amp;" Sobre atendido Cantidad","")</f>
        <v/>
      </c>
    </row>
    <row r="10" spans="1:42" x14ac:dyDescent="0.2">
      <c r="A10" t="str">
        <f ca="1">MID(A6,LEN(A8)+1,LEN(A6)-LEN(A8))</f>
        <v>BASE</v>
      </c>
      <c r="I10" t="s">
        <v>30</v>
      </c>
      <c r="V10" s="87" t="e">
        <f t="array" aca="1" ref="V10" ca="1">INDEX(Observaciones_Notables[Observaciones],SMALL(IF((Observaciones_Notables[Observaciones])&lt;&gt;"",ROW(Observaciones_Notables[Observaciones]),10000),ROW(V10))-ROW(Observaciones_Notables[[#Headers],[Observaciones]]))</f>
        <v>#REF!</v>
      </c>
      <c r="AA10" s="128" t="str">
        <f>IF(SUMPRODUCT(IFERROR(SEARCH("MFR",CONTROL[Estado Reposiciones]),0)),SUMPRODUCT(IFERROR(SEARCH("MFR",CONTROL[Estado Reposiciones]),0))&amp;" Mal atendido Frecuencia","")</f>
        <v/>
      </c>
    </row>
    <row r="11" spans="1:42" x14ac:dyDescent="0.2">
      <c r="V11" s="87" t="e">
        <f t="array" aca="1" ref="V11" ca="1">INDEX(Observaciones_Notables[Observaciones],SMALL(IF((Observaciones_Notables[Observaciones])&lt;&gt;"",ROW(Observaciones_Notables[Observaciones]),10000),ROW(V11))-ROW(Observaciones_Notables[[#Headers],[Observaciones]]))</f>
        <v>#REF!</v>
      </c>
      <c r="AA11" s="130" t="str">
        <f>IF(COUNTA(tbl_transferencia_demorada[CODIGO]),COUNTA(tbl_transferencia_demorada[CODIGO])&amp;" Mal atendido T Suminis","")</f>
        <v/>
      </c>
    </row>
    <row r="12" spans="1:42" x14ac:dyDescent="0.2">
      <c r="A12" t="str">
        <f ca="1">SUBSTITUTE(EMPRESABODEGA1,"\"," ")</f>
        <v>BASE</v>
      </c>
      <c r="I12" t="s">
        <v>30</v>
      </c>
      <c r="AA12" s="124" t="str">
        <f>IF(SUMPRODUCT(--(CONTROL[DESCRIPCION]&lt;&gt;""),--(CONTROL[Ult Cambio]=0)),SUMPRODUCT(--(CONTROL[DESCRIPCION]&lt;&gt;""),--(CONTROL[Ult Cambio]=0))&amp;" Buffer no inicializado","")</f>
        <v>1 Buffer no inicializado</v>
      </c>
    </row>
    <row r="13" spans="1:42" x14ac:dyDescent="0.2">
      <c r="AA13" s="79" t="str">
        <f>IF(SUMPRODUCT(--(ISBLANK(CONTROL[Buff Act]))),SUMPRODUCT(--(ISBLANK(CONTROL[Buff Act])))&amp;" Buffers vacíos","")</f>
        <v>2 Buffers vacíos</v>
      </c>
    </row>
    <row r="14" spans="1:42" x14ac:dyDescent="0.2">
      <c r="A14" t="str">
        <f>Tabla_Empresa_Activa[NOMBRE]</f>
        <v>AGROTA</v>
      </c>
      <c r="I14" t="s">
        <v>31</v>
      </c>
      <c r="AA14" s="79" t="str">
        <f>IF(SUMPRODUCT(--(CONTROL[Nuevo Buff Real]&lt;&gt;"")),SUMPRODUCT(--(CONTROL[Nuevo Buff Real]&lt;&gt;""))&amp;" Buffers por efectivizar","")</f>
        <v>2 Buffers por efectivizar</v>
      </c>
    </row>
    <row r="15" spans="1:42" x14ac:dyDescent="0.2">
      <c r="AA15" s="79" t="str">
        <f t="array" ref="AA15">IF((SUMPRODUCT(IF(1*ISNUMBER(CONTROL[Err Ped Grupo]),CONTROL[Err Ped Grupo],0))&lt;&gt;0),"MG "&amp;INDEX(CONTROL[CODIGO GENERICO],MATCH(MAX(IF(1*ISNUMBER(CONTROL[Err Ped Grupo]),CONTROL[Err Ped Grupo],0)),CONTROL[Err Ped Grupo],0)),"")</f>
        <v/>
      </c>
    </row>
    <row r="16" spans="1:42" x14ac:dyDescent="0.2">
      <c r="A16" t="e">
        <f ca="1">RIGHT(EMPRESABODEGA1,LEN(EMPRESABODEGA1)-FIND("\",EMPRESABODEGA1))</f>
        <v>#VALUE!</v>
      </c>
      <c r="I16" t="s">
        <v>32</v>
      </c>
      <c r="O16" s="1"/>
      <c r="AA16" s="79" t="str">
        <f>IF(COUNTA(Tabla_Duplicados[]),COUNTA(Tabla_Duplicados[])&amp;" Duplicados otra Hoja CB","")</f>
        <v/>
      </c>
    </row>
    <row r="17" spans="1:27" x14ac:dyDescent="0.2">
      <c r="M17" s="1" t="s">
        <v>595</v>
      </c>
      <c r="N17" s="88">
        <v>42592</v>
      </c>
      <c r="AA17" s="79" t="str">
        <f t="array" ref="AA17">IF(SUM(IF(COUNTIFS(CONTROL[BODEGA],CONTROL[BODEGA],CONTROL[CODIGO],CONTROL[CODIGO])&gt;1,1)),SUM(IF(COUNTIFS(CONTROL[BODEGA],CONTROL[BODEGA],CONTROL[CODIGO],CONTROL[CODIGO])&gt;1,1))&amp;" Duplicados esta Hoja CB","")</f>
        <v/>
      </c>
    </row>
    <row r="18" spans="1:27" x14ac:dyDescent="0.2">
      <c r="A18" t="e">
        <f ca="1">EMPRES&amp;BODEG</f>
        <v>#VALUE!</v>
      </c>
      <c r="I18" t="s">
        <v>34</v>
      </c>
      <c r="AA18" s="79" t="str">
        <f ca="1">IF(SUMPRODUCT(--(CONTROL[Posponer GDB]&gt;(HOY+120))),SUMPRODUCT(--(CONTROL[Posponer GDB]&gt;(HOY+120)))&amp;" GDB muy pospuesta","")</f>
        <v/>
      </c>
    </row>
    <row r="19" spans="1:27" x14ac:dyDescent="0.2">
      <c r="A19" t="str">
        <f>INDEX(Tabla_ArchivosCB[COD_EMPRESA],MATCH(EMPRES,Tabla_ArchivosCB[EMPRESA],0))</f>
        <v>1</v>
      </c>
      <c r="R19" s="88"/>
      <c r="AA19" s="79" t="str">
        <f ca="1">IF(SUMPRODUCT(--(CONTROL[Posponer BUF]&gt;(HOY+120))),SUMPRODUCT(--(CONTROL[Posponer BUF]&gt;(HOY+120)))&amp;" BUF muy pospuesta","")</f>
        <v/>
      </c>
    </row>
    <row r="20" spans="1:27" x14ac:dyDescent="0.2">
      <c r="A20" t="str">
        <f ca="1">LEFT(RIGHT(DIRPATHCOMPLETO,LEN(DIRPATHCOMPLETO)-(LEN(DIRCOMPLETO)+1)),LEN(RIGHT(DIRPATHCOMPLETO,LEN(DIRPATHCOMPLETO)-(LEN(DIRCOMPLETO)+1)))-5)</f>
        <v>Control Buffers</v>
      </c>
      <c r="B20" s="2"/>
      <c r="F20" s="19"/>
      <c r="I20" s="1" t="s">
        <v>40</v>
      </c>
      <c r="AA20" s="79" t="str">
        <f ca="1">IF(SUMPRODUCT(--(CONTROL[Posponer RED]&gt;(HOY+120))),SUMPRODUCT(--(CONTROL[Posponer RED]&gt;(HOY+120)))&amp;" RED muy pospuesta","")</f>
        <v/>
      </c>
    </row>
    <row r="21" spans="1:27" x14ac:dyDescent="0.2">
      <c r="A21" t="str">
        <f ca="1">UPPER(SUBSTITUTE(A20," ",""))</f>
        <v>CONTROLBUFFERS</v>
      </c>
      <c r="I21" s="1" t="s">
        <v>42</v>
      </c>
      <c r="AA21" s="79" t="str">
        <f ca="1">IF(SUMPRODUCT(--(CONTROL[Posponer RED]&gt;(HOY+90))),"RED muy pospuesta","")</f>
        <v/>
      </c>
    </row>
    <row r="22" spans="1:27" x14ac:dyDescent="0.2">
      <c r="A22" t="str">
        <f ca="1">A20&amp;".xlsm"</f>
        <v>Control Buffers.xlsm</v>
      </c>
      <c r="I22" s="1" t="s">
        <v>41</v>
      </c>
    </row>
    <row r="23" spans="1:27" x14ac:dyDescent="0.2">
      <c r="A23" s="1" t="s">
        <v>45</v>
      </c>
      <c r="C23" s="1" t="s">
        <v>60</v>
      </c>
      <c r="D23" s="15" t="s">
        <v>72</v>
      </c>
      <c r="E23" s="1" t="s">
        <v>62</v>
      </c>
      <c r="F23" t="b">
        <f>AND(FINPERIODO&gt;=INIPERIODO,NOT(OR(ISBLANK(INIPERIODO),ISBLANK(FINPERIODO))))</f>
        <v>1</v>
      </c>
      <c r="I23" s="1" t="s">
        <v>46</v>
      </c>
    </row>
    <row r="24" spans="1:27" x14ac:dyDescent="0.2">
      <c r="A24" s="15" t="s">
        <v>692</v>
      </c>
      <c r="C24" s="1" t="s">
        <v>61</v>
      </c>
      <c r="D24" s="15" t="s">
        <v>72</v>
      </c>
    </row>
    <row r="25" spans="1:27" x14ac:dyDescent="0.2">
      <c r="A25" s="16">
        <f>IFERROR(MATCH(FECHAINVFISICO,CONTROL[#Headers],0),0)</f>
        <v>246</v>
      </c>
    </row>
    <row r="26" spans="1:27" x14ac:dyDescent="0.2">
      <c r="A26" s="4" t="s">
        <v>43</v>
      </c>
      <c r="B26" s="5"/>
      <c r="C26" s="6" t="s">
        <v>44</v>
      </c>
    </row>
    <row r="27" spans="1:27" x14ac:dyDescent="0.2">
      <c r="A27" s="7" t="str">
        <f ca="1">DIRCOMPLETO&amp;"\"&amp;NOMBREWORKBOOK</f>
        <v>D:\Documents RAMCAS\RAM CAS\MEJORA CONTINUA\CONTROL DE BUFFERS\BASE\Control Buffers.xlsm</v>
      </c>
      <c r="B27" s="8"/>
      <c r="C27" s="9" t="e">
        <f ca="1">INDEX(Tabla_ArchivosCB[TabARCHIVO],MATCH(NOMBREPESTANA,Tabla_ArchivosCB[PATH],0),1)</f>
        <v>#N/A</v>
      </c>
    </row>
    <row r="28" spans="1:27" x14ac:dyDescent="0.2">
      <c r="A28" s="10" t="s">
        <v>47</v>
      </c>
      <c r="B28" s="11"/>
      <c r="C28" s="11"/>
      <c r="D28" s="11"/>
      <c r="E28" s="11"/>
      <c r="F28" s="11"/>
      <c r="G28" s="11"/>
    </row>
    <row r="29" spans="1:27" x14ac:dyDescent="0.2">
      <c r="A29" s="11" t="s">
        <v>76</v>
      </c>
      <c r="B29" s="11"/>
      <c r="C29" s="11"/>
      <c r="D29" s="11"/>
      <c r="E29" s="11"/>
      <c r="F29" s="11"/>
      <c r="G29" s="11"/>
    </row>
    <row r="32" spans="1:27" x14ac:dyDescent="0.2">
      <c r="C32" s="23" t="s">
        <v>102</v>
      </c>
    </row>
    <row r="33" spans="1:3" x14ac:dyDescent="0.2">
      <c r="C33" s="23">
        <v>3</v>
      </c>
    </row>
    <row r="34" spans="1:3" x14ac:dyDescent="0.2">
      <c r="A34" t="s">
        <v>542</v>
      </c>
      <c r="C34">
        <f>ROW(CONTROL[[#Headers],[BODEGA]])</f>
        <v>2</v>
      </c>
    </row>
    <row r="40" spans="1:3" x14ac:dyDescent="0.2">
      <c r="A40" s="1" t="s">
        <v>22</v>
      </c>
    </row>
    <row r="41" spans="1:3" x14ac:dyDescent="0.2">
      <c r="A41" s="1" t="s">
        <v>18</v>
      </c>
    </row>
    <row r="42" spans="1:3" x14ac:dyDescent="0.2">
      <c r="A42" s="1" t="s">
        <v>19</v>
      </c>
    </row>
    <row r="43" spans="1:3" x14ac:dyDescent="0.2">
      <c r="A43" s="1" t="s">
        <v>20</v>
      </c>
    </row>
    <row r="44" spans="1:3" x14ac:dyDescent="0.2">
      <c r="A44" s="1" t="s">
        <v>21</v>
      </c>
    </row>
    <row r="47" spans="1:3" x14ac:dyDescent="0.2">
      <c r="A47" t="s">
        <v>50</v>
      </c>
    </row>
    <row r="49" spans="1:3" x14ac:dyDescent="0.2">
      <c r="A49" t="s">
        <v>51</v>
      </c>
    </row>
    <row r="50" spans="1:3" x14ac:dyDescent="0.2">
      <c r="A50">
        <f ca="1">COLUMN(PRIMER_CAMPO)</f>
        <v>137</v>
      </c>
    </row>
    <row r="52" spans="1:3" x14ac:dyDescent="0.2">
      <c r="A52" t="s">
        <v>112</v>
      </c>
      <c r="B52" t="s">
        <v>113</v>
      </c>
      <c r="C52" s="1" t="s">
        <v>111</v>
      </c>
    </row>
    <row r="53" spans="1:3" x14ac:dyDescent="0.2">
      <c r="A53" s="24">
        <f ca="1">HOY</f>
        <v>43255</v>
      </c>
      <c r="B53" s="24">
        <f ca="1">Tabla_Parametros_Nivel_Servicio[FECHAFIN]-Tabla_Parametros_Nivel_Servicio[DÍAS NIVEL SERVICIO]</f>
        <v>43075</v>
      </c>
      <c r="C53" s="13">
        <f>AVERAGE(Tabla_ArchivosBodegas[T NIV SER (DIAS)])</f>
        <v>180</v>
      </c>
    </row>
  </sheetData>
  <conditionalFormatting sqref="O3">
    <cfRule type="expression" dxfId="213" priority="12">
      <formula>$O$3&lt;PRIMER_CAMPO*1</formula>
    </cfRule>
  </conditionalFormatting>
  <conditionalFormatting sqref="N4:Q4">
    <cfRule type="expression" dxfId="212" priority="10">
      <formula>AND($N$4&lt;&gt;"",RIGHT($N$4,4)&lt;&gt;"SKUs")</formula>
    </cfRule>
  </conditionalFormatting>
  <conditionalFormatting sqref="V1:V11">
    <cfRule type="expression" dxfId="211" priority="6">
      <formula>ISERROR(V1)</formula>
    </cfRule>
  </conditionalFormatting>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605186" r:id="rId4" name="Button 2">
              <controlPr defaultSize="0" print="0" autoFill="0" autoPict="0" macro="[0]!RangeTimer">
                <anchor moveWithCells="1" sizeWithCells="1">
                  <from>
                    <xdr:col>28</xdr:col>
                    <xdr:colOff>104775</xdr:colOff>
                    <xdr:row>5</xdr:row>
                    <xdr:rowOff>66675</xdr:rowOff>
                  </from>
                  <to>
                    <xdr:col>29</xdr:col>
                    <xdr:colOff>561975</xdr:colOff>
                    <xdr:row>7</xdr:row>
                    <xdr:rowOff>104775</xdr:rowOff>
                  </to>
                </anchor>
              </controlPr>
            </control>
          </mc:Choice>
        </mc:AlternateContent>
        <mc:AlternateContent xmlns:mc="http://schemas.openxmlformats.org/markup-compatibility/2006">
          <mc:Choice Requires="x14">
            <control shapeId="605187" r:id="rId5" name="Button 3">
              <controlPr defaultSize="0" print="0" autoFill="0" autoPict="0" macro="[0]!SheetTimer">
                <anchor moveWithCells="1" sizeWithCells="1">
                  <from>
                    <xdr:col>28</xdr:col>
                    <xdr:colOff>104775</xdr:colOff>
                    <xdr:row>10</xdr:row>
                    <xdr:rowOff>85725</xdr:rowOff>
                  </from>
                  <to>
                    <xdr:col>29</xdr:col>
                    <xdr:colOff>561975</xdr:colOff>
                    <xdr:row>12</xdr:row>
                    <xdr:rowOff>123825</xdr:rowOff>
                  </to>
                </anchor>
              </controlPr>
            </control>
          </mc:Choice>
        </mc:AlternateContent>
        <mc:AlternateContent xmlns:mc="http://schemas.openxmlformats.org/markup-compatibility/2006">
          <mc:Choice Requires="x14">
            <control shapeId="605188" r:id="rId6" name="Button 4">
              <controlPr defaultSize="0" print="0" autoFill="0" autoPict="0" macro="[0]!RecalcTimer">
                <anchor moveWithCells="1" sizeWithCells="1">
                  <from>
                    <xdr:col>28</xdr:col>
                    <xdr:colOff>104775</xdr:colOff>
                    <xdr:row>7</xdr:row>
                    <xdr:rowOff>152400</xdr:rowOff>
                  </from>
                  <to>
                    <xdr:col>29</xdr:col>
                    <xdr:colOff>561975</xdr:colOff>
                    <xdr:row>10</xdr:row>
                    <xdr:rowOff>28575</xdr:rowOff>
                  </to>
                </anchor>
              </controlPr>
            </control>
          </mc:Choice>
        </mc:AlternateContent>
        <mc:AlternateContent xmlns:mc="http://schemas.openxmlformats.org/markup-compatibility/2006">
          <mc:Choice Requires="x14">
            <control shapeId="605189" r:id="rId7" name="Button 5">
              <controlPr defaultSize="0" print="0" autoFill="0" autoPict="0" macro="[0]!FullcalcTimer">
                <anchor moveWithCells="1" sizeWithCells="1">
                  <from>
                    <xdr:col>28</xdr:col>
                    <xdr:colOff>104775</xdr:colOff>
                    <xdr:row>13</xdr:row>
                    <xdr:rowOff>0</xdr:rowOff>
                  </from>
                  <to>
                    <xdr:col>29</xdr:col>
                    <xdr:colOff>561975</xdr:colOff>
                    <xdr:row>15</xdr:row>
                    <xdr:rowOff>47625</xdr:rowOff>
                  </to>
                </anchor>
              </controlPr>
            </control>
          </mc:Choice>
        </mc:AlternateContent>
      </controls>
    </mc:Choice>
  </mc:AlternateContent>
  <tableParts count="4">
    <tablePart r:id="rId8"/>
    <tablePart r:id="rId9"/>
    <tablePart r:id="rId10"/>
    <tablePart r:id="rId11"/>
  </tableParts>
  <extLst>
    <ext xmlns:x14="http://schemas.microsoft.com/office/spreadsheetml/2009/9/main" uri="{78C0D931-6437-407d-A8EE-F0AAD7539E65}">
      <x14:conditionalFormattings>
        <x14:conditionalFormatting xmlns:xm="http://schemas.microsoft.com/office/excel/2006/main">
          <x14:cfRule type="expression" priority="1" id="{21C4468C-D3E8-48C8-8CF5-59D0FEA8AABE}">
            <xm:f>OR(DATE(YEAR($S$4),MONTH($S$4),DAY($S$4))&lt;&gt;TODAY(),Empresa!$R$2=0)</xm:f>
            <x14:dxf>
              <fill>
                <patternFill>
                  <bgColor rgb="FFFF0000"/>
                </patternFill>
              </fill>
            </x14:dxf>
          </x14:cfRule>
          <xm:sqref>S4</xm:sqref>
        </x14:conditionalFormatting>
        <x14:conditionalFormatting xmlns:xm="http://schemas.microsoft.com/office/excel/2006/main">
          <x14:cfRule type="expression" priority="2" id="{11FD9175-32CB-4820-B332-85E1BDA85924}">
            <xm:f>Empresa!$W$2="incompleto"</xm:f>
            <x14:dxf>
              <fill>
                <patternFill>
                  <bgColor rgb="FFFFC000"/>
                </patternFill>
              </fill>
            </x14:dxf>
          </x14:cfRule>
          <xm:sqref>S4</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tabColor rgb="FF6600CC"/>
  </sheetPr>
  <dimension ref="A1:AB7"/>
  <sheetViews>
    <sheetView showGridLines="0" topLeftCell="L1" workbookViewId="0">
      <selection activeCell="AB2" sqref="AB2"/>
    </sheetView>
  </sheetViews>
  <sheetFormatPr baseColWidth="10" defaultColWidth="11.42578125" defaultRowHeight="12.75" x14ac:dyDescent="0.2"/>
  <cols>
    <col min="1" max="1" width="17.28515625" bestFit="1" customWidth="1"/>
    <col min="2" max="2" width="23.85546875" bestFit="1" customWidth="1"/>
    <col min="3" max="3" width="17.42578125" customWidth="1"/>
    <col min="4" max="4" width="14.140625" bestFit="1" customWidth="1"/>
    <col min="7" max="7" width="12.85546875" customWidth="1"/>
    <col min="9" max="9" width="18.140625" bestFit="1" customWidth="1"/>
    <col min="10" max="10" width="12.5703125" bestFit="1" customWidth="1"/>
    <col min="11" max="11" width="17.7109375" bestFit="1" customWidth="1"/>
    <col min="12" max="12" width="14.85546875" bestFit="1" customWidth="1"/>
    <col min="19" max="19" width="23.140625" bestFit="1" customWidth="1"/>
  </cols>
  <sheetData>
    <row r="1" spans="1:28" x14ac:dyDescent="0.2">
      <c r="A1" s="68" t="s">
        <v>63</v>
      </c>
      <c r="B1" t="s">
        <v>64</v>
      </c>
      <c r="C1" t="s">
        <v>207</v>
      </c>
      <c r="D1" s="1" t="s">
        <v>65</v>
      </c>
      <c r="E1" s="1" t="s">
        <v>66</v>
      </c>
      <c r="F1" s="1" t="s">
        <v>69</v>
      </c>
      <c r="G1" s="1" t="s">
        <v>67</v>
      </c>
      <c r="H1" s="1" t="s">
        <v>68</v>
      </c>
      <c r="I1" t="s">
        <v>70</v>
      </c>
      <c r="J1" t="s">
        <v>71</v>
      </c>
      <c r="K1" t="s">
        <v>73</v>
      </c>
      <c r="L1" s="1" t="s">
        <v>49</v>
      </c>
      <c r="M1" t="s">
        <v>90</v>
      </c>
      <c r="N1" t="s">
        <v>89</v>
      </c>
      <c r="O1" t="s">
        <v>125</v>
      </c>
      <c r="P1" t="s">
        <v>126</v>
      </c>
      <c r="Q1" s="1" t="s">
        <v>133</v>
      </c>
      <c r="R1" t="s">
        <v>167</v>
      </c>
      <c r="S1" t="s">
        <v>168</v>
      </c>
      <c r="T1" s="1" t="s">
        <v>254</v>
      </c>
      <c r="U1" t="s">
        <v>532</v>
      </c>
      <c r="V1" t="s">
        <v>533</v>
      </c>
      <c r="W1" t="s">
        <v>538</v>
      </c>
      <c r="X1" s="1" t="s">
        <v>651</v>
      </c>
      <c r="Y1" s="1" t="s">
        <v>1156</v>
      </c>
      <c r="Z1" s="1" t="s">
        <v>1158</v>
      </c>
      <c r="AA1" s="1" t="s">
        <v>1157</v>
      </c>
      <c r="AB1" s="1" t="s">
        <v>3579</v>
      </c>
    </row>
    <row r="2" spans="1:28" x14ac:dyDescent="0.2">
      <c r="A2" s="68"/>
      <c r="B2" t="str">
        <f ca="1">NOMBREWORKBOOK</f>
        <v>Control Buffers.xlsm</v>
      </c>
      <c r="C2" t="str">
        <f ca="1">DIRPATHCOMPLETO</f>
        <v>D:\Documents RAMCAS\RAM CAS\MEJORA CONTINUA\CONTROL DE BUFFERS\BASE\Control Buffers.xlsm</v>
      </c>
      <c r="D2" t="str">
        <f ca="1">PRIMER_CAMPO</f>
        <v>24/01/2017</v>
      </c>
      <c r="E2" t="str">
        <f ca="1">OFFSET(PRIMER_CAMPO,0,COUNTIF(CONTROL[#Headers],"*/*")-1,1,1)</f>
        <v>28/11/2018</v>
      </c>
      <c r="F2">
        <f ca="1">COLUMNS(HORIZONTE)</f>
        <v>237</v>
      </c>
      <c r="G2" s="74">
        <f ca="1">HOY</f>
        <v>43255</v>
      </c>
      <c r="H2">
        <f ca="1">Tabla_Empresa[ULTIMO DIA]-Tabla_Empresa[HOY]</f>
        <v>177</v>
      </c>
      <c r="I2">
        <f>ROWS(CONTROL[])</f>
        <v>59</v>
      </c>
      <c r="J2">
        <f>SUMPRODUCT(--(CONTROL[Buff Act]&gt;0))</f>
        <v>44</v>
      </c>
      <c r="K2" s="68" t="e">
        <f ca="1">INDEX(Tabla_ArchivosCB[EMPRESA],MATCH(DIRPATHCOMPLETO,Tabla_ArchivosCB[PATH],0),1)</f>
        <v>#N/A</v>
      </c>
      <c r="L2" s="68"/>
      <c r="M2">
        <f>SUMPRODUCT(CONTROL[Buff Act],CONTROL[CTV])</f>
        <v>876422.42</v>
      </c>
      <c r="N2">
        <f>SUMPRODUCT((CONTROL[Inv Fís Act]+CONTROL[Tráns Act]),CONTROL[CTV])</f>
        <v>395003.55999999994</v>
      </c>
      <c r="O2">
        <f>SUMPRODUCT((CONTROL[Inv Fís Act]),CONTROL[CTV])</f>
        <v>185483.41999999998</v>
      </c>
      <c r="P2">
        <f>SUMPRODUCT(CONTROL[Tráns Act],CONTROL[CTV])</f>
        <v>209520.13999999998</v>
      </c>
      <c r="R2">
        <v>1</v>
      </c>
      <c r="S2" s="12">
        <v>43255.523148148146</v>
      </c>
      <c r="T2">
        <f>COUNTA(CONTROL[#Headers])</f>
        <v>373</v>
      </c>
      <c r="U2">
        <f>COUNTA(Tabla_Duplicados[EMPRESA])</f>
        <v>0</v>
      </c>
      <c r="V2" s="88">
        <v>43255.521469907406</v>
      </c>
      <c r="W2" t="s">
        <v>655</v>
      </c>
      <c r="X2">
        <v>1</v>
      </c>
      <c r="Y2">
        <f>SUMPRODUCT(CONTROL[Comprom],CONTROL[CTV])</f>
        <v>0</v>
      </c>
      <c r="Z2">
        <f>SUMPRODUCT(CONTROL[Backorders],CONTROL[CTV])</f>
        <v>1426.24</v>
      </c>
      <c r="AA2">
        <f>SUMPRODUCT(CONTROL[Inv Proy Act],CONTROL[CTV])</f>
        <v>396429.79999999993</v>
      </c>
      <c r="AB2">
        <f ca="1">SUMPRODUCT(--(Observaciones_Notables[Observaciones]&lt;&gt;""))</f>
        <v>6</v>
      </c>
    </row>
    <row r="7" spans="1:28" x14ac:dyDescent="0.2">
      <c r="J7" s="1"/>
    </row>
  </sheetData>
  <pageMargins left="0.7" right="0.7" top="0.75" bottom="0.75" header="0.3" footer="0.3"/>
  <pageSetup paperSize="9"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6600CC"/>
  </sheetPr>
  <dimension ref="A1:F22"/>
  <sheetViews>
    <sheetView showGridLines="0" workbookViewId="0">
      <selection activeCell="B31" sqref="B31"/>
    </sheetView>
  </sheetViews>
  <sheetFormatPr baseColWidth="10" defaultColWidth="11.42578125" defaultRowHeight="12.75" x14ac:dyDescent="0.2"/>
  <cols>
    <col min="1" max="1" width="25.5703125" customWidth="1"/>
    <col min="2" max="2" width="13.85546875" customWidth="1"/>
    <col min="3" max="3" width="71.7109375" customWidth="1"/>
    <col min="4" max="4" width="12.28515625" bestFit="1" customWidth="1"/>
    <col min="5" max="5" width="50.5703125" bestFit="1" customWidth="1"/>
    <col min="6" max="6" width="55.42578125" customWidth="1"/>
  </cols>
  <sheetData>
    <row r="1" spans="1:6" ht="15" x14ac:dyDescent="0.25">
      <c r="A1" s="1"/>
      <c r="C1" s="22"/>
      <c r="E1" t="s">
        <v>240</v>
      </c>
      <c r="F1" t="s">
        <v>241</v>
      </c>
    </row>
    <row r="2" spans="1:6" x14ac:dyDescent="0.2">
      <c r="A2" s="1" t="s">
        <v>135</v>
      </c>
      <c r="B2" t="s">
        <v>250</v>
      </c>
      <c r="C2" s="77" t="str">
        <f t="array" aca="1" ref="C2" ca="1">IFERROR(INDEX(Tabla_Errores[Error],MIN(IF(--(Tabla_Errores[Error]&lt;&gt;"")*(ROW(Tabla_Errores[Error])-ROW(Tabla_Errores[[#Headers],[Error]]))=0,1000000000,--(Tabla_Errores[Error]&lt;&gt;"")*(ROW(Tabla_Errores[Error])-ROW(Tabla_Errores[[#Headers],[Error]])))),1),ErrRaros)</f>
        <v/>
      </c>
      <c r="E2" s="1" t="s">
        <v>239</v>
      </c>
      <c r="F2" t="str">
        <f ca="1">IF(SUMPRODUCT(--(HOY=HORIZONTE*1))=0,"La fecha de hoy no está presente en el período.","")</f>
        <v/>
      </c>
    </row>
    <row r="3" spans="1:6" x14ac:dyDescent="0.2">
      <c r="A3" s="1"/>
      <c r="B3" t="s">
        <v>251</v>
      </c>
      <c r="C3" s="77" t="str">
        <f>IF((SUMPRODUCT(--ISERROR(CONTROL[Horizonte]))+SUMPRODUCT(--ISTEXT(CONTROL[Horizonte]))+SUMPRODUCT(--ISERROR(CONTROL[T Suministro]))+SUMPRODUCT(--ISTEXT(CONTROL[T Suministro]))+SUMPRODUCT(--ISERROR(CONTROL[Frec Repos]))+SUMPRODUCT(--ISTEXT(CONTROL[Frec Repos]))+SUMPRODUCT(--ISERROR(CONTROL[Inv Proveed]))+SUMPRODUCT(--ISTEXT(CONTROL[Inv Proveed]))+SUMPRODUCT(--ISERROR(CONTROL[Inicio Per]))+SUMPRODUCT(--ISTEXT(CONTROL[Inicio Per]))+SUMPRODUCT(--ISERROR(CONTROL[Nuevo Inicio]))+SUMPRODUCT(--ISTEXT(CONTROL[Nuevo Inicio])))&lt;&gt;0,"ERROR DESCONOCIDO, REFRESCAR Y VERIFICAR SI EL ERROR DESAPARECE.","")</f>
        <v/>
      </c>
      <c r="E3" s="1" t="s">
        <v>235</v>
      </c>
      <c r="F3" t="str">
        <f t="array" aca="1" ref="F3" ca="1">IFERROR(IF(IDIOMA="Español",IF((MIN(CONTROL[Inicio Per]))&lt;(PRIMER_CAMPO*1),"Falta inicio horizonte desde  "&amp;TEXT(MININICIO,"dd/mm/aaaa"),""),IF((MIN(CONTROL[Inicio Per]))&lt;(PRIMER_CAMPO*1),"Falta inicio horizonte desde  "&amp;TEXT(MININICIO,"dd/mm/yyyy"),"")),"")</f>
        <v/>
      </c>
    </row>
    <row r="4" spans="1:6" x14ac:dyDescent="0.2">
      <c r="A4" s="1"/>
      <c r="C4" s="77"/>
      <c r="E4" s="1" t="s">
        <v>236</v>
      </c>
      <c r="F4" t="str">
        <f t="array" aca="1" ref="F4" ca="1">IFERROR(IF(IDIOMA="Español",IF(((MAX(CONTROL[Horizonte])*7)+HOY)&gt;MAX(HORIZONTE*1),"Aumentar horizonte hasta "&amp;(TEXT(((MAX(CONTROL[Horizonte])*7)+HOY),"dd/mm/aaaa")),""),IF(((MAX(CONTROL[Horizonte])*7)+HOY)&gt;MAX(HORIZONTE*1),"Aumentar horizonte hasta "&amp;(TEXT(((MAX(CONTROL[Horizonte])*7)+HOY),"dd/mm/yyyy")),"")),"")</f>
        <v/>
      </c>
    </row>
    <row r="5" spans="1:6" x14ac:dyDescent="0.2">
      <c r="A5" t="s">
        <v>134</v>
      </c>
      <c r="C5" s="77" t="str">
        <f ca="1">IF(ISERROR(INDIRECT("CONTROL[[#Encabezados]"&amp;sep_lis&amp;"[BODEGA]]")),"Inglés","Otro")</f>
        <v>Otro</v>
      </c>
      <c r="E5" s="1" t="s">
        <v>252</v>
      </c>
      <c r="F5" t="str">
        <f>IF(SUMPRODUCT(--ISBLANK(CONTROL[BODEGA])),"Hay vacíos en la columna BODEGA.","")</f>
        <v/>
      </c>
    </row>
    <row r="6" spans="1:6" x14ac:dyDescent="0.2">
      <c r="A6" t="s">
        <v>416</v>
      </c>
      <c r="C6" t="str">
        <f ca="1">IF(ISERROR(INDIRECT("CONTROL[[#Encabezados];[Negro]]")),",",";")</f>
        <v>,</v>
      </c>
      <c r="E6" s="1" t="s">
        <v>531</v>
      </c>
      <c r="F6" t="str">
        <f>IF(SUMPRODUCT(--ISBLANK(CONTROL[CODIGO])),"Hay vacíos en la columna CODIGO.","")</f>
        <v/>
      </c>
    </row>
    <row r="7" spans="1:6" x14ac:dyDescent="0.2">
      <c r="A7" s="1" t="s">
        <v>67</v>
      </c>
      <c r="C7" s="77">
        <f ca="1">TODAY()</f>
        <v>43255</v>
      </c>
      <c r="D7">
        <v>33</v>
      </c>
      <c r="E7" s="64" t="s">
        <v>246</v>
      </c>
      <c r="F7" s="3" t="str">
        <f>IF(SUMPRODUCT(--ISBLANK(CONTROL[Proveedor])),"Hay vacíos en la columna PROVEEDOR.","")</f>
        <v/>
      </c>
    </row>
    <row r="8" spans="1:6" x14ac:dyDescent="0.2">
      <c r="C8" s="77"/>
      <c r="D8">
        <f ca="1">WEEKNUM(HOY)</f>
        <v>23</v>
      </c>
      <c r="E8" s="64" t="s">
        <v>247</v>
      </c>
      <c r="F8" s="3" t="str">
        <f>IF(SUMPRODUCT(--ISBLANK(CONTROL[Perfil])),"Hay vacíos en la columna PERFIL.","")</f>
        <v/>
      </c>
    </row>
    <row r="9" spans="1:6" x14ac:dyDescent="0.2">
      <c r="C9" s="77"/>
      <c r="E9" s="1" t="s">
        <v>525</v>
      </c>
      <c r="F9" t="str">
        <f>IF(SUMPRODUCT(--ISBLANK(CONTROL[Redondeo Pedido Mínimo])),"Hay vacíos en la columna Redondeo Pedido Mínimo.","")</f>
        <v/>
      </c>
    </row>
    <row r="10" spans="1:6" x14ac:dyDescent="0.2">
      <c r="C10" s="77"/>
      <c r="E10" s="1" t="s">
        <v>526</v>
      </c>
      <c r="F10" t="str">
        <f>IF(SUMPRODUCT(--ISBLANK(CONTROL[Redondeo Unidad Empaque])),"Hay vacíos en la columna Redondeo Unidad Empaque.","")</f>
        <v/>
      </c>
    </row>
    <row r="11" spans="1:6" x14ac:dyDescent="0.2">
      <c r="A11" s="1" t="s">
        <v>119</v>
      </c>
      <c r="C11" s="78" t="s">
        <v>120</v>
      </c>
      <c r="E11" s="1" t="s">
        <v>603</v>
      </c>
      <c r="F11" s="68" t="str">
        <f>IF(SUMPRODUCT(--ISBLANK(CONTROL[PEDID Min])),"Hay vacíos en la columna PEDID Min.","")</f>
        <v/>
      </c>
    </row>
    <row r="12" spans="1:6" x14ac:dyDescent="0.2">
      <c r="C12" s="77">
        <v>1</v>
      </c>
      <c r="E12" s="1" t="s">
        <v>604</v>
      </c>
      <c r="F12" s="68" t="str">
        <f>IF(SUMPRODUCT(--ISBLANK(CONTROL[Unidad Empaque])),"Hay vacíos en la columna Unidad Empaque.","")</f>
        <v/>
      </c>
    </row>
    <row r="13" spans="1:6" x14ac:dyDescent="0.2">
      <c r="C13" s="77">
        <v>0</v>
      </c>
      <c r="E13" s="64" t="s">
        <v>248</v>
      </c>
      <c r="F13" s="3" t="str">
        <f>IF(SUMPRODUCT(--ISBLANK(CONTROL[Porc Aten]))&gt;0,"Hay vacíos en la columna PORC ATEN.","")</f>
        <v/>
      </c>
    </row>
    <row r="14" spans="1:6" x14ac:dyDescent="0.2">
      <c r="C14" s="77"/>
      <c r="E14" s="64" t="s">
        <v>249</v>
      </c>
      <c r="F14" s="3" t="str">
        <f>IF(SUMPRODUCT(--ISBLANK(CONTROL[Inicio Per]))&gt;0,"Hay vacíos en la columna INICIO PER.","")</f>
        <v/>
      </c>
    </row>
    <row r="15" spans="1:6" x14ac:dyDescent="0.2">
      <c r="C15" s="77"/>
      <c r="E15" s="1" t="s">
        <v>242</v>
      </c>
      <c r="F15" t="str">
        <f t="array" ref="F15">IF(MIN(IFERROR(MATCH(CONTROL[BODEGA],BodegasPermitidas,0),0))=0,"BODEGAS que no corresponden a esta Hoja CB.","")</f>
        <v/>
      </c>
    </row>
    <row r="16" spans="1:6" x14ac:dyDescent="0.2">
      <c r="E16" s="1" t="s">
        <v>237</v>
      </c>
      <c r="F16" t="str">
        <f t="array" ref="F16">IF(MIN(IFERROR(MATCH(CONTROL[Proveedor],ProveedoresPermitidos,0),0))=0,"PROVEEDORES que no corresponden a esta Hoja CB.","")</f>
        <v/>
      </c>
    </row>
    <row r="17" spans="1:6" x14ac:dyDescent="0.2">
      <c r="C17" s="77"/>
      <c r="E17" s="1" t="s">
        <v>238</v>
      </c>
      <c r="F17" t="str">
        <f t="array" ref="F17">IF(MIN(IFERROR(MATCH(CONTROL[Perfil],PerfilesPermitidos,0),0))=0,"PERFILES de reposición que no corresponden a esta Hoja CB.","")</f>
        <v/>
      </c>
    </row>
    <row r="18" spans="1:6" x14ac:dyDescent="0.2">
      <c r="A18" t="s">
        <v>222</v>
      </c>
      <c r="C18" s="88">
        <v>43087</v>
      </c>
      <c r="E18" s="64" t="s">
        <v>243</v>
      </c>
      <c r="F18" s="3" t="str">
        <f t="array" ref="F18">IF(MIN(IFERROR(MATCH(CONTROL[BODEGA]&amp;CONTROL[Proveedor],ListaBodegaProveedor,0),0))=0,"PROVEEDORES asignados a BODEGAS que no le corresponden.","")</f>
        <v/>
      </c>
    </row>
    <row r="19" spans="1:6" x14ac:dyDescent="0.2">
      <c r="A19" s="68" t="s">
        <v>376</v>
      </c>
      <c r="C19" s="77">
        <f t="array" aca="1" ref="C19" ca="1">IFERROR(MATCH(FechaEnHorizonte,HORIZONTE*1,0),0)</f>
        <v>13</v>
      </c>
      <c r="E19" s="3" t="s">
        <v>244</v>
      </c>
      <c r="F19" s="64" t="str">
        <f t="array" ref="F19">IF(MIN(IFERROR(MATCH(CONTROL[BODEGA]&amp;CONTROL[Perfil],ListaBodegaPerfil,0),0))=0,"PERFILES asignados a BODEGAS que no les corresponden.","")</f>
        <v/>
      </c>
    </row>
    <row r="20" spans="1:6" x14ac:dyDescent="0.2">
      <c r="A20" t="s">
        <v>253</v>
      </c>
      <c r="C20" s="66">
        <f t="array" aca="1" ref="C20" ca="1">IF(ISERROR(MATCH(((MAX(CONTROL[Horizonte])*7)+HOY),HORIZONTE*1,0)),INDEX(HORIZONTE,1,1+MATCH(((MAX(CONTROL[Horizonte])*7)+HOY),HORIZONTE*1,1)),((MAX(CONTROL[Horizonte])*7)+HOY))</f>
        <v>43423</v>
      </c>
      <c r="E20" s="64" t="s">
        <v>368</v>
      </c>
      <c r="F20" s="17" t="str">
        <f t="array" ref="F20">IF(MIN(IF(--(ISBLANK(CONTROL[Calendario Estacional]))=0,IFERROR(MATCH(CONTROL[Calendario Estacional],Tabla_Esta[CALENDARIO],0),0),1000000000))=0,"Calendarios Estacionales asignados no existentes.","")</f>
        <v/>
      </c>
    </row>
    <row r="21" spans="1:6" x14ac:dyDescent="0.2">
      <c r="A21" t="s">
        <v>452</v>
      </c>
      <c r="C21" s="13"/>
      <c r="E21" s="1" t="s">
        <v>528</v>
      </c>
      <c r="F21" s="1" t="str">
        <f>IF(1,"",SUMPRODUCT(--(CONTROL[Ult Cambio]=HORIZONTE*1)))</f>
        <v/>
      </c>
    </row>
    <row r="22" spans="1:6" x14ac:dyDescent="0.2">
      <c r="E22" s="1" t="s">
        <v>652</v>
      </c>
      <c r="F22" t="str">
        <f>IF(SUM(Tabla_Empresa[SUBIR BASE DATOS])=1,"","NO SE SUBIÓ A LA BASE DE DATOS")</f>
        <v/>
      </c>
    </row>
  </sheetData>
  <conditionalFormatting sqref="C1">
    <cfRule type="expression" dxfId="190" priority="1">
      <formula>C1&lt;&gt;""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07233" r:id="rId4" name="Button 1">
              <controlPr defaultSize="0" print="0" autoFill="0" autoPict="0" macro="[0]!RangeTimer">
                <anchor moveWithCells="1" sizeWithCells="1">
                  <from>
                    <xdr:col>2</xdr:col>
                    <xdr:colOff>2990850</xdr:colOff>
                    <xdr:row>16</xdr:row>
                    <xdr:rowOff>38100</xdr:rowOff>
                  </from>
                  <to>
                    <xdr:col>2</xdr:col>
                    <xdr:colOff>4057650</xdr:colOff>
                    <xdr:row>18</xdr:row>
                    <xdr:rowOff>85725</xdr:rowOff>
                  </to>
                </anchor>
              </controlPr>
            </control>
          </mc:Choice>
        </mc:AlternateContent>
        <mc:AlternateContent xmlns:mc="http://schemas.openxmlformats.org/markup-compatibility/2006">
          <mc:Choice Requires="x14">
            <control shapeId="607234" r:id="rId5" name="Button 2">
              <controlPr defaultSize="0" print="0" autoFill="0" autoPict="0" macro="[0]!SheetTimer">
                <anchor moveWithCells="1" sizeWithCells="1">
                  <from>
                    <xdr:col>2</xdr:col>
                    <xdr:colOff>2990850</xdr:colOff>
                    <xdr:row>21</xdr:row>
                    <xdr:rowOff>85725</xdr:rowOff>
                  </from>
                  <to>
                    <xdr:col>2</xdr:col>
                    <xdr:colOff>4057650</xdr:colOff>
                    <xdr:row>23</xdr:row>
                    <xdr:rowOff>133350</xdr:rowOff>
                  </to>
                </anchor>
              </controlPr>
            </control>
          </mc:Choice>
        </mc:AlternateContent>
        <mc:AlternateContent xmlns:mc="http://schemas.openxmlformats.org/markup-compatibility/2006">
          <mc:Choice Requires="x14">
            <control shapeId="607235" r:id="rId6" name="Button 3">
              <controlPr defaultSize="0" print="0" autoFill="0" autoPict="0" macro="[0]!RecalcTimer">
                <anchor moveWithCells="1" sizeWithCells="1">
                  <from>
                    <xdr:col>2</xdr:col>
                    <xdr:colOff>2990850</xdr:colOff>
                    <xdr:row>18</xdr:row>
                    <xdr:rowOff>133350</xdr:rowOff>
                  </from>
                  <to>
                    <xdr:col>2</xdr:col>
                    <xdr:colOff>4057650</xdr:colOff>
                    <xdr:row>21</xdr:row>
                    <xdr:rowOff>19050</xdr:rowOff>
                  </to>
                </anchor>
              </controlPr>
            </control>
          </mc:Choice>
        </mc:AlternateContent>
        <mc:AlternateContent xmlns:mc="http://schemas.openxmlformats.org/markup-compatibility/2006">
          <mc:Choice Requires="x14">
            <control shapeId="607236" r:id="rId7" name="Button 4">
              <controlPr defaultSize="0" print="0" autoFill="0" autoPict="0" macro="[0]!FullcalcTimer">
                <anchor moveWithCells="1" sizeWithCells="1">
                  <from>
                    <xdr:col>2</xdr:col>
                    <xdr:colOff>2990850</xdr:colOff>
                    <xdr:row>24</xdr:row>
                    <xdr:rowOff>9525</xdr:rowOff>
                  </from>
                  <to>
                    <xdr:col>2</xdr:col>
                    <xdr:colOff>4057650</xdr:colOff>
                    <xdr:row>26</xdr:row>
                    <xdr:rowOff>57150</xdr:rowOff>
                  </to>
                </anchor>
              </controlPr>
            </control>
          </mc:Choice>
        </mc:AlternateContent>
      </controls>
    </mc:Choice>
  </mc:AlternateContent>
  <tableParts count="2">
    <tablePart r:id="rId8"/>
    <tablePart r:id="rId9"/>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6"/>
  <dimension ref="A1:C2"/>
  <sheetViews>
    <sheetView showGridLines="0" workbookViewId="0">
      <selection activeCell="A2" sqref="A2:C2"/>
    </sheetView>
  </sheetViews>
  <sheetFormatPr baseColWidth="10" defaultColWidth="11.42578125" defaultRowHeight="12.75" x14ac:dyDescent="0.2"/>
  <cols>
    <col min="3" max="3" width="22.5703125" customWidth="1"/>
  </cols>
  <sheetData>
    <row r="1" spans="1:3" x14ac:dyDescent="0.2">
      <c r="A1" s="1" t="s">
        <v>3</v>
      </c>
      <c r="B1" s="1" t="s">
        <v>274</v>
      </c>
      <c r="C1" s="1" t="s">
        <v>275</v>
      </c>
    </row>
    <row r="2" spans="1:3" x14ac:dyDescent="0.2">
      <c r="A2" s="68" t="s">
        <v>734</v>
      </c>
      <c r="B2" s="68" t="s">
        <v>735</v>
      </c>
      <c r="C2" s="68" t="s">
        <v>736</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tabColor rgb="FF004600"/>
  </sheetPr>
  <dimension ref="A1:E3"/>
  <sheetViews>
    <sheetView showGridLines="0" workbookViewId="0">
      <selection activeCell="A2" sqref="A2:E2"/>
    </sheetView>
  </sheetViews>
  <sheetFormatPr baseColWidth="10" defaultColWidth="11.42578125" defaultRowHeight="12.75" x14ac:dyDescent="0.2"/>
  <cols>
    <col min="1" max="1" width="15" bestFit="1" customWidth="1"/>
    <col min="2" max="2" width="29.85546875" customWidth="1"/>
    <col min="3" max="3" width="114.140625" bestFit="1" customWidth="1"/>
    <col min="4" max="4" width="18.5703125" customWidth="1"/>
    <col min="5" max="6" width="15.140625" bestFit="1" customWidth="1"/>
    <col min="7" max="7" width="17.42578125" customWidth="1"/>
    <col min="8" max="8" width="18.7109375" bestFit="1" customWidth="1"/>
    <col min="9" max="9" width="13.85546875" customWidth="1"/>
    <col min="10" max="10" width="15.140625" bestFit="1" customWidth="1"/>
  </cols>
  <sheetData>
    <row r="1" spans="1:5" x14ac:dyDescent="0.2">
      <c r="A1" t="s">
        <v>73</v>
      </c>
      <c r="B1" t="s">
        <v>64</v>
      </c>
      <c r="C1" t="s">
        <v>207</v>
      </c>
      <c r="D1" t="s">
        <v>206</v>
      </c>
      <c r="E1" s="68" t="s">
        <v>273</v>
      </c>
    </row>
    <row r="2" spans="1:5" x14ac:dyDescent="0.2">
      <c r="A2" s="68" t="s">
        <v>735</v>
      </c>
      <c r="B2" s="68" t="s">
        <v>737</v>
      </c>
      <c r="C2" s="51" t="s">
        <v>738</v>
      </c>
      <c r="D2">
        <v>4</v>
      </c>
      <c r="E2" s="1" t="s">
        <v>734</v>
      </c>
    </row>
    <row r="3" spans="1:5" x14ac:dyDescent="0.2">
      <c r="A3" t="s">
        <v>735</v>
      </c>
      <c r="B3" t="s">
        <v>1318</v>
      </c>
      <c r="C3" t="s">
        <v>1319</v>
      </c>
      <c r="D3">
        <v>49</v>
      </c>
      <c r="E3" s="1" t="s">
        <v>734</v>
      </c>
    </row>
  </sheetData>
  <pageMargins left="0.7" right="0.7" top="0.75" bottom="0.75" header="0.3" footer="0.3"/>
  <pageSetup orientation="portrait"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tabColor rgb="FF004600"/>
  </sheetPr>
  <dimension ref="A1:X3"/>
  <sheetViews>
    <sheetView showGridLines="0" workbookViewId="0">
      <selection activeCell="A2" sqref="A2:X2"/>
    </sheetView>
  </sheetViews>
  <sheetFormatPr baseColWidth="10" defaultColWidth="11.42578125" defaultRowHeight="12.75" x14ac:dyDescent="0.2"/>
  <cols>
    <col min="1" max="1" width="26.85546875" customWidth="1"/>
    <col min="2" max="2" width="27.140625" bestFit="1" customWidth="1"/>
    <col min="3" max="3" width="100.85546875" customWidth="1"/>
    <col min="4" max="4" width="15.140625" customWidth="1"/>
    <col min="5" max="5" width="12.42578125" bestFit="1" customWidth="1"/>
    <col min="6" max="6" width="17.42578125" bestFit="1" customWidth="1"/>
    <col min="7" max="7" width="18.7109375" bestFit="1" customWidth="1"/>
    <col min="8" max="8" width="27.85546875" bestFit="1" customWidth="1"/>
    <col min="9" max="10" width="44.42578125" bestFit="1" customWidth="1"/>
    <col min="24" max="24" width="12.28515625" bestFit="1" customWidth="1"/>
  </cols>
  <sheetData>
    <row r="1" spans="1:24" x14ac:dyDescent="0.2">
      <c r="A1" t="s">
        <v>63</v>
      </c>
      <c r="B1" t="s">
        <v>64</v>
      </c>
      <c r="C1" t="s">
        <v>207</v>
      </c>
      <c r="D1" t="s">
        <v>101</v>
      </c>
      <c r="E1" t="s">
        <v>102</v>
      </c>
      <c r="F1" t="s">
        <v>114</v>
      </c>
      <c r="G1" t="s">
        <v>110</v>
      </c>
      <c r="H1" t="s">
        <v>233</v>
      </c>
      <c r="I1" s="68" t="s">
        <v>266</v>
      </c>
      <c r="J1" t="s">
        <v>245</v>
      </c>
      <c r="K1" s="68" t="s">
        <v>272</v>
      </c>
      <c r="L1" s="68" t="s">
        <v>277</v>
      </c>
      <c r="M1" s="68" t="s">
        <v>278</v>
      </c>
      <c r="N1" s="68" t="s">
        <v>361</v>
      </c>
      <c r="O1" s="1" t="s">
        <v>472</v>
      </c>
      <c r="P1" s="1" t="s">
        <v>473</v>
      </c>
      <c r="Q1" s="1" t="s">
        <v>474</v>
      </c>
      <c r="R1" s="1" t="s">
        <v>475</v>
      </c>
      <c r="S1" t="s">
        <v>476</v>
      </c>
      <c r="T1" s="1" t="s">
        <v>487</v>
      </c>
      <c r="U1" t="s">
        <v>516</v>
      </c>
      <c r="V1" t="s">
        <v>517</v>
      </c>
      <c r="W1" s="1" t="s">
        <v>550</v>
      </c>
      <c r="X1" s="1" t="s">
        <v>594</v>
      </c>
    </row>
    <row r="2" spans="1:24" ht="12.75" customHeight="1" x14ac:dyDescent="0.2">
      <c r="A2" s="68" t="s">
        <v>739</v>
      </c>
      <c r="B2" s="68" t="s">
        <v>737</v>
      </c>
      <c r="C2" s="68" t="s">
        <v>738</v>
      </c>
      <c r="D2">
        <v>2</v>
      </c>
      <c r="E2">
        <v>8</v>
      </c>
      <c r="F2">
        <v>10</v>
      </c>
      <c r="G2">
        <v>180</v>
      </c>
      <c r="H2" s="68" t="s">
        <v>1324</v>
      </c>
      <c r="I2" s="68">
        <v>0.33</v>
      </c>
      <c r="J2" s="68" t="s">
        <v>1325</v>
      </c>
      <c r="K2" s="68" t="s">
        <v>739</v>
      </c>
      <c r="L2">
        <v>0.4</v>
      </c>
      <c r="M2" s="68" t="s">
        <v>451</v>
      </c>
      <c r="N2">
        <v>0</v>
      </c>
      <c r="O2">
        <v>1</v>
      </c>
      <c r="P2">
        <v>1</v>
      </c>
      <c r="Q2">
        <v>1</v>
      </c>
      <c r="R2">
        <v>1</v>
      </c>
      <c r="S2" t="s">
        <v>554</v>
      </c>
      <c r="T2" t="s">
        <v>555</v>
      </c>
      <c r="U2" t="s">
        <v>555</v>
      </c>
      <c r="W2" s="13" t="str">
        <f t="array" aca="1" ref="W2" ca="1">IFERROR(INDEX(HORIZONTE,MATCH((HOY-Tabla_ArchivosBodegas[[#This Row],[HORIZONTE]]*7),HORIZONTE*1,0)),INDEX(HORIZONTE,MATCH((HOY-Tabla_ArchivosBodegas[[#This Row],[HORIZONTE]]*7),HORIZONTE*1,1)))</f>
        <v>26/03/2018</v>
      </c>
      <c r="X2" s="100">
        <f ca="1">IFERROR(Tabla_ArchivosBodegas[[#This Row],[INICIO_HORIZONTE]]*1,DATE(YEAR((HOY-Tabla_ArchivosBodegas[[#This Row],[HORIZONTE]]*7)),MONTH((HOY-Tabla_ArchivosBodegas[[#This Row],[HORIZONTE]]*7)),DAY((HOY-Tabla_ArchivosBodegas[[#This Row],[HORIZONTE]]*7))))</f>
        <v>43185</v>
      </c>
    </row>
    <row r="3" spans="1:24" x14ac:dyDescent="0.2">
      <c r="A3" t="s">
        <v>739</v>
      </c>
      <c r="B3" t="s">
        <v>737</v>
      </c>
      <c r="C3" t="s">
        <v>738</v>
      </c>
      <c r="D3">
        <v>8</v>
      </c>
      <c r="E3">
        <v>16</v>
      </c>
      <c r="F3">
        <v>24</v>
      </c>
      <c r="G3">
        <v>180</v>
      </c>
      <c r="H3" t="s">
        <v>1326</v>
      </c>
      <c r="I3">
        <v>0.33</v>
      </c>
      <c r="J3" t="s">
        <v>1327</v>
      </c>
      <c r="K3" t="s">
        <v>739</v>
      </c>
      <c r="L3">
        <v>0.4</v>
      </c>
      <c r="M3" t="s">
        <v>451</v>
      </c>
      <c r="N3">
        <v>0</v>
      </c>
      <c r="O3">
        <v>1</v>
      </c>
      <c r="P3">
        <v>1</v>
      </c>
      <c r="Q3">
        <v>1</v>
      </c>
      <c r="R3">
        <v>1</v>
      </c>
      <c r="S3" t="s">
        <v>554</v>
      </c>
      <c r="T3" t="s">
        <v>555</v>
      </c>
      <c r="U3" t="s">
        <v>555</v>
      </c>
      <c r="W3" s="13" t="str">
        <f t="array" aca="1" ref="W3" ca="1">IFERROR(INDEX(HORIZONTE,MATCH((HOY-Tabla_ArchivosBodegas[[#This Row],[HORIZONTE]]*7),HORIZONTE*1,0)),INDEX(HORIZONTE,MATCH((HOY-Tabla_ArchivosBodegas[[#This Row],[HORIZONTE]]*7),HORIZONTE*1,1)))</f>
        <v>18/12/2017</v>
      </c>
      <c r="X3" s="100">
        <f ca="1">IFERROR(Tabla_ArchivosBodegas[[#This Row],[INICIO_HORIZONTE]]*1,DATE(YEAR((HOY-Tabla_ArchivosBodegas[[#This Row],[HORIZONTE]]*7)),MONTH((HOY-Tabla_ArchivosBodegas[[#This Row],[HORIZONTE]]*7)),DAY((HOY-Tabla_ArchivosBodegas[[#This Row],[HORIZONTE]]*7))))</f>
        <v>43087</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2">
    <tabColor rgb="FF004600"/>
  </sheetPr>
  <dimension ref="A1:G80"/>
  <sheetViews>
    <sheetView showGridLines="0" workbookViewId="0">
      <selection activeCell="A2" sqref="A2:G2"/>
    </sheetView>
  </sheetViews>
  <sheetFormatPr baseColWidth="10" defaultColWidth="11.42578125" defaultRowHeight="12.75" x14ac:dyDescent="0.2"/>
  <cols>
    <col min="1" max="1" width="36.85546875" bestFit="1" customWidth="1"/>
    <col min="2" max="2" width="29.42578125" bestFit="1" customWidth="1"/>
    <col min="3" max="3" width="11.7109375" bestFit="1" customWidth="1"/>
    <col min="4" max="4" width="40.140625" bestFit="1" customWidth="1"/>
    <col min="7" max="7" width="34.7109375" bestFit="1" customWidth="1"/>
  </cols>
  <sheetData>
    <row r="1" spans="1:7" x14ac:dyDescent="0.2">
      <c r="A1" t="s">
        <v>32</v>
      </c>
      <c r="B1" t="s">
        <v>48</v>
      </c>
      <c r="C1" t="s">
        <v>208</v>
      </c>
      <c r="D1" s="1" t="s">
        <v>230</v>
      </c>
      <c r="E1" s="1" t="s">
        <v>272</v>
      </c>
      <c r="F1" s="68" t="s">
        <v>360</v>
      </c>
      <c r="G1" s="1" t="s">
        <v>553</v>
      </c>
    </row>
    <row r="2" spans="1:7" x14ac:dyDescent="0.2">
      <c r="A2" s="68" t="s">
        <v>740</v>
      </c>
      <c r="B2" s="68" t="s">
        <v>739</v>
      </c>
      <c r="C2">
        <v>1</v>
      </c>
      <c r="D2" s="13" t="s">
        <v>741</v>
      </c>
      <c r="E2" s="68" t="s">
        <v>742</v>
      </c>
      <c r="F2" s="1" t="s">
        <v>739</v>
      </c>
      <c r="G2" s="13" t="str">
        <f>Tabla_Proveedores[[#This Row],[BodegaProveedor]]&amp;Tabla_Proveedores[[#This Row],[Prioridad]]</f>
        <v>AGROTA BODEGA  YAMABIKOBodega Central Agrota1</v>
      </c>
    </row>
    <row r="3" spans="1:7" x14ac:dyDescent="0.2">
      <c r="A3" t="s">
        <v>743</v>
      </c>
      <c r="B3" t="s">
        <v>739</v>
      </c>
      <c r="C3">
        <v>1</v>
      </c>
      <c r="D3" s="13" t="s">
        <v>744</v>
      </c>
      <c r="E3" t="s">
        <v>745</v>
      </c>
      <c r="F3" t="s">
        <v>739</v>
      </c>
      <c r="G3" s="13" t="str">
        <f>Tabla_Proveedores[[#This Row],[BodegaProveedor]]&amp;Tabla_Proveedores[[#This Row],[Prioridad]]</f>
        <v>AGROTA BODEGA SUCREBodega Central Agrota1</v>
      </c>
    </row>
    <row r="4" spans="1:7" x14ac:dyDescent="0.2">
      <c r="A4" t="s">
        <v>746</v>
      </c>
      <c r="B4" t="s">
        <v>747</v>
      </c>
      <c r="C4">
        <v>2</v>
      </c>
      <c r="D4" s="13" t="s">
        <v>748</v>
      </c>
      <c r="E4" t="s">
        <v>749</v>
      </c>
      <c r="F4" t="s">
        <v>750</v>
      </c>
      <c r="G4" s="13" t="str">
        <f>Tabla_Proveedores[[#This Row],[BodegaProveedor]]&amp;Tabla_Proveedores[[#This Row],[Prioridad]]</f>
        <v>AGROTA SUKAMPO FERIA LIBREBODEGA CENTRAL MAQUINAS2</v>
      </c>
    </row>
    <row r="5" spans="1:7" x14ac:dyDescent="0.2">
      <c r="A5" t="s">
        <v>746</v>
      </c>
      <c r="B5" t="s">
        <v>739</v>
      </c>
      <c r="C5">
        <v>1</v>
      </c>
      <c r="D5" s="13" t="s">
        <v>751</v>
      </c>
      <c r="E5" t="s">
        <v>749</v>
      </c>
      <c r="F5" t="s">
        <v>739</v>
      </c>
      <c r="G5" s="13" t="str">
        <f>Tabla_Proveedores[[#This Row],[BodegaProveedor]]&amp;Tabla_Proveedores[[#This Row],[Prioridad]]</f>
        <v>AGROTA SUKAMPO FERIA LIBREBodega Central Agrota1</v>
      </c>
    </row>
    <row r="6" spans="1:7" x14ac:dyDescent="0.2">
      <c r="A6" t="s">
        <v>752</v>
      </c>
      <c r="B6" t="s">
        <v>753</v>
      </c>
      <c r="C6">
        <v>4</v>
      </c>
      <c r="D6" s="13" t="s">
        <v>754</v>
      </c>
      <c r="E6" t="s">
        <v>755</v>
      </c>
      <c r="F6" t="s">
        <v>756</v>
      </c>
      <c r="G6" s="13" t="str">
        <f>Tabla_Proveedores[[#This Row],[BodegaProveedor]]&amp;Tabla_Proveedores[[#This Row],[Prioridad]]</f>
        <v>AGROTA SUKAMPO GUAYAQUILBODEGA CENTRAL4</v>
      </c>
    </row>
    <row r="7" spans="1:7" x14ac:dyDescent="0.2">
      <c r="A7" t="s">
        <v>752</v>
      </c>
      <c r="B7" t="s">
        <v>747</v>
      </c>
      <c r="C7">
        <v>2</v>
      </c>
      <c r="D7" s="13" t="s">
        <v>757</v>
      </c>
      <c r="E7" t="s">
        <v>755</v>
      </c>
      <c r="F7" t="s">
        <v>750</v>
      </c>
      <c r="G7" s="13" t="str">
        <f>Tabla_Proveedores[[#This Row],[BodegaProveedor]]&amp;Tabla_Proveedores[[#This Row],[Prioridad]]</f>
        <v>AGROTA SUKAMPO GUAYAQUILBODEGA CENTRAL MAQUINAS2</v>
      </c>
    </row>
    <row r="8" spans="1:7" x14ac:dyDescent="0.2">
      <c r="A8" t="s">
        <v>752</v>
      </c>
      <c r="B8" t="s">
        <v>739</v>
      </c>
      <c r="C8">
        <v>1</v>
      </c>
      <c r="D8" s="13" t="s">
        <v>758</v>
      </c>
      <c r="E8" t="s">
        <v>755</v>
      </c>
      <c r="F8" t="s">
        <v>739</v>
      </c>
      <c r="G8" s="13" t="str">
        <f>Tabla_Proveedores[[#This Row],[BodegaProveedor]]&amp;Tabla_Proveedores[[#This Row],[Prioridad]]</f>
        <v>AGROTA SUKAMPO GUAYAQUILBodega Central Agrota1</v>
      </c>
    </row>
    <row r="9" spans="1:7" x14ac:dyDescent="0.2">
      <c r="A9" t="s">
        <v>759</v>
      </c>
      <c r="B9" t="s">
        <v>739</v>
      </c>
      <c r="C9">
        <v>1</v>
      </c>
      <c r="D9" s="13" t="s">
        <v>760</v>
      </c>
      <c r="E9" t="s">
        <v>761</v>
      </c>
      <c r="F9" t="s">
        <v>739</v>
      </c>
      <c r="G9" s="13" t="str">
        <f>Tabla_Proveedores[[#This Row],[BodegaProveedor]]&amp;Tabla_Proveedores[[#This Row],[Prioridad]]</f>
        <v>AGROTA SUKAMPO MILAGROBodega Central Agrota1</v>
      </c>
    </row>
    <row r="10" spans="1:7" x14ac:dyDescent="0.2">
      <c r="A10" t="s">
        <v>762</v>
      </c>
      <c r="B10" t="s">
        <v>739</v>
      </c>
      <c r="C10">
        <v>1</v>
      </c>
      <c r="D10" s="13" t="s">
        <v>763</v>
      </c>
      <c r="E10" t="s">
        <v>764</v>
      </c>
      <c r="F10" t="s">
        <v>739</v>
      </c>
      <c r="G10" s="13" t="str">
        <f>Tabla_Proveedores[[#This Row],[BodegaProveedor]]&amp;Tabla_Proveedores[[#This Row],[Prioridad]]</f>
        <v>AGROTA SUKAMPO QUEVEDOBodega Central Agrota1</v>
      </c>
    </row>
    <row r="11" spans="1:7" x14ac:dyDescent="0.2">
      <c r="A11" t="s">
        <v>765</v>
      </c>
      <c r="B11" t="s">
        <v>753</v>
      </c>
      <c r="C11">
        <v>9</v>
      </c>
      <c r="D11" s="13" t="s">
        <v>766</v>
      </c>
      <c r="E11" t="s">
        <v>767</v>
      </c>
      <c r="F11" t="s">
        <v>756</v>
      </c>
      <c r="G11" s="13" t="str">
        <f>Tabla_Proveedores[[#This Row],[BodegaProveedor]]&amp;Tabla_Proveedores[[#This Row],[Prioridad]]</f>
        <v>AGROTA SUKAMPO UNIDAD NACIONALBODEGA CENTRAL9</v>
      </c>
    </row>
    <row r="12" spans="1:7" x14ac:dyDescent="0.2">
      <c r="A12" t="s">
        <v>765</v>
      </c>
      <c r="B12" t="s">
        <v>739</v>
      </c>
      <c r="C12">
        <v>1</v>
      </c>
      <c r="D12" s="13" t="s">
        <v>768</v>
      </c>
      <c r="E12" t="s">
        <v>767</v>
      </c>
      <c r="F12" t="s">
        <v>739</v>
      </c>
      <c r="G12" s="13" t="str">
        <f>Tabla_Proveedores[[#This Row],[BodegaProveedor]]&amp;Tabla_Proveedores[[#This Row],[Prioridad]]</f>
        <v>AGROTA SUKAMPO UNIDAD NACIONALBodega Central Agrota1</v>
      </c>
    </row>
    <row r="13" spans="1:7" x14ac:dyDescent="0.2">
      <c r="A13" t="s">
        <v>769</v>
      </c>
      <c r="B13" t="s">
        <v>739</v>
      </c>
      <c r="C13">
        <v>1</v>
      </c>
      <c r="D13" s="13" t="s">
        <v>770</v>
      </c>
      <c r="E13" t="s">
        <v>771</v>
      </c>
      <c r="F13" t="s">
        <v>739</v>
      </c>
      <c r="G13" s="13" t="str">
        <f>Tabla_Proveedores[[#This Row],[BodegaProveedor]]&amp;Tabla_Proveedores[[#This Row],[Prioridad]]</f>
        <v>AGROTA TALLER SUKAMPO MILAGROBodega Central Agrota1</v>
      </c>
    </row>
    <row r="14" spans="1:7" x14ac:dyDescent="0.2">
      <c r="A14" t="s">
        <v>772</v>
      </c>
      <c r="B14" t="s">
        <v>739</v>
      </c>
      <c r="C14">
        <v>1</v>
      </c>
      <c r="D14" s="13" t="s">
        <v>773</v>
      </c>
      <c r="E14" t="s">
        <v>774</v>
      </c>
      <c r="F14" t="s">
        <v>739</v>
      </c>
      <c r="G14" s="13" t="str">
        <f>Tabla_Proveedores[[#This Row],[BodegaProveedor]]&amp;Tabla_Proveedores[[#This Row],[Prioridad]]</f>
        <v>AGROTA TALLER SUKAMPO QUEVEDOBodega Central Agrota1</v>
      </c>
    </row>
    <row r="15" spans="1:7" x14ac:dyDescent="0.2">
      <c r="A15" t="s">
        <v>775</v>
      </c>
      <c r="B15" t="s">
        <v>739</v>
      </c>
      <c r="C15">
        <v>1</v>
      </c>
      <c r="D15" s="13" t="s">
        <v>776</v>
      </c>
      <c r="E15" t="s">
        <v>777</v>
      </c>
      <c r="F15" t="s">
        <v>739</v>
      </c>
      <c r="G15" s="13" t="str">
        <f>Tabla_Proveedores[[#This Row],[BodegaProveedor]]&amp;Tabla_Proveedores[[#This Row],[Prioridad]]</f>
        <v>AGROTA TALLER SUKAMPO UNIDAD NACIONALBodega Central Agrota1</v>
      </c>
    </row>
    <row r="16" spans="1:7" x14ac:dyDescent="0.2">
      <c r="A16" t="s">
        <v>775</v>
      </c>
      <c r="B16" t="s">
        <v>753</v>
      </c>
      <c r="C16">
        <v>2</v>
      </c>
      <c r="D16" s="13" t="s">
        <v>778</v>
      </c>
      <c r="E16" t="s">
        <v>777</v>
      </c>
      <c r="F16" t="s">
        <v>756</v>
      </c>
      <c r="G16" s="13" t="str">
        <f>Tabla_Proveedores[[#This Row],[BodegaProveedor]]&amp;Tabla_Proveedores[[#This Row],[Prioridad]]</f>
        <v>AGROTA TALLER SUKAMPO UNIDAD NACIONALBODEGA CENTRAL2</v>
      </c>
    </row>
    <row r="17" spans="1:7" x14ac:dyDescent="0.2">
      <c r="A17" t="s">
        <v>753</v>
      </c>
      <c r="B17" t="s">
        <v>779</v>
      </c>
      <c r="C17">
        <v>5</v>
      </c>
      <c r="D17" s="13" t="s">
        <v>780</v>
      </c>
      <c r="E17" t="s">
        <v>756</v>
      </c>
      <c r="F17" t="s">
        <v>781</v>
      </c>
      <c r="G17" s="13" t="str">
        <f>Tabla_Proveedores[[#This Row],[BodegaProveedor]]&amp;Tabla_Proveedores[[#This Row],[Prioridad]]</f>
        <v>BODEGA CENTRALIkra5</v>
      </c>
    </row>
    <row r="18" spans="1:7" x14ac:dyDescent="0.2">
      <c r="A18" t="s">
        <v>753</v>
      </c>
      <c r="B18" t="s">
        <v>782</v>
      </c>
      <c r="C18">
        <v>3</v>
      </c>
      <c r="D18" s="13" t="s">
        <v>783</v>
      </c>
      <c r="E18" t="s">
        <v>756</v>
      </c>
      <c r="F18" t="s">
        <v>784</v>
      </c>
      <c r="G18" s="13" t="str">
        <f>Tabla_Proveedores[[#This Row],[BodegaProveedor]]&amp;Tabla_Proveedores[[#This Row],[Prioridad]]</f>
        <v>BODEGA CENTRALCompra Local Maquinas3</v>
      </c>
    </row>
    <row r="19" spans="1:7" x14ac:dyDescent="0.2">
      <c r="A19" t="s">
        <v>753</v>
      </c>
      <c r="B19" t="s">
        <v>785</v>
      </c>
      <c r="C19">
        <v>6</v>
      </c>
      <c r="D19" s="13" t="s">
        <v>786</v>
      </c>
      <c r="E19" t="s">
        <v>756</v>
      </c>
      <c r="F19" t="s">
        <v>787</v>
      </c>
      <c r="G19" s="13" t="str">
        <f>Tabla_Proveedores[[#This Row],[BodegaProveedor]]&amp;Tabla_Proveedores[[#This Row],[Prioridad]]</f>
        <v>BODEGA CENTRALJf6</v>
      </c>
    </row>
    <row r="20" spans="1:7" x14ac:dyDescent="0.2">
      <c r="A20" t="s">
        <v>753</v>
      </c>
      <c r="B20" t="s">
        <v>788</v>
      </c>
      <c r="C20">
        <v>1</v>
      </c>
      <c r="D20" s="13" t="s">
        <v>789</v>
      </c>
      <c r="E20" t="s">
        <v>756</v>
      </c>
      <c r="F20" t="s">
        <v>788</v>
      </c>
      <c r="G20" s="13" t="str">
        <f>Tabla_Proveedores[[#This Row],[BodegaProveedor]]&amp;Tabla_Proveedores[[#This Row],[Prioridad]]</f>
        <v>BODEGA CENTRALBCS1</v>
      </c>
    </row>
    <row r="21" spans="1:7" x14ac:dyDescent="0.2">
      <c r="A21" t="s">
        <v>753</v>
      </c>
      <c r="B21" t="s">
        <v>790</v>
      </c>
      <c r="C21">
        <v>4</v>
      </c>
      <c r="D21" s="13" t="s">
        <v>791</v>
      </c>
      <c r="E21" t="s">
        <v>756</v>
      </c>
      <c r="F21" t="s">
        <v>792</v>
      </c>
      <c r="G21" s="13" t="str">
        <f>Tabla_Proveedores[[#This Row],[BodegaProveedor]]&amp;Tabla_Proveedores[[#This Row],[Prioridad]]</f>
        <v>BODEGA CENTRALEcho4</v>
      </c>
    </row>
    <row r="22" spans="1:7" x14ac:dyDescent="0.2">
      <c r="A22" t="s">
        <v>753</v>
      </c>
      <c r="B22" t="s">
        <v>793</v>
      </c>
      <c r="C22">
        <v>2</v>
      </c>
      <c r="D22" s="13" t="s">
        <v>794</v>
      </c>
      <c r="E22" t="s">
        <v>756</v>
      </c>
      <c r="F22" t="s">
        <v>795</v>
      </c>
      <c r="G22" s="13" t="str">
        <f>Tabla_Proveedores[[#This Row],[BodegaProveedor]]&amp;Tabla_Proveedores[[#This Row],[Prioridad]]</f>
        <v>BODEGA CENTRALChatani2</v>
      </c>
    </row>
    <row r="23" spans="1:7" x14ac:dyDescent="0.2">
      <c r="A23" t="s">
        <v>753</v>
      </c>
      <c r="B23" t="s">
        <v>796</v>
      </c>
      <c r="C23">
        <v>7</v>
      </c>
      <c r="D23" s="13" t="s">
        <v>797</v>
      </c>
      <c r="E23" t="s">
        <v>756</v>
      </c>
      <c r="F23" t="s">
        <v>798</v>
      </c>
      <c r="G23" s="13" t="str">
        <f>Tabla_Proveedores[[#This Row],[BodegaProveedor]]&amp;Tabla_Proveedores[[#This Row],[Prioridad]]</f>
        <v>BODEGA CENTRALPatriot7</v>
      </c>
    </row>
    <row r="24" spans="1:7" x14ac:dyDescent="0.2">
      <c r="A24" t="s">
        <v>739</v>
      </c>
      <c r="B24" t="s">
        <v>796</v>
      </c>
      <c r="C24">
        <v>8</v>
      </c>
      <c r="D24" s="13" t="s">
        <v>799</v>
      </c>
      <c r="E24" t="s">
        <v>739</v>
      </c>
      <c r="F24" t="s">
        <v>798</v>
      </c>
      <c r="G24" s="13" t="str">
        <f>Tabla_Proveedores[[#This Row],[BodegaProveedor]]&amp;Tabla_Proveedores[[#This Row],[Prioridad]]</f>
        <v>Bodega Central AgrotaPatriot8</v>
      </c>
    </row>
    <row r="25" spans="1:7" x14ac:dyDescent="0.2">
      <c r="A25" t="s">
        <v>739</v>
      </c>
      <c r="B25" t="s">
        <v>800</v>
      </c>
      <c r="C25">
        <v>10</v>
      </c>
      <c r="D25" s="13" t="s">
        <v>801</v>
      </c>
      <c r="E25" t="s">
        <v>739</v>
      </c>
      <c r="F25" t="s">
        <v>802</v>
      </c>
      <c r="G25" s="13" t="str">
        <f>Tabla_Proveedores[[#This Row],[BodegaProveedor]]&amp;Tabla_Proveedores[[#This Row],[Prioridad]]</f>
        <v>Bodega Central AgrotaINCOMAGRI10</v>
      </c>
    </row>
    <row r="26" spans="1:7" x14ac:dyDescent="0.2">
      <c r="A26" t="s">
        <v>739</v>
      </c>
      <c r="B26" t="s">
        <v>803</v>
      </c>
      <c r="C26">
        <v>16</v>
      </c>
      <c r="D26" s="13" t="s">
        <v>804</v>
      </c>
      <c r="E26" t="s">
        <v>739</v>
      </c>
      <c r="F26" t="s">
        <v>805</v>
      </c>
      <c r="G26" s="13" t="str">
        <f>Tabla_Proveedores[[#This Row],[BodegaProveedor]]&amp;Tabla_Proveedores[[#This Row],[Prioridad]]</f>
        <v>Bodega Central AgrotaMIRAL16</v>
      </c>
    </row>
    <row r="27" spans="1:7" x14ac:dyDescent="0.2">
      <c r="A27" t="s">
        <v>739</v>
      </c>
      <c r="B27" t="s">
        <v>779</v>
      </c>
      <c r="C27">
        <v>6</v>
      </c>
      <c r="D27" s="13" t="s">
        <v>806</v>
      </c>
      <c r="E27" t="s">
        <v>739</v>
      </c>
      <c r="F27" t="s">
        <v>781</v>
      </c>
      <c r="G27" s="13" t="str">
        <f>Tabla_Proveedores[[#This Row],[BodegaProveedor]]&amp;Tabla_Proveedores[[#This Row],[Prioridad]]</f>
        <v>Bodega Central AgrotaIkra6</v>
      </c>
    </row>
    <row r="28" spans="1:7" x14ac:dyDescent="0.2">
      <c r="A28" t="s">
        <v>739</v>
      </c>
      <c r="B28" t="s">
        <v>807</v>
      </c>
      <c r="C28">
        <v>12</v>
      </c>
      <c r="D28" s="13" t="s">
        <v>808</v>
      </c>
      <c r="E28" t="s">
        <v>739</v>
      </c>
      <c r="F28" t="s">
        <v>809</v>
      </c>
      <c r="G28" s="13" t="str">
        <f>Tabla_Proveedores[[#This Row],[BodegaProveedor]]&amp;Tabla_Proveedores[[#This Row],[Prioridad]]</f>
        <v>Bodega Central AgrotaMFW12</v>
      </c>
    </row>
    <row r="29" spans="1:7" x14ac:dyDescent="0.2">
      <c r="A29" t="s">
        <v>739</v>
      </c>
      <c r="B29" t="s">
        <v>782</v>
      </c>
      <c r="C29">
        <v>4</v>
      </c>
      <c r="D29" s="13" t="s">
        <v>810</v>
      </c>
      <c r="E29" t="s">
        <v>739</v>
      </c>
      <c r="F29" t="s">
        <v>784</v>
      </c>
      <c r="G29" s="13" t="str">
        <f>Tabla_Proveedores[[#This Row],[BodegaProveedor]]&amp;Tabla_Proveedores[[#This Row],[Prioridad]]</f>
        <v>Bodega Central AgrotaCompra Local Maquinas4</v>
      </c>
    </row>
    <row r="30" spans="1:7" x14ac:dyDescent="0.2">
      <c r="A30" t="s">
        <v>739</v>
      </c>
      <c r="B30" t="s">
        <v>785</v>
      </c>
      <c r="C30">
        <v>5</v>
      </c>
      <c r="D30" s="13" t="s">
        <v>811</v>
      </c>
      <c r="E30" t="s">
        <v>739</v>
      </c>
      <c r="F30" t="s">
        <v>787</v>
      </c>
      <c r="G30" s="13" t="str">
        <f>Tabla_Proveedores[[#This Row],[BodegaProveedor]]&amp;Tabla_Proveedores[[#This Row],[Prioridad]]</f>
        <v>Bodega Central AgrotaJf5</v>
      </c>
    </row>
    <row r="31" spans="1:7" x14ac:dyDescent="0.2">
      <c r="A31" t="s">
        <v>739</v>
      </c>
      <c r="B31" t="s">
        <v>788</v>
      </c>
      <c r="C31">
        <v>1</v>
      </c>
      <c r="D31" s="13" t="s">
        <v>812</v>
      </c>
      <c r="E31" t="s">
        <v>739</v>
      </c>
      <c r="F31" t="s">
        <v>788</v>
      </c>
      <c r="G31" s="13" t="str">
        <f>Tabla_Proveedores[[#This Row],[BodegaProveedor]]&amp;Tabla_Proveedores[[#This Row],[Prioridad]]</f>
        <v>Bodega Central AgrotaBCS1</v>
      </c>
    </row>
    <row r="32" spans="1:7" x14ac:dyDescent="0.2">
      <c r="A32" t="s">
        <v>739</v>
      </c>
      <c r="B32" t="s">
        <v>813</v>
      </c>
      <c r="C32">
        <v>15</v>
      </c>
      <c r="D32" s="13" t="s">
        <v>814</v>
      </c>
      <c r="E32" t="s">
        <v>739</v>
      </c>
      <c r="F32" t="s">
        <v>815</v>
      </c>
      <c r="G32" s="13" t="str">
        <f>Tabla_Proveedores[[#This Row],[BodegaProveedor]]&amp;Tabla_Proveedores[[#This Row],[Prioridad]]</f>
        <v>Bodega Central AgrotaCOMERCIAL KYWI15</v>
      </c>
    </row>
    <row r="33" spans="1:7" x14ac:dyDescent="0.2">
      <c r="A33" t="s">
        <v>739</v>
      </c>
      <c r="B33" t="s">
        <v>816</v>
      </c>
      <c r="C33">
        <v>18</v>
      </c>
      <c r="D33" s="13" t="s">
        <v>817</v>
      </c>
      <c r="E33" t="s">
        <v>739</v>
      </c>
      <c r="F33" t="s">
        <v>818</v>
      </c>
      <c r="G33" s="13" t="str">
        <f>Tabla_Proveedores[[#This Row],[BodegaProveedor]]&amp;Tabla_Proveedores[[#This Row],[Prioridad]]</f>
        <v>Bodega Central AgrotaSirfran18</v>
      </c>
    </row>
    <row r="34" spans="1:7" x14ac:dyDescent="0.2">
      <c r="A34" t="s">
        <v>739</v>
      </c>
      <c r="B34" t="s">
        <v>819</v>
      </c>
      <c r="C34">
        <v>13</v>
      </c>
      <c r="D34" s="13" t="s">
        <v>820</v>
      </c>
      <c r="E34" t="s">
        <v>739</v>
      </c>
      <c r="F34" t="s">
        <v>819</v>
      </c>
      <c r="G34" s="13" t="str">
        <f>Tabla_Proveedores[[#This Row],[BodegaProveedor]]&amp;Tabla_Proveedores[[#This Row],[Prioridad]]</f>
        <v>Bodega Central AgrotaBODEGA CENTRAL MATERIA PRIMA13</v>
      </c>
    </row>
    <row r="35" spans="1:7" x14ac:dyDescent="0.2">
      <c r="A35" t="s">
        <v>739</v>
      </c>
      <c r="B35" t="s">
        <v>790</v>
      </c>
      <c r="C35">
        <v>7</v>
      </c>
      <c r="D35" s="13" t="s">
        <v>821</v>
      </c>
      <c r="E35" t="s">
        <v>739</v>
      </c>
      <c r="F35" t="s">
        <v>792</v>
      </c>
      <c r="G35" s="13" t="str">
        <f>Tabla_Proveedores[[#This Row],[BodegaProveedor]]&amp;Tabla_Proveedores[[#This Row],[Prioridad]]</f>
        <v>Bodega Central AgrotaEcho7</v>
      </c>
    </row>
    <row r="36" spans="1:7" x14ac:dyDescent="0.2">
      <c r="A36" t="s">
        <v>739</v>
      </c>
      <c r="B36" t="s">
        <v>793</v>
      </c>
      <c r="C36">
        <v>3</v>
      </c>
      <c r="D36" s="13" t="s">
        <v>822</v>
      </c>
      <c r="E36" t="s">
        <v>739</v>
      </c>
      <c r="F36" t="s">
        <v>795</v>
      </c>
      <c r="G36" s="13" t="str">
        <f>Tabla_Proveedores[[#This Row],[BodegaProveedor]]&amp;Tabla_Proveedores[[#This Row],[Prioridad]]</f>
        <v>Bodega Central AgrotaChatani3</v>
      </c>
    </row>
    <row r="37" spans="1:7" x14ac:dyDescent="0.2">
      <c r="A37" t="s">
        <v>739</v>
      </c>
      <c r="B37" t="s">
        <v>823</v>
      </c>
      <c r="C37">
        <v>2</v>
      </c>
      <c r="D37" s="13" t="s">
        <v>824</v>
      </c>
      <c r="E37" t="s">
        <v>739</v>
      </c>
      <c r="F37" t="s">
        <v>825</v>
      </c>
      <c r="G37" s="13" t="str">
        <f>Tabla_Proveedores[[#This Row],[BodegaProveedor]]&amp;Tabla_Proveedores[[#This Row],[Prioridad]]</f>
        <v>Bodega Central AgrotaDuaja2</v>
      </c>
    </row>
    <row r="38" spans="1:7" x14ac:dyDescent="0.2">
      <c r="A38" t="s">
        <v>739</v>
      </c>
      <c r="B38" t="s">
        <v>826</v>
      </c>
      <c r="C38">
        <v>9</v>
      </c>
      <c r="D38" s="13" t="s">
        <v>827</v>
      </c>
      <c r="E38" t="s">
        <v>739</v>
      </c>
      <c r="F38" t="s">
        <v>828</v>
      </c>
      <c r="G38" s="13" t="str">
        <f>Tabla_Proveedores[[#This Row],[BodegaProveedor]]&amp;Tabla_Proveedores[[#This Row],[Prioridad]]</f>
        <v>Bodega Central AgrotaEUROLATTE9</v>
      </c>
    </row>
    <row r="39" spans="1:7" x14ac:dyDescent="0.2">
      <c r="A39" t="s">
        <v>739</v>
      </c>
      <c r="B39" t="s">
        <v>829</v>
      </c>
      <c r="C39">
        <v>11</v>
      </c>
      <c r="D39" s="13" t="s">
        <v>830</v>
      </c>
      <c r="E39" t="s">
        <v>739</v>
      </c>
      <c r="F39" t="s">
        <v>831</v>
      </c>
      <c r="G39" s="13" t="str">
        <f>Tabla_Proveedores[[#This Row],[BodegaProveedor]]&amp;Tabla_Proveedores[[#This Row],[Prioridad]]</f>
        <v>Bodega Central AgrotaBORALSAN11</v>
      </c>
    </row>
    <row r="40" spans="1:7" x14ac:dyDescent="0.2">
      <c r="A40" t="s">
        <v>739</v>
      </c>
      <c r="B40" t="s">
        <v>832</v>
      </c>
      <c r="C40">
        <v>19</v>
      </c>
      <c r="D40" s="13" t="s">
        <v>833</v>
      </c>
      <c r="E40" t="s">
        <v>739</v>
      </c>
      <c r="F40" t="s">
        <v>832</v>
      </c>
      <c r="G40" s="13" t="str">
        <f>Tabla_Proveedores[[#This Row],[BodegaProveedor]]&amp;Tabla_Proveedores[[#This Row],[Prioridad]]</f>
        <v>Bodega Central AgrotaFORD19</v>
      </c>
    </row>
    <row r="41" spans="1:7" x14ac:dyDescent="0.2">
      <c r="A41" t="s">
        <v>739</v>
      </c>
      <c r="B41" t="s">
        <v>834</v>
      </c>
      <c r="C41">
        <v>14</v>
      </c>
      <c r="D41" s="13" t="s">
        <v>835</v>
      </c>
      <c r="E41" t="s">
        <v>739</v>
      </c>
      <c r="F41" t="s">
        <v>834</v>
      </c>
      <c r="G41" s="13" t="str">
        <f>Tabla_Proveedores[[#This Row],[BodegaProveedor]]&amp;Tabla_Proveedores[[#This Row],[Prioridad]]</f>
        <v>Bodega Central AgrotaJM ESTRADA14</v>
      </c>
    </row>
    <row r="42" spans="1:7" x14ac:dyDescent="0.2">
      <c r="A42" t="s">
        <v>747</v>
      </c>
      <c r="B42" t="s">
        <v>785</v>
      </c>
      <c r="C42">
        <v>6</v>
      </c>
      <c r="D42" s="13" t="s">
        <v>836</v>
      </c>
      <c r="E42" t="s">
        <v>750</v>
      </c>
      <c r="F42" t="s">
        <v>787</v>
      </c>
      <c r="G42" s="13" t="str">
        <f>Tabla_Proveedores[[#This Row],[BodegaProveedor]]&amp;Tabla_Proveedores[[#This Row],[Prioridad]]</f>
        <v>BODEGA CENTRAL MAQUINASJf6</v>
      </c>
    </row>
    <row r="43" spans="1:7" x14ac:dyDescent="0.2">
      <c r="A43" t="s">
        <v>747</v>
      </c>
      <c r="B43" t="s">
        <v>837</v>
      </c>
      <c r="C43">
        <v>7</v>
      </c>
      <c r="D43" s="13" t="s">
        <v>838</v>
      </c>
      <c r="E43" t="s">
        <v>750</v>
      </c>
      <c r="F43" t="s">
        <v>839</v>
      </c>
      <c r="G43" s="13" t="str">
        <f>Tabla_Proveedores[[#This Row],[BodegaProveedor]]&amp;Tabla_Proveedores[[#This Row],[Prioridad]]</f>
        <v>BODEGA CENTRAL MAQUINASSinochem7</v>
      </c>
    </row>
    <row r="44" spans="1:7" x14ac:dyDescent="0.2">
      <c r="A44" t="s">
        <v>747</v>
      </c>
      <c r="B44" t="s">
        <v>788</v>
      </c>
      <c r="C44">
        <v>1</v>
      </c>
      <c r="D44" s="13" t="s">
        <v>840</v>
      </c>
      <c r="E44" t="s">
        <v>750</v>
      </c>
      <c r="F44" t="s">
        <v>788</v>
      </c>
      <c r="G44" s="13" t="str">
        <f>Tabla_Proveedores[[#This Row],[BodegaProveedor]]&amp;Tabla_Proveedores[[#This Row],[Prioridad]]</f>
        <v>BODEGA CENTRAL MAQUINASBCS1</v>
      </c>
    </row>
    <row r="45" spans="1:7" x14ac:dyDescent="0.2">
      <c r="A45" t="s">
        <v>747</v>
      </c>
      <c r="B45" t="s">
        <v>790</v>
      </c>
      <c r="C45">
        <v>3</v>
      </c>
      <c r="D45" s="13" t="s">
        <v>841</v>
      </c>
      <c r="E45" t="s">
        <v>750</v>
      </c>
      <c r="F45" t="s">
        <v>792</v>
      </c>
      <c r="G45" s="13" t="str">
        <f>Tabla_Proveedores[[#This Row],[BodegaProveedor]]&amp;Tabla_Proveedores[[#This Row],[Prioridad]]</f>
        <v>BODEGA CENTRAL MAQUINASEcho3</v>
      </c>
    </row>
    <row r="46" spans="1:7" x14ac:dyDescent="0.2">
      <c r="A46" t="s">
        <v>747</v>
      </c>
      <c r="B46" t="s">
        <v>793</v>
      </c>
      <c r="C46">
        <v>2</v>
      </c>
      <c r="D46" s="13" t="s">
        <v>842</v>
      </c>
      <c r="E46" t="s">
        <v>750</v>
      </c>
      <c r="F46" t="s">
        <v>795</v>
      </c>
      <c r="G46" s="13" t="str">
        <f>Tabla_Proveedores[[#This Row],[BodegaProveedor]]&amp;Tabla_Proveedores[[#This Row],[Prioridad]]</f>
        <v>BODEGA CENTRAL MAQUINASChatani2</v>
      </c>
    </row>
    <row r="47" spans="1:7" x14ac:dyDescent="0.2">
      <c r="A47" t="s">
        <v>747</v>
      </c>
      <c r="B47" t="s">
        <v>843</v>
      </c>
      <c r="C47">
        <v>8</v>
      </c>
      <c r="D47" s="13" t="s">
        <v>844</v>
      </c>
      <c r="E47" t="s">
        <v>750</v>
      </c>
      <c r="F47" t="s">
        <v>845</v>
      </c>
      <c r="G47" s="13" t="str">
        <f>Tabla_Proveedores[[#This Row],[BodegaProveedor]]&amp;Tabla_Proveedores[[#This Row],[Prioridad]]</f>
        <v>BODEGA CENTRAL MAQUINASCompra Local Quimicos8</v>
      </c>
    </row>
    <row r="48" spans="1:7" x14ac:dyDescent="0.2">
      <c r="A48" t="s">
        <v>747</v>
      </c>
      <c r="B48" t="s">
        <v>782</v>
      </c>
      <c r="C48">
        <v>4</v>
      </c>
      <c r="D48" s="13" t="s">
        <v>846</v>
      </c>
      <c r="E48" t="s">
        <v>750</v>
      </c>
      <c r="F48" t="s">
        <v>784</v>
      </c>
      <c r="G48" s="13" t="str">
        <f>Tabla_Proveedores[[#This Row],[BodegaProveedor]]&amp;Tabla_Proveedores[[#This Row],[Prioridad]]</f>
        <v>BODEGA CENTRAL MAQUINASCompra Local Maquinas4</v>
      </c>
    </row>
    <row r="49" spans="1:7" x14ac:dyDescent="0.2">
      <c r="A49" t="s">
        <v>747</v>
      </c>
      <c r="B49" t="s">
        <v>779</v>
      </c>
      <c r="C49">
        <v>5</v>
      </c>
      <c r="D49" s="13" t="s">
        <v>847</v>
      </c>
      <c r="E49" t="s">
        <v>750</v>
      </c>
      <c r="F49" t="s">
        <v>781</v>
      </c>
      <c r="G49" s="13" t="str">
        <f>Tabla_Proveedores[[#This Row],[BodegaProveedor]]&amp;Tabla_Proveedores[[#This Row],[Prioridad]]</f>
        <v>BODEGA CENTRAL MAQUINASIkra5</v>
      </c>
    </row>
    <row r="50" spans="1:7" x14ac:dyDescent="0.2">
      <c r="A50" t="s">
        <v>747</v>
      </c>
      <c r="B50" t="s">
        <v>848</v>
      </c>
      <c r="C50">
        <v>9</v>
      </c>
      <c r="D50" s="13" t="s">
        <v>849</v>
      </c>
      <c r="E50" t="s">
        <v>750</v>
      </c>
      <c r="F50" t="s">
        <v>850</v>
      </c>
      <c r="G50" s="13" t="str">
        <f>Tabla_Proveedores[[#This Row],[BodegaProveedor]]&amp;Tabla_Proveedores[[#This Row],[Prioridad]]</f>
        <v>BODEGA CENTRAL MAQUINASMATERIA PRIMA9</v>
      </c>
    </row>
    <row r="51" spans="1:7" x14ac:dyDescent="0.2">
      <c r="A51" t="s">
        <v>819</v>
      </c>
      <c r="B51" t="s">
        <v>843</v>
      </c>
      <c r="C51">
        <v>1</v>
      </c>
      <c r="D51" s="13" t="s">
        <v>851</v>
      </c>
      <c r="E51" t="s">
        <v>819</v>
      </c>
      <c r="F51" t="s">
        <v>845</v>
      </c>
      <c r="G51" s="13" t="str">
        <f>Tabla_Proveedores[[#This Row],[BodegaProveedor]]&amp;Tabla_Proveedores[[#This Row],[Prioridad]]</f>
        <v>BODEGA CENTRAL MATERIA PRIMACompra Local Quimicos1</v>
      </c>
    </row>
    <row r="52" spans="1:7" x14ac:dyDescent="0.2">
      <c r="A52" t="s">
        <v>852</v>
      </c>
      <c r="B52" t="s">
        <v>739</v>
      </c>
      <c r="C52">
        <v>4</v>
      </c>
      <c r="D52" s="13" t="s">
        <v>853</v>
      </c>
      <c r="E52" t="s">
        <v>854</v>
      </c>
      <c r="F52" t="s">
        <v>739</v>
      </c>
      <c r="G52" s="13" t="str">
        <f>Tabla_Proveedores[[#This Row],[BodegaProveedor]]&amp;Tabla_Proveedores[[#This Row],[Prioridad]]</f>
        <v>BODEGA DUPOCSA ARENALBodega Central Agrota4</v>
      </c>
    </row>
    <row r="53" spans="1:7" x14ac:dyDescent="0.2">
      <c r="A53" t="s">
        <v>855</v>
      </c>
      <c r="B53" t="s">
        <v>739</v>
      </c>
      <c r="C53">
        <v>4</v>
      </c>
      <c r="D53" s="13" t="s">
        <v>856</v>
      </c>
      <c r="E53" t="s">
        <v>857</v>
      </c>
      <c r="F53" t="s">
        <v>739</v>
      </c>
      <c r="G53" s="13" t="str">
        <f>Tabla_Proveedores[[#This Row],[BodegaProveedor]]&amp;Tabla_Proveedores[[#This Row],[Prioridad]]</f>
        <v>BODEGA DUPOCSA CONCORDIABodega Central Agrota4</v>
      </c>
    </row>
    <row r="54" spans="1:7" x14ac:dyDescent="0.2">
      <c r="A54" t="s">
        <v>858</v>
      </c>
      <c r="B54" t="s">
        <v>739</v>
      </c>
      <c r="C54">
        <v>4</v>
      </c>
      <c r="D54" s="13" t="s">
        <v>859</v>
      </c>
      <c r="E54" t="s">
        <v>860</v>
      </c>
      <c r="F54" t="s">
        <v>739</v>
      </c>
      <c r="G54" s="13" t="str">
        <f>Tabla_Proveedores[[#This Row],[BodegaProveedor]]&amp;Tabla_Proveedores[[#This Row],[Prioridad]]</f>
        <v>BODEGA DUPOCSA QUEVEDOBodega Central Agrota4</v>
      </c>
    </row>
    <row r="55" spans="1:7" x14ac:dyDescent="0.2">
      <c r="A55" t="s">
        <v>861</v>
      </c>
      <c r="B55" t="s">
        <v>848</v>
      </c>
      <c r="C55">
        <v>2</v>
      </c>
      <c r="D55" s="13" t="s">
        <v>862</v>
      </c>
      <c r="E55" t="s">
        <v>863</v>
      </c>
      <c r="F55" t="s">
        <v>850</v>
      </c>
      <c r="G55" s="13" t="str">
        <f>Tabla_Proveedores[[#This Row],[BodegaProveedor]]&amp;Tabla_Proveedores[[#This Row],[Prioridad]]</f>
        <v>BODEGA MERCALIMSAMATERIA PRIMA2</v>
      </c>
    </row>
    <row r="56" spans="1:7" x14ac:dyDescent="0.2">
      <c r="A56" t="s">
        <v>861</v>
      </c>
      <c r="B56" t="s">
        <v>819</v>
      </c>
      <c r="C56">
        <v>7</v>
      </c>
      <c r="D56" s="13" t="s">
        <v>864</v>
      </c>
      <c r="E56" t="s">
        <v>863</v>
      </c>
      <c r="F56" t="s">
        <v>819</v>
      </c>
      <c r="G56" s="13" t="str">
        <f>Tabla_Proveedores[[#This Row],[BodegaProveedor]]&amp;Tabla_Proveedores[[#This Row],[Prioridad]]</f>
        <v>BODEGA MERCALIMSABODEGA CENTRAL MATERIA PRIMA7</v>
      </c>
    </row>
    <row r="57" spans="1:7" x14ac:dyDescent="0.2">
      <c r="A57" t="s">
        <v>861</v>
      </c>
      <c r="B57" t="s">
        <v>843</v>
      </c>
      <c r="C57">
        <v>5</v>
      </c>
      <c r="D57" s="13" t="s">
        <v>865</v>
      </c>
      <c r="E57" t="s">
        <v>863</v>
      </c>
      <c r="F57" t="s">
        <v>845</v>
      </c>
      <c r="G57" s="13" t="str">
        <f>Tabla_Proveedores[[#This Row],[BodegaProveedor]]&amp;Tabla_Proveedores[[#This Row],[Prioridad]]</f>
        <v>BODEGA MERCALIMSACompra Local Quimicos5</v>
      </c>
    </row>
    <row r="58" spans="1:7" x14ac:dyDescent="0.2">
      <c r="A58" t="s">
        <v>866</v>
      </c>
      <c r="B58" t="s">
        <v>739</v>
      </c>
      <c r="C58">
        <v>1</v>
      </c>
      <c r="D58" s="13" t="s">
        <v>867</v>
      </c>
      <c r="E58" t="s">
        <v>868</v>
      </c>
      <c r="F58" t="s">
        <v>739</v>
      </c>
      <c r="G58" s="13" t="str">
        <f>Tabla_Proveedores[[#This Row],[BodegaProveedor]]&amp;Tabla_Proveedores[[#This Row],[Prioridad]]</f>
        <v>BODEGA SATELITE AGROINSUMOS RIERABodega Central Agrota1</v>
      </c>
    </row>
    <row r="59" spans="1:7" x14ac:dyDescent="0.2">
      <c r="A59" t="s">
        <v>869</v>
      </c>
      <c r="B59" t="s">
        <v>739</v>
      </c>
      <c r="C59">
        <v>4</v>
      </c>
      <c r="D59" s="13" t="s">
        <v>870</v>
      </c>
      <c r="E59" t="s">
        <v>871</v>
      </c>
      <c r="F59" t="s">
        <v>739</v>
      </c>
      <c r="G59" s="13" t="str">
        <f>Tabla_Proveedores[[#This Row],[BodegaProveedor]]&amp;Tabla_Proveedores[[#This Row],[Prioridad]]</f>
        <v>BODEGA SATELITE COMERCIAL COCABodega Central Agrota4</v>
      </c>
    </row>
    <row r="60" spans="1:7" x14ac:dyDescent="0.2">
      <c r="A60" t="s">
        <v>872</v>
      </c>
      <c r="B60" t="s">
        <v>739</v>
      </c>
      <c r="C60">
        <v>1</v>
      </c>
      <c r="D60" s="13" t="s">
        <v>873</v>
      </c>
      <c r="E60" t="s">
        <v>874</v>
      </c>
      <c r="F60" t="s">
        <v>739</v>
      </c>
      <c r="G60" s="13" t="str">
        <f>Tabla_Proveedores[[#This Row],[BodegaProveedor]]&amp;Tabla_Proveedores[[#This Row],[Prioridad]]</f>
        <v>BODEGA SUKAMPOBodega Central Agrota1</v>
      </c>
    </row>
    <row r="61" spans="1:7" x14ac:dyDescent="0.2">
      <c r="A61" t="s">
        <v>875</v>
      </c>
      <c r="B61" t="s">
        <v>739</v>
      </c>
      <c r="C61">
        <v>1</v>
      </c>
      <c r="D61" s="13" t="s">
        <v>876</v>
      </c>
      <c r="E61" t="s">
        <v>877</v>
      </c>
      <c r="F61" t="s">
        <v>739</v>
      </c>
      <c r="G61" s="13" t="str">
        <f>Tabla_Proveedores[[#This Row],[BodegaProveedor]]&amp;Tabla_Proveedores[[#This Row],[Prioridad]]</f>
        <v>GUAYAQUIL SUKAMPOBodega Central Agrota1</v>
      </c>
    </row>
    <row r="62" spans="1:7" x14ac:dyDescent="0.2">
      <c r="A62" t="s">
        <v>878</v>
      </c>
      <c r="B62" t="s">
        <v>739</v>
      </c>
      <c r="C62">
        <v>1</v>
      </c>
      <c r="D62" s="13" t="s">
        <v>879</v>
      </c>
      <c r="E62" t="s">
        <v>880</v>
      </c>
      <c r="F62" t="s">
        <v>739</v>
      </c>
      <c r="G62" s="13" t="str">
        <f>Tabla_Proveedores[[#This Row],[BodegaProveedor]]&amp;Tabla_Proveedores[[#This Row],[Prioridad]]</f>
        <v>JAHER REGIONAL CDR BABAHOYOBodega Central Agrota1</v>
      </c>
    </row>
    <row r="63" spans="1:7" x14ac:dyDescent="0.2">
      <c r="A63" t="s">
        <v>881</v>
      </c>
      <c r="B63" t="s">
        <v>739</v>
      </c>
      <c r="C63">
        <v>2</v>
      </c>
      <c r="D63" s="13" t="s">
        <v>882</v>
      </c>
      <c r="E63" t="s">
        <v>883</v>
      </c>
      <c r="F63" t="s">
        <v>739</v>
      </c>
      <c r="G63" s="13" t="str">
        <f>Tabla_Proveedores[[#This Row],[BodegaProveedor]]&amp;Tabla_Proveedores[[#This Row],[Prioridad]]</f>
        <v>JAHER REGIONAL CDR. CUENCABodega Central Agrota2</v>
      </c>
    </row>
    <row r="64" spans="1:7" x14ac:dyDescent="0.2">
      <c r="A64" t="s">
        <v>884</v>
      </c>
      <c r="B64" t="s">
        <v>739</v>
      </c>
      <c r="C64">
        <v>1</v>
      </c>
      <c r="D64" s="13" t="s">
        <v>885</v>
      </c>
      <c r="E64" t="s">
        <v>886</v>
      </c>
      <c r="F64" t="s">
        <v>739</v>
      </c>
      <c r="G64" s="13" t="str">
        <f>Tabla_Proveedores[[#This Row],[BodegaProveedor]]&amp;Tabla_Proveedores[[#This Row],[Prioridad]]</f>
        <v>MARCIMEX REGIONAL CUENCABodega Central Agrota1</v>
      </c>
    </row>
    <row r="65" spans="1:7" x14ac:dyDescent="0.2">
      <c r="A65" t="s">
        <v>848</v>
      </c>
      <c r="B65" t="s">
        <v>843</v>
      </c>
      <c r="C65">
        <v>1</v>
      </c>
      <c r="D65" s="13" t="s">
        <v>887</v>
      </c>
      <c r="E65" t="s">
        <v>850</v>
      </c>
      <c r="F65" t="s">
        <v>845</v>
      </c>
      <c r="G65" s="13" t="str">
        <f>Tabla_Proveedores[[#This Row],[BodegaProveedor]]&amp;Tabla_Proveedores[[#This Row],[Prioridad]]</f>
        <v>MATERIA PRIMACompra Local Quimicos1</v>
      </c>
    </row>
    <row r="66" spans="1:7" x14ac:dyDescent="0.2">
      <c r="A66" t="s">
        <v>848</v>
      </c>
      <c r="B66" t="s">
        <v>888</v>
      </c>
      <c r="C66">
        <v>6</v>
      </c>
      <c r="D66" s="13" t="s">
        <v>889</v>
      </c>
      <c r="E66" t="s">
        <v>850</v>
      </c>
      <c r="F66" t="s">
        <v>890</v>
      </c>
      <c r="G66" s="13" t="str">
        <f>Tabla_Proveedores[[#This Row],[BodegaProveedor]]&amp;Tabla_Proveedores[[#This Row],[Prioridad]]</f>
        <v>MATERIA PRIMAMercalimsa6</v>
      </c>
    </row>
    <row r="67" spans="1:7" x14ac:dyDescent="0.2">
      <c r="A67" t="s">
        <v>848</v>
      </c>
      <c r="B67" t="s">
        <v>891</v>
      </c>
      <c r="C67">
        <v>7</v>
      </c>
      <c r="D67" s="13" t="s">
        <v>892</v>
      </c>
      <c r="E67" t="s">
        <v>850</v>
      </c>
      <c r="F67" t="s">
        <v>893</v>
      </c>
      <c r="G67" s="13" t="str">
        <f>Tabla_Proveedores[[#This Row],[BodegaProveedor]]&amp;Tabla_Proveedores[[#This Row],[Prioridad]]</f>
        <v>MATERIA PRIMASHARDA7</v>
      </c>
    </row>
    <row r="68" spans="1:7" x14ac:dyDescent="0.2">
      <c r="A68" t="s">
        <v>848</v>
      </c>
      <c r="B68" t="s">
        <v>837</v>
      </c>
      <c r="C68">
        <v>3</v>
      </c>
      <c r="D68" s="13" t="s">
        <v>894</v>
      </c>
      <c r="E68" t="s">
        <v>850</v>
      </c>
      <c r="F68" t="s">
        <v>839</v>
      </c>
      <c r="G68" s="13" t="str">
        <f>Tabla_Proveedores[[#This Row],[BodegaProveedor]]&amp;Tabla_Proveedores[[#This Row],[Prioridad]]</f>
        <v>MATERIA PRIMASinochem3</v>
      </c>
    </row>
    <row r="69" spans="1:7" x14ac:dyDescent="0.2">
      <c r="A69" t="s">
        <v>848</v>
      </c>
      <c r="B69" t="s">
        <v>861</v>
      </c>
      <c r="C69">
        <v>11</v>
      </c>
      <c r="D69" s="13" t="s">
        <v>895</v>
      </c>
      <c r="E69" t="s">
        <v>850</v>
      </c>
      <c r="F69" t="s">
        <v>863</v>
      </c>
      <c r="G69" s="13" t="str">
        <f>Tabla_Proveedores[[#This Row],[BodegaProveedor]]&amp;Tabla_Proveedores[[#This Row],[Prioridad]]</f>
        <v>MATERIA PRIMABODEGA MERCALIMSA11</v>
      </c>
    </row>
    <row r="70" spans="1:7" x14ac:dyDescent="0.2">
      <c r="A70" t="s">
        <v>848</v>
      </c>
      <c r="B70" t="s">
        <v>819</v>
      </c>
      <c r="C70">
        <v>8</v>
      </c>
      <c r="D70" s="13" t="s">
        <v>896</v>
      </c>
      <c r="E70" t="s">
        <v>850</v>
      </c>
      <c r="F70" t="s">
        <v>819</v>
      </c>
      <c r="G70" s="13" t="str">
        <f>Tabla_Proveedores[[#This Row],[BodegaProveedor]]&amp;Tabla_Proveedores[[#This Row],[Prioridad]]</f>
        <v>MATERIA PRIMABODEGA CENTRAL MATERIA PRIMA8</v>
      </c>
    </row>
    <row r="71" spans="1:7" x14ac:dyDescent="0.2">
      <c r="A71" t="s">
        <v>848</v>
      </c>
      <c r="B71" t="s">
        <v>823</v>
      </c>
      <c r="C71">
        <v>2</v>
      </c>
      <c r="D71" s="13" t="s">
        <v>897</v>
      </c>
      <c r="E71" t="s">
        <v>850</v>
      </c>
      <c r="F71" t="s">
        <v>825</v>
      </c>
      <c r="G71" s="13" t="str">
        <f>Tabla_Proveedores[[#This Row],[BodegaProveedor]]&amp;Tabla_Proveedores[[#This Row],[Prioridad]]</f>
        <v>MATERIA PRIMADuaja2</v>
      </c>
    </row>
    <row r="72" spans="1:7" x14ac:dyDescent="0.2">
      <c r="A72" t="s">
        <v>848</v>
      </c>
      <c r="B72" t="s">
        <v>898</v>
      </c>
      <c r="C72">
        <v>4</v>
      </c>
      <c r="D72" s="13" t="s">
        <v>899</v>
      </c>
      <c r="E72" t="s">
        <v>850</v>
      </c>
      <c r="F72" t="s">
        <v>900</v>
      </c>
      <c r="G72" s="13" t="str">
        <f>Tabla_Proveedores[[#This Row],[BodegaProveedor]]&amp;Tabla_Proveedores[[#This Row],[Prioridad]]</f>
        <v>MATERIA PRIMAAgroenzimas4</v>
      </c>
    </row>
    <row r="73" spans="1:7" x14ac:dyDescent="0.2">
      <c r="A73" t="s">
        <v>848</v>
      </c>
      <c r="B73" t="s">
        <v>901</v>
      </c>
      <c r="C73">
        <v>5</v>
      </c>
      <c r="D73" s="13" t="s">
        <v>902</v>
      </c>
      <c r="E73" t="s">
        <v>850</v>
      </c>
      <c r="F73" t="s">
        <v>903</v>
      </c>
      <c r="G73" s="13" t="str">
        <f>Tabla_Proveedores[[#This Row],[BodegaProveedor]]&amp;Tabla_Proveedores[[#This Row],[Prioridad]]</f>
        <v>MATERIA PRIMAMIO CHEMICAL 5</v>
      </c>
    </row>
    <row r="74" spans="1:7" x14ac:dyDescent="0.2">
      <c r="A74" t="s">
        <v>904</v>
      </c>
      <c r="B74" t="s">
        <v>790</v>
      </c>
      <c r="C74">
        <v>9</v>
      </c>
      <c r="D74" s="13" t="s">
        <v>905</v>
      </c>
      <c r="E74" t="s">
        <v>906</v>
      </c>
      <c r="F74" t="s">
        <v>792</v>
      </c>
      <c r="G74" s="13" t="str">
        <f>Tabla_Proveedores[[#This Row],[BodegaProveedor]]&amp;Tabla_Proveedores[[#This Row],[Prioridad]]</f>
        <v>PRODUCTO TERMINADOEcho9</v>
      </c>
    </row>
    <row r="75" spans="1:7" x14ac:dyDescent="0.2">
      <c r="A75" t="s">
        <v>904</v>
      </c>
      <c r="B75" t="s">
        <v>907</v>
      </c>
      <c r="C75">
        <v>3</v>
      </c>
      <c r="D75" s="13" t="s">
        <v>908</v>
      </c>
      <c r="E75" t="s">
        <v>906</v>
      </c>
      <c r="F75" t="s">
        <v>909</v>
      </c>
      <c r="G75" s="13" t="str">
        <f>Tabla_Proveedores[[#This Row],[BodegaProveedor]]&amp;Tabla_Proveedores[[#This Row],[Prioridad]]</f>
        <v>PRODUCTO TERMINADOAgrosad3</v>
      </c>
    </row>
    <row r="76" spans="1:7" x14ac:dyDescent="0.2">
      <c r="A76" t="s">
        <v>904</v>
      </c>
      <c r="B76" t="s">
        <v>910</v>
      </c>
      <c r="C76">
        <v>15</v>
      </c>
      <c r="D76" s="13" t="s">
        <v>911</v>
      </c>
      <c r="E76" t="s">
        <v>906</v>
      </c>
      <c r="F76" t="s">
        <v>912</v>
      </c>
      <c r="G76" s="13" t="str">
        <f>Tabla_Proveedores[[#This Row],[BodegaProveedor]]&amp;Tabla_Proveedores[[#This Row],[Prioridad]]</f>
        <v>PRODUCTO TERMINADOARS15</v>
      </c>
    </row>
    <row r="77" spans="1:7" x14ac:dyDescent="0.2">
      <c r="A77" t="s">
        <v>904</v>
      </c>
      <c r="B77" t="s">
        <v>848</v>
      </c>
      <c r="C77">
        <v>1</v>
      </c>
      <c r="D77" s="13" t="s">
        <v>913</v>
      </c>
      <c r="E77" t="s">
        <v>906</v>
      </c>
      <c r="F77" t="s">
        <v>850</v>
      </c>
      <c r="G77" s="13" t="str">
        <f>Tabla_Proveedores[[#This Row],[BodegaProveedor]]&amp;Tabla_Proveedores[[#This Row],[Prioridad]]</f>
        <v>PRODUCTO TERMINADOMATERIA PRIMA1</v>
      </c>
    </row>
    <row r="78" spans="1:7" x14ac:dyDescent="0.2">
      <c r="A78" t="s">
        <v>904</v>
      </c>
      <c r="B78" t="s">
        <v>747</v>
      </c>
      <c r="C78">
        <v>6</v>
      </c>
      <c r="D78" s="13" t="s">
        <v>914</v>
      </c>
      <c r="E78" t="s">
        <v>906</v>
      </c>
      <c r="F78" t="s">
        <v>750</v>
      </c>
      <c r="G78" s="13" t="str">
        <f>Tabla_Proveedores[[#This Row],[BodegaProveedor]]&amp;Tabla_Proveedores[[#This Row],[Prioridad]]</f>
        <v>PRODUCTO TERMINADOBODEGA CENTRAL MAQUINAS6</v>
      </c>
    </row>
    <row r="79" spans="1:7" x14ac:dyDescent="0.2">
      <c r="A79" t="s">
        <v>904</v>
      </c>
      <c r="B79" t="s">
        <v>915</v>
      </c>
      <c r="C79">
        <v>4</v>
      </c>
      <c r="D79" s="13" t="s">
        <v>916</v>
      </c>
      <c r="E79" t="s">
        <v>906</v>
      </c>
      <c r="F79" t="s">
        <v>917</v>
      </c>
      <c r="G79" s="13" t="str">
        <f>Tabla_Proveedores[[#This Row],[BodegaProveedor]]&amp;Tabla_Proveedores[[#This Row],[Prioridad]]</f>
        <v>PRODUCTO TERMINADOAgroprocesos4</v>
      </c>
    </row>
    <row r="80" spans="1:7" x14ac:dyDescent="0.2">
      <c r="A80" t="s">
        <v>904</v>
      </c>
      <c r="B80" t="s">
        <v>888</v>
      </c>
      <c r="C80">
        <v>5</v>
      </c>
      <c r="D80" s="13" t="s">
        <v>918</v>
      </c>
      <c r="E80" t="s">
        <v>906</v>
      </c>
      <c r="F80" t="s">
        <v>890</v>
      </c>
      <c r="G80" s="13" t="str">
        <f>Tabla_Proveedores[[#This Row],[BodegaProveedor]]&amp;Tabla_Proveedores[[#This Row],[Prioridad]]</f>
        <v>PRODUCTO TERMINADOMercalimsa5</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9">
    <tabColor rgb="FF004600"/>
  </sheetPr>
  <dimension ref="A1"/>
  <sheetViews>
    <sheetView workbookViewId="0"/>
  </sheetViews>
  <sheetFormatPr baseColWidth="10" defaultColWidth="11.42578125" defaultRowHeight="12.75" x14ac:dyDescent="0.2"/>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theme="5" tint="-0.249977111117893"/>
  </sheetPr>
  <dimension ref="A1:F2"/>
  <sheetViews>
    <sheetView showGridLines="0" workbookViewId="0">
      <selection activeCell="A2" sqref="A2:C2"/>
    </sheetView>
  </sheetViews>
  <sheetFormatPr baseColWidth="10" defaultColWidth="11.42578125" defaultRowHeight="12.75" x14ac:dyDescent="0.2"/>
  <cols>
    <col min="1" max="1" width="23.5703125" bestFit="1" customWidth="1"/>
    <col min="3" max="3" width="17" customWidth="1"/>
    <col min="7" max="7" width="12.7109375" bestFit="1" customWidth="1"/>
  </cols>
  <sheetData>
    <row r="1" spans="1:6" x14ac:dyDescent="0.2">
      <c r="A1" s="1" t="s">
        <v>272</v>
      </c>
      <c r="B1" s="1" t="s">
        <v>63</v>
      </c>
      <c r="C1" s="68" t="s">
        <v>360</v>
      </c>
    </row>
    <row r="2" spans="1:6" x14ac:dyDescent="0.2">
      <c r="A2" s="68" t="s">
        <v>739</v>
      </c>
      <c r="B2" s="68" t="s">
        <v>739</v>
      </c>
      <c r="C2" s="13" t="str">
        <f>IFERROR(INDEX(Tabla_Proveedores[COD_PROVEEDOR],MATCH(Tabla_Bodegas_Permitidas[[#This Row],[COD_BODEGA]],Tabla_Proveedores[COD_BODEGA],0)),0)</f>
        <v>PA</v>
      </c>
      <c r="F2">
        <f>IF(ROWS(Tabla_Proveedores[COD_BODEGA])=1,1,0)</f>
        <v>0</v>
      </c>
    </row>
  </sheetData>
  <pageMargins left="0.7" right="0.7" top="0.75" bottom="0.75" header="0.3" footer="0.3"/>
  <pageSetup orientation="portrait" horizontalDpi="0" verticalDpi="0"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5">
    <tabColor theme="5" tint="-0.249977111117893"/>
  </sheetPr>
  <dimension ref="A1:A19"/>
  <sheetViews>
    <sheetView showGridLines="0" zoomScale="80" zoomScaleNormal="80" workbookViewId="0">
      <selection activeCell="A2" sqref="A2"/>
    </sheetView>
  </sheetViews>
  <sheetFormatPr baseColWidth="10" defaultColWidth="11.42578125" defaultRowHeight="12.75" x14ac:dyDescent="0.2"/>
  <cols>
    <col min="1" max="1" width="23.5703125" bestFit="1" customWidth="1"/>
  </cols>
  <sheetData>
    <row r="1" spans="1:1" x14ac:dyDescent="0.2">
      <c r="A1" s="1" t="s">
        <v>49</v>
      </c>
    </row>
    <row r="2" spans="1:1" x14ac:dyDescent="0.2">
      <c r="A2" s="68" t="s">
        <v>788</v>
      </c>
    </row>
    <row r="3" spans="1:1" x14ac:dyDescent="0.2">
      <c r="A3" t="s">
        <v>819</v>
      </c>
    </row>
    <row r="4" spans="1:1" x14ac:dyDescent="0.2">
      <c r="A4" t="s">
        <v>829</v>
      </c>
    </row>
    <row r="5" spans="1:1" x14ac:dyDescent="0.2">
      <c r="A5" t="s">
        <v>793</v>
      </c>
    </row>
    <row r="6" spans="1:1" x14ac:dyDescent="0.2">
      <c r="A6" t="s">
        <v>813</v>
      </c>
    </row>
    <row r="7" spans="1:1" x14ac:dyDescent="0.2">
      <c r="A7" t="s">
        <v>782</v>
      </c>
    </row>
    <row r="8" spans="1:1" x14ac:dyDescent="0.2">
      <c r="A8" t="s">
        <v>823</v>
      </c>
    </row>
    <row r="9" spans="1:1" x14ac:dyDescent="0.2">
      <c r="A9" t="s">
        <v>790</v>
      </c>
    </row>
    <row r="10" spans="1:1" x14ac:dyDescent="0.2">
      <c r="A10" t="s">
        <v>826</v>
      </c>
    </row>
    <row r="11" spans="1:1" x14ac:dyDescent="0.2">
      <c r="A11" t="s">
        <v>832</v>
      </c>
    </row>
    <row r="12" spans="1:1" x14ac:dyDescent="0.2">
      <c r="A12" t="s">
        <v>779</v>
      </c>
    </row>
    <row r="13" spans="1:1" x14ac:dyDescent="0.2">
      <c r="A13" t="s">
        <v>800</v>
      </c>
    </row>
    <row r="14" spans="1:1" x14ac:dyDescent="0.2">
      <c r="A14" t="s">
        <v>785</v>
      </c>
    </row>
    <row r="15" spans="1:1" x14ac:dyDescent="0.2">
      <c r="A15" t="s">
        <v>834</v>
      </c>
    </row>
    <row r="16" spans="1:1" x14ac:dyDescent="0.2">
      <c r="A16" t="s">
        <v>807</v>
      </c>
    </row>
    <row r="17" spans="1:1" x14ac:dyDescent="0.2">
      <c r="A17" t="s">
        <v>803</v>
      </c>
    </row>
    <row r="18" spans="1:1" x14ac:dyDescent="0.2">
      <c r="A18" t="s">
        <v>796</v>
      </c>
    </row>
    <row r="19" spans="1:1" x14ac:dyDescent="0.2">
      <c r="A19" t="s">
        <v>816</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7">
    <tabColor theme="5" tint="-0.249977111117893"/>
  </sheetPr>
  <dimension ref="A1:A3"/>
  <sheetViews>
    <sheetView showGridLines="0" workbookViewId="0">
      <selection activeCell="A2" sqref="A2"/>
    </sheetView>
  </sheetViews>
  <sheetFormatPr baseColWidth="10" defaultColWidth="11.42578125" defaultRowHeight="12.75" x14ac:dyDescent="0.2"/>
  <cols>
    <col min="1" max="1" width="35" customWidth="1"/>
  </cols>
  <sheetData>
    <row r="1" spans="1:1" x14ac:dyDescent="0.2">
      <c r="A1" t="s">
        <v>234</v>
      </c>
    </row>
    <row r="2" spans="1:1" x14ac:dyDescent="0.2">
      <c r="A2" s="68" t="s">
        <v>1326</v>
      </c>
    </row>
    <row r="3" spans="1:1" x14ac:dyDescent="0.2">
      <c r="A3" t="s">
        <v>1324</v>
      </c>
    </row>
  </sheetData>
  <pageMargins left="0.7" right="0.7" top="0.75" bottom="0.75" header="0.3" footer="0.3"/>
  <pageSetup orientation="portrait" r:id="rId1"/>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rgb="FF009900"/>
  </sheetPr>
  <dimension ref="A1:BN38"/>
  <sheetViews>
    <sheetView showGridLines="0" workbookViewId="0">
      <selection activeCell="D9" sqref="D9"/>
    </sheetView>
  </sheetViews>
  <sheetFormatPr baseColWidth="10" defaultColWidth="11.42578125" defaultRowHeight="12.75" x14ac:dyDescent="0.2"/>
  <cols>
    <col min="1" max="57" width="11.42578125" style="68"/>
    <col min="58" max="58" width="16.42578125" customWidth="1"/>
    <col min="59" max="59" width="81.140625" customWidth="1"/>
    <col min="60" max="60" width="26.140625" customWidth="1"/>
    <col min="61" max="61" width="25" customWidth="1"/>
    <col min="62" max="62" width="10.28515625" style="68" customWidth="1"/>
    <col min="63" max="63" width="8" style="68" customWidth="1"/>
    <col min="64" max="64" width="8.42578125" style="68" customWidth="1"/>
    <col min="65" max="65" width="12.42578125" style="68" customWidth="1"/>
    <col min="66" max="66" width="10.28515625" style="68" customWidth="1"/>
    <col min="67" max="67" width="21.42578125" bestFit="1" customWidth="1"/>
    <col min="68" max="68" width="81.140625" bestFit="1" customWidth="1"/>
    <col min="69" max="69" width="63.140625" bestFit="1" customWidth="1"/>
    <col min="70" max="70" width="16.140625" bestFit="1" customWidth="1"/>
    <col min="71" max="71" width="16.7109375" bestFit="1" customWidth="1"/>
    <col min="72" max="72" width="14.7109375" bestFit="1" customWidth="1"/>
    <col min="73" max="73" width="26" customWidth="1"/>
    <col min="74" max="74" width="10.140625" customWidth="1"/>
    <col min="75" max="75" width="7.140625" customWidth="1"/>
  </cols>
  <sheetData>
    <row r="1" spans="1:66" x14ac:dyDescent="0.2">
      <c r="A1" s="68" t="s">
        <v>291</v>
      </c>
      <c r="B1" s="68" t="s">
        <v>292</v>
      </c>
      <c r="C1" s="68" t="s">
        <v>293</v>
      </c>
      <c r="D1" s="68" t="s">
        <v>294</v>
      </c>
      <c r="E1" s="68" t="s">
        <v>295</v>
      </c>
      <c r="F1" s="68" t="s">
        <v>296</v>
      </c>
      <c r="G1" s="68" t="s">
        <v>297</v>
      </c>
      <c r="H1" s="68" t="s">
        <v>298</v>
      </c>
      <c r="I1" s="68" t="s">
        <v>299</v>
      </c>
      <c r="J1" s="68" t="s">
        <v>300</v>
      </c>
      <c r="K1" s="68" t="s">
        <v>301</v>
      </c>
      <c r="L1" s="68" t="s">
        <v>302</v>
      </c>
      <c r="M1" s="68" t="s">
        <v>303</v>
      </c>
      <c r="N1" s="68" t="s">
        <v>304</v>
      </c>
      <c r="O1" s="68" t="s">
        <v>486</v>
      </c>
      <c r="P1" s="68" t="s">
        <v>305</v>
      </c>
      <c r="Q1" s="68" t="s">
        <v>306</v>
      </c>
      <c r="R1" s="68" t="s">
        <v>307</v>
      </c>
      <c r="S1" s="68" t="s">
        <v>308</v>
      </c>
      <c r="T1" s="68" t="s">
        <v>309</v>
      </c>
      <c r="U1" s="68" t="s">
        <v>310</v>
      </c>
      <c r="V1" s="68" t="s">
        <v>311</v>
      </c>
      <c r="W1" s="68" t="s">
        <v>312</v>
      </c>
      <c r="X1" s="68" t="s">
        <v>313</v>
      </c>
      <c r="Y1" s="68" t="s">
        <v>314</v>
      </c>
      <c r="Z1" s="68" t="s">
        <v>315</v>
      </c>
      <c r="AA1" s="68" t="s">
        <v>316</v>
      </c>
      <c r="AB1" s="68" t="s">
        <v>317</v>
      </c>
      <c r="AC1" s="68" t="s">
        <v>318</v>
      </c>
      <c r="AD1" s="68" t="s">
        <v>319</v>
      </c>
      <c r="AE1" s="68" t="s">
        <v>320</v>
      </c>
      <c r="AF1" s="68" t="s">
        <v>321</v>
      </c>
      <c r="AG1" s="68" t="s">
        <v>322</v>
      </c>
      <c r="AH1" s="68" t="s">
        <v>323</v>
      </c>
      <c r="AI1" s="68" t="s">
        <v>324</v>
      </c>
      <c r="AJ1" s="68" t="s">
        <v>325</v>
      </c>
      <c r="AK1" s="68" t="s">
        <v>326</v>
      </c>
      <c r="AL1" s="68" t="s">
        <v>327</v>
      </c>
      <c r="AM1" s="68" t="s">
        <v>328</v>
      </c>
      <c r="AN1" s="68" t="s">
        <v>329</v>
      </c>
      <c r="AO1" s="68" t="s">
        <v>330</v>
      </c>
      <c r="AP1" s="68" t="s">
        <v>331</v>
      </c>
      <c r="AQ1" s="68" t="s">
        <v>332</v>
      </c>
      <c r="AR1" s="68" t="s">
        <v>333</v>
      </c>
      <c r="AS1" s="68" t="s">
        <v>334</v>
      </c>
      <c r="AT1" s="68" t="s">
        <v>335</v>
      </c>
      <c r="AU1" s="68" t="s">
        <v>336</v>
      </c>
      <c r="AV1" s="68" t="s">
        <v>337</v>
      </c>
      <c r="AW1" s="68" t="s">
        <v>408</v>
      </c>
      <c r="AX1" s="1" t="s">
        <v>494</v>
      </c>
      <c r="AY1" s="1" t="s">
        <v>495</v>
      </c>
      <c r="AZ1" s="1" t="s">
        <v>496</v>
      </c>
      <c r="BA1" s="1" t="s">
        <v>497</v>
      </c>
      <c r="BB1" s="1" t="s">
        <v>498</v>
      </c>
      <c r="BC1" s="68" t="s">
        <v>338</v>
      </c>
      <c r="BD1" s="68" t="s">
        <v>339</v>
      </c>
      <c r="BE1"/>
      <c r="BJ1"/>
      <c r="BK1"/>
      <c r="BL1"/>
      <c r="BM1"/>
      <c r="BN1"/>
    </row>
    <row r="2" spans="1:66" x14ac:dyDescent="0.2">
      <c r="AU2" s="115"/>
      <c r="BA2" s="88"/>
      <c r="BB2" s="88"/>
      <c r="BC2" s="88"/>
      <c r="BE2"/>
      <c r="BJ2"/>
      <c r="BK2"/>
      <c r="BL2"/>
      <c r="BM2"/>
      <c r="BN2"/>
    </row>
    <row r="18" spans="60:60" x14ac:dyDescent="0.2">
      <c r="BH18" s="1"/>
    </row>
    <row r="38" spans="60:60" x14ac:dyDescent="0.2">
      <c r="BH38" s="1"/>
    </row>
  </sheetData>
  <pageMargins left="0.7" right="0.7" top="0.75" bottom="0.75" header="0.3" footer="0.3"/>
  <pageSetup orientation="portrait"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0">
    <tabColor rgb="FF009900"/>
  </sheetPr>
  <dimension ref="A1:U2034"/>
  <sheetViews>
    <sheetView zoomScaleNormal="100" workbookViewId="0"/>
  </sheetViews>
  <sheetFormatPr baseColWidth="10" defaultColWidth="11.42578125" defaultRowHeight="12.75" x14ac:dyDescent="0.2"/>
  <cols>
    <col min="2" max="2" width="23" customWidth="1"/>
  </cols>
  <sheetData>
    <row r="1" spans="1:21" x14ac:dyDescent="0.2">
      <c r="A1" s="68"/>
      <c r="B1" s="68"/>
      <c r="C1" s="68"/>
      <c r="D1" s="68"/>
      <c r="E1" s="68"/>
      <c r="F1" s="68"/>
      <c r="G1" s="68"/>
      <c r="H1" s="68"/>
      <c r="I1" s="68"/>
      <c r="J1" s="68"/>
      <c r="K1" s="68"/>
      <c r="L1" s="68"/>
      <c r="M1" s="68"/>
      <c r="N1" s="68"/>
      <c r="O1" s="68"/>
      <c r="P1" s="68"/>
      <c r="Q1" s="68"/>
      <c r="R1" s="68"/>
      <c r="S1" s="68"/>
      <c r="T1" s="68"/>
      <c r="U1" s="68"/>
    </row>
    <row r="2" spans="1:21" x14ac:dyDescent="0.2">
      <c r="A2" s="68"/>
      <c r="B2" s="68"/>
      <c r="C2" s="68"/>
      <c r="D2" s="68"/>
      <c r="E2" s="68"/>
      <c r="F2" s="68"/>
      <c r="G2" s="68"/>
      <c r="H2" s="68"/>
      <c r="I2" s="68"/>
      <c r="J2" s="68"/>
      <c r="K2" s="68"/>
      <c r="L2" s="68"/>
      <c r="M2" s="68"/>
      <c r="N2" s="68"/>
      <c r="O2" s="68"/>
      <c r="P2" s="68"/>
      <c r="Q2" s="68"/>
      <c r="R2" s="68"/>
      <c r="S2" s="68"/>
      <c r="T2" s="68"/>
      <c r="U2" s="68"/>
    </row>
    <row r="3" spans="1:21" x14ac:dyDescent="0.2">
      <c r="A3" s="68"/>
      <c r="B3" s="68"/>
      <c r="C3" s="68"/>
      <c r="D3" s="68"/>
      <c r="E3" s="68"/>
      <c r="F3" s="68"/>
      <c r="G3" s="68"/>
      <c r="H3" s="68"/>
      <c r="I3" s="68"/>
      <c r="J3" s="68"/>
      <c r="K3" s="68"/>
      <c r="L3" s="68"/>
      <c r="M3" s="68"/>
      <c r="N3" s="68"/>
      <c r="O3" s="68"/>
      <c r="P3" s="68"/>
      <c r="Q3" s="68"/>
      <c r="R3" s="68"/>
      <c r="S3" s="68"/>
      <c r="T3" s="68"/>
      <c r="U3" s="68"/>
    </row>
    <row r="4" spans="1:21" x14ac:dyDescent="0.2">
      <c r="A4" s="68"/>
      <c r="B4" s="68"/>
      <c r="C4" s="68"/>
      <c r="D4" s="68"/>
      <c r="E4" s="68"/>
      <c r="F4" s="68"/>
      <c r="G4" s="68"/>
      <c r="H4" s="68"/>
      <c r="I4" s="68"/>
      <c r="J4" s="68"/>
      <c r="K4" s="68"/>
      <c r="L4" s="68"/>
      <c r="M4" s="68"/>
      <c r="N4" s="68"/>
      <c r="O4" s="68"/>
      <c r="P4" s="68"/>
      <c r="Q4" s="68"/>
      <c r="R4" s="68"/>
      <c r="S4" s="68"/>
      <c r="T4" s="68"/>
      <c r="U4" s="68"/>
    </row>
    <row r="5" spans="1:21" x14ac:dyDescent="0.2">
      <c r="A5" s="68"/>
      <c r="B5" s="68"/>
      <c r="C5" s="68"/>
      <c r="D5" s="68"/>
      <c r="E5" s="68"/>
      <c r="F5" s="68"/>
      <c r="G5" s="68"/>
      <c r="H5" s="68"/>
      <c r="I5" s="68"/>
      <c r="J5" s="68"/>
      <c r="K5" s="68"/>
      <c r="L5" s="68"/>
      <c r="M5" s="68"/>
      <c r="N5" s="68"/>
      <c r="O5" s="68"/>
      <c r="P5" s="68"/>
      <c r="Q5" s="68"/>
      <c r="R5" s="68"/>
      <c r="S5" s="68"/>
      <c r="T5" s="68"/>
      <c r="U5" s="68"/>
    </row>
    <row r="6" spans="1:21" x14ac:dyDescent="0.2">
      <c r="A6" s="68"/>
      <c r="B6" s="68"/>
      <c r="C6" s="68"/>
      <c r="D6" s="68"/>
      <c r="E6" s="68"/>
      <c r="F6" s="68"/>
      <c r="G6" s="68"/>
      <c r="H6" s="68"/>
      <c r="I6" s="68"/>
      <c r="J6" s="68"/>
      <c r="K6" s="68"/>
      <c r="L6" s="68"/>
      <c r="M6" s="68"/>
      <c r="N6" s="68"/>
      <c r="O6" s="68"/>
      <c r="P6" s="68"/>
      <c r="Q6" s="68"/>
      <c r="R6" s="68"/>
      <c r="S6" s="68"/>
      <c r="T6" s="68"/>
      <c r="U6" s="68"/>
    </row>
    <row r="7" spans="1:21" x14ac:dyDescent="0.2">
      <c r="A7" s="68"/>
      <c r="B7" s="68"/>
      <c r="C7" s="68"/>
      <c r="D7" s="68"/>
      <c r="E7" s="68"/>
      <c r="F7" s="68"/>
      <c r="G7" s="68"/>
      <c r="H7" s="68"/>
      <c r="I7" s="68"/>
      <c r="J7" s="68"/>
      <c r="K7" s="68"/>
      <c r="L7" s="68"/>
      <c r="M7" s="68"/>
      <c r="N7" s="68"/>
      <c r="O7" s="68"/>
      <c r="P7" s="68"/>
      <c r="Q7" s="68"/>
      <c r="R7" s="68"/>
      <c r="S7" s="68"/>
      <c r="T7" s="68"/>
      <c r="U7" s="68"/>
    </row>
    <row r="8" spans="1:21" x14ac:dyDescent="0.2">
      <c r="A8" s="68"/>
      <c r="B8" s="68"/>
      <c r="C8" s="68"/>
      <c r="D8" s="68"/>
      <c r="E8" s="68"/>
      <c r="F8" s="68"/>
      <c r="G8" s="68"/>
      <c r="H8" s="68"/>
      <c r="I8" s="68"/>
      <c r="J8" s="68"/>
      <c r="K8" s="68"/>
      <c r="L8" s="68"/>
      <c r="M8" s="68"/>
      <c r="N8" s="68"/>
      <c r="O8" s="68"/>
      <c r="P8" s="68"/>
      <c r="Q8" s="68"/>
      <c r="R8" s="68"/>
      <c r="S8" s="68"/>
      <c r="T8" s="68"/>
      <c r="U8" s="68"/>
    </row>
    <row r="9" spans="1:21" x14ac:dyDescent="0.2">
      <c r="A9" s="68"/>
      <c r="B9" s="68"/>
      <c r="C9" s="68"/>
      <c r="D9" s="68"/>
      <c r="E9" s="68"/>
      <c r="F9" s="68"/>
      <c r="G9" s="68"/>
      <c r="H9" s="68"/>
      <c r="I9" s="68"/>
      <c r="J9" s="68"/>
      <c r="K9" s="68"/>
      <c r="L9" s="68"/>
      <c r="M9" s="68"/>
      <c r="N9" s="68"/>
      <c r="O9" s="68"/>
      <c r="P9" s="68"/>
      <c r="Q9" s="68"/>
      <c r="R9" s="68"/>
      <c r="S9" s="68"/>
      <c r="T9" s="68"/>
      <c r="U9" s="68"/>
    </row>
    <row r="10" spans="1:21" x14ac:dyDescent="0.2">
      <c r="A10" s="68"/>
      <c r="B10" s="68"/>
      <c r="C10" s="68"/>
      <c r="D10" s="68"/>
      <c r="E10" s="68"/>
      <c r="F10" s="68"/>
      <c r="G10" s="68"/>
      <c r="H10" s="68"/>
      <c r="I10" s="68"/>
      <c r="J10" s="68"/>
      <c r="K10" s="68"/>
      <c r="L10" s="68"/>
      <c r="M10" s="68"/>
      <c r="N10" s="68"/>
      <c r="O10" s="68"/>
      <c r="P10" s="68"/>
      <c r="Q10" s="68"/>
      <c r="R10" s="68"/>
      <c r="S10" s="68"/>
      <c r="T10" s="68"/>
      <c r="U10" s="68"/>
    </row>
    <row r="11" spans="1:21" x14ac:dyDescent="0.2">
      <c r="A11" s="68"/>
      <c r="B11" s="68"/>
      <c r="C11" s="68"/>
      <c r="D11" s="68"/>
      <c r="E11" s="68"/>
      <c r="F11" s="68"/>
      <c r="G11" s="68"/>
      <c r="H11" s="68"/>
      <c r="I11" s="68"/>
      <c r="J11" s="68"/>
      <c r="K11" s="68"/>
      <c r="L11" s="68"/>
      <c r="M11" s="68"/>
      <c r="N11" s="68"/>
      <c r="O11" s="68"/>
      <c r="P11" s="68"/>
      <c r="Q11" s="68"/>
      <c r="R11" s="68"/>
      <c r="S11" s="68"/>
      <c r="T11" s="68"/>
      <c r="U11" s="68"/>
    </row>
    <row r="12" spans="1:21" x14ac:dyDescent="0.2">
      <c r="A12" s="68"/>
      <c r="B12" s="68"/>
      <c r="C12" s="68"/>
      <c r="D12" s="68"/>
      <c r="E12" s="68"/>
      <c r="F12" s="68"/>
      <c r="G12" s="68"/>
      <c r="H12" s="68"/>
      <c r="I12" s="68"/>
      <c r="J12" s="68"/>
      <c r="K12" s="68"/>
      <c r="L12" s="68"/>
      <c r="M12" s="68"/>
      <c r="N12" s="68"/>
      <c r="O12" s="68"/>
      <c r="P12" s="68"/>
      <c r="Q12" s="68"/>
      <c r="R12" s="68"/>
      <c r="S12" s="68"/>
      <c r="T12" s="68"/>
      <c r="U12" s="68"/>
    </row>
    <row r="13" spans="1:21" x14ac:dyDescent="0.2">
      <c r="A13" s="68"/>
      <c r="B13" s="68"/>
      <c r="C13" s="68"/>
      <c r="D13" s="68"/>
      <c r="E13" s="68"/>
      <c r="F13" s="68"/>
      <c r="G13" s="68"/>
      <c r="H13" s="68"/>
      <c r="I13" s="68"/>
      <c r="J13" s="68"/>
      <c r="K13" s="68"/>
      <c r="L13" s="68"/>
      <c r="M13" s="68"/>
      <c r="N13" s="68"/>
      <c r="O13" s="68"/>
      <c r="P13" s="68"/>
      <c r="Q13" s="68"/>
      <c r="R13" s="68"/>
      <c r="S13" s="68"/>
      <c r="T13" s="68"/>
      <c r="U13" s="68"/>
    </row>
    <row r="14" spans="1:21" x14ac:dyDescent="0.2">
      <c r="A14" s="68"/>
      <c r="B14" s="68"/>
      <c r="C14" s="68"/>
      <c r="D14" s="68"/>
      <c r="E14" s="68"/>
      <c r="F14" s="68"/>
      <c r="G14" s="68"/>
      <c r="H14" s="68"/>
      <c r="I14" s="68"/>
      <c r="J14" s="68"/>
      <c r="K14" s="68"/>
      <c r="L14" s="68"/>
      <c r="M14" s="68"/>
      <c r="N14" s="68"/>
      <c r="O14" s="68"/>
      <c r="P14" s="68"/>
      <c r="Q14" s="68"/>
      <c r="R14" s="68"/>
      <c r="S14" s="68"/>
      <c r="T14" s="68"/>
      <c r="U14" s="68"/>
    </row>
    <row r="15" spans="1:21" x14ac:dyDescent="0.2">
      <c r="A15" s="68"/>
      <c r="B15" s="68"/>
      <c r="C15" s="68"/>
      <c r="D15" s="68"/>
      <c r="E15" s="68"/>
      <c r="F15" s="68"/>
      <c r="G15" s="68"/>
      <c r="H15" s="68"/>
      <c r="I15" s="68"/>
      <c r="J15" s="68"/>
      <c r="K15" s="68"/>
      <c r="L15" s="68"/>
      <c r="M15" s="68"/>
      <c r="N15" s="68"/>
      <c r="O15" s="68"/>
      <c r="P15" s="68"/>
      <c r="Q15" s="68"/>
      <c r="R15" s="68"/>
      <c r="S15" s="68"/>
      <c r="T15" s="68"/>
      <c r="U15" s="68"/>
    </row>
    <row r="16" spans="1:21" x14ac:dyDescent="0.2">
      <c r="A16" s="68"/>
      <c r="B16" s="68"/>
      <c r="C16" s="68"/>
      <c r="D16" s="68"/>
      <c r="E16" s="68"/>
      <c r="F16" s="68"/>
      <c r="G16" s="68"/>
      <c r="H16" s="68"/>
      <c r="I16" s="68"/>
      <c r="J16" s="68"/>
      <c r="K16" s="68"/>
      <c r="L16" s="68"/>
      <c r="M16" s="68"/>
      <c r="N16" s="68"/>
      <c r="O16" s="68"/>
      <c r="P16" s="68"/>
      <c r="Q16" s="68"/>
      <c r="R16" s="68"/>
      <c r="S16" s="68"/>
      <c r="T16" s="68"/>
      <c r="U16" s="68"/>
    </row>
    <row r="17" spans="1:18" x14ac:dyDescent="0.2">
      <c r="A17" s="68"/>
      <c r="B17" s="68"/>
      <c r="C17" s="68"/>
      <c r="D17" s="68"/>
      <c r="E17" s="68"/>
      <c r="F17" s="68"/>
      <c r="G17" s="68"/>
      <c r="H17" s="68"/>
      <c r="I17" s="68"/>
      <c r="J17" s="68"/>
      <c r="K17" s="68"/>
      <c r="L17" s="68"/>
      <c r="M17" s="68"/>
      <c r="N17" s="68"/>
      <c r="O17" s="68"/>
      <c r="P17" s="68"/>
      <c r="Q17" s="68"/>
      <c r="R17" s="68"/>
    </row>
    <row r="18" spans="1:18" x14ac:dyDescent="0.2">
      <c r="A18" s="68"/>
      <c r="B18" s="68"/>
      <c r="C18" s="68"/>
      <c r="D18" s="68"/>
      <c r="E18" s="68"/>
      <c r="F18" s="68"/>
      <c r="G18" s="68"/>
      <c r="H18" s="68"/>
      <c r="I18" s="68"/>
      <c r="J18" s="68"/>
      <c r="K18" s="68"/>
      <c r="L18" s="68"/>
      <c r="M18" s="68"/>
      <c r="N18" s="68"/>
      <c r="O18" s="68"/>
      <c r="P18" s="68"/>
      <c r="Q18" s="68"/>
      <c r="R18" s="68"/>
    </row>
    <row r="19" spans="1:18" x14ac:dyDescent="0.2">
      <c r="A19" s="68"/>
      <c r="B19" s="68"/>
      <c r="C19" s="68"/>
      <c r="D19" s="68"/>
      <c r="E19" s="68"/>
      <c r="F19" s="68"/>
      <c r="G19" s="68"/>
      <c r="H19" s="68"/>
      <c r="I19" s="68"/>
      <c r="J19" s="68"/>
      <c r="K19" s="68"/>
      <c r="L19" s="68"/>
      <c r="M19" s="68"/>
      <c r="N19" s="68"/>
      <c r="O19" s="68"/>
      <c r="P19" s="68"/>
      <c r="Q19" s="68"/>
      <c r="R19" s="68"/>
    </row>
    <row r="20" spans="1:18" x14ac:dyDescent="0.2">
      <c r="A20" s="68"/>
      <c r="B20" s="68"/>
      <c r="C20" s="68"/>
      <c r="D20" s="68"/>
      <c r="E20" s="68"/>
      <c r="F20" s="68"/>
      <c r="G20" s="68"/>
      <c r="H20" s="68"/>
      <c r="I20" s="68"/>
      <c r="J20" s="68"/>
      <c r="K20" s="68"/>
      <c r="L20" s="68"/>
      <c r="M20" s="68"/>
      <c r="N20" s="68"/>
      <c r="O20" s="68"/>
      <c r="P20" s="68"/>
      <c r="Q20" s="68"/>
      <c r="R20" s="68"/>
    </row>
    <row r="21" spans="1:18" x14ac:dyDescent="0.2">
      <c r="A21" s="68"/>
      <c r="B21" s="68"/>
      <c r="C21" s="68"/>
      <c r="D21" s="68"/>
      <c r="E21" s="68"/>
      <c r="F21" s="68"/>
      <c r="G21" s="68"/>
      <c r="H21" s="68"/>
      <c r="I21" s="68"/>
      <c r="J21" s="68"/>
      <c r="K21" s="68"/>
      <c r="L21" s="68"/>
      <c r="M21" s="68"/>
      <c r="N21" s="68"/>
      <c r="O21" s="68"/>
      <c r="P21" s="68"/>
      <c r="Q21" s="68"/>
      <c r="R21" s="68"/>
    </row>
    <row r="22" spans="1:18" x14ac:dyDescent="0.2">
      <c r="A22" s="68"/>
      <c r="B22" s="68"/>
      <c r="C22" s="68"/>
      <c r="D22" s="68"/>
      <c r="E22" s="68"/>
      <c r="F22" s="68"/>
      <c r="G22" s="68"/>
      <c r="H22" s="68"/>
      <c r="I22" s="68"/>
      <c r="J22" s="68"/>
      <c r="K22" s="68"/>
      <c r="L22" s="68"/>
      <c r="M22" s="68"/>
      <c r="N22" s="68"/>
      <c r="O22" s="68"/>
      <c r="P22" s="68"/>
      <c r="Q22" s="68"/>
      <c r="R22" s="68"/>
    </row>
    <row r="23" spans="1:18" x14ac:dyDescent="0.2">
      <c r="A23" s="68"/>
      <c r="B23" s="68"/>
      <c r="C23" s="68"/>
      <c r="D23" s="68"/>
      <c r="E23" s="68"/>
      <c r="F23" s="68"/>
      <c r="G23" s="68"/>
      <c r="H23" s="68"/>
      <c r="I23" s="68"/>
      <c r="J23" s="68"/>
      <c r="K23" s="68"/>
      <c r="L23" s="68"/>
      <c r="M23" s="68"/>
      <c r="N23" s="68"/>
      <c r="O23" s="68"/>
      <c r="P23" s="68"/>
      <c r="Q23" s="68"/>
      <c r="R23" s="68"/>
    </row>
    <row r="24" spans="1:18" x14ac:dyDescent="0.2">
      <c r="A24" s="68"/>
      <c r="B24" s="68"/>
      <c r="C24" s="68"/>
      <c r="D24" s="68"/>
      <c r="E24" s="68"/>
      <c r="F24" s="68"/>
      <c r="G24" s="68"/>
      <c r="H24" s="68"/>
      <c r="I24" s="68"/>
      <c r="J24" s="68"/>
      <c r="K24" s="68"/>
      <c r="L24" s="68"/>
      <c r="M24" s="68"/>
      <c r="N24" s="68"/>
      <c r="O24" s="68"/>
      <c r="P24" s="68"/>
      <c r="Q24" s="68"/>
      <c r="R24" s="68"/>
    </row>
    <row r="25" spans="1:18" x14ac:dyDescent="0.2">
      <c r="A25" s="68"/>
      <c r="B25" s="68"/>
      <c r="C25" s="68"/>
      <c r="D25" s="68"/>
      <c r="E25" s="68"/>
      <c r="F25" s="68"/>
      <c r="G25" s="68"/>
      <c r="H25" s="68"/>
      <c r="I25" s="68"/>
      <c r="J25" s="68"/>
      <c r="K25" s="68"/>
      <c r="L25" s="68"/>
      <c r="M25" s="68"/>
      <c r="N25" s="68"/>
      <c r="O25" s="68"/>
      <c r="P25" s="68"/>
      <c r="Q25" s="68"/>
      <c r="R25" s="68"/>
    </row>
    <row r="26" spans="1:18" x14ac:dyDescent="0.2">
      <c r="A26" s="68"/>
      <c r="B26" s="68"/>
      <c r="C26" s="68"/>
      <c r="D26" s="68"/>
      <c r="E26" s="68"/>
      <c r="F26" s="68"/>
      <c r="G26" s="68"/>
      <c r="H26" s="68"/>
      <c r="I26" s="68"/>
      <c r="J26" s="68"/>
      <c r="K26" s="68"/>
      <c r="L26" s="68"/>
      <c r="M26" s="68"/>
      <c r="N26" s="68"/>
      <c r="O26" s="68"/>
      <c r="P26" s="68"/>
      <c r="Q26" s="68"/>
      <c r="R26" s="68"/>
    </row>
    <row r="27" spans="1:18" x14ac:dyDescent="0.2">
      <c r="A27" s="68"/>
      <c r="B27" s="68"/>
      <c r="C27" s="68"/>
      <c r="D27" s="68"/>
      <c r="E27" s="68"/>
      <c r="F27" s="68"/>
      <c r="G27" s="68"/>
      <c r="H27" s="68"/>
      <c r="I27" s="68"/>
      <c r="J27" s="68"/>
      <c r="K27" s="68"/>
      <c r="L27" s="68"/>
      <c r="M27" s="68"/>
      <c r="N27" s="68"/>
      <c r="O27" s="68"/>
      <c r="P27" s="68"/>
      <c r="Q27" s="68"/>
      <c r="R27" s="68"/>
    </row>
    <row r="28" spans="1:18" x14ac:dyDescent="0.2">
      <c r="A28" s="68"/>
      <c r="B28" s="68"/>
      <c r="C28" s="68"/>
      <c r="D28" s="68"/>
      <c r="E28" s="68"/>
      <c r="F28" s="68"/>
      <c r="G28" s="68"/>
      <c r="H28" s="68"/>
      <c r="I28" s="68"/>
      <c r="J28" s="68"/>
      <c r="K28" s="68"/>
      <c r="L28" s="68"/>
      <c r="M28" s="68"/>
      <c r="N28" s="68"/>
      <c r="O28" s="68"/>
      <c r="P28" s="68"/>
      <c r="Q28" s="68"/>
      <c r="R28" s="68"/>
    </row>
    <row r="29" spans="1:18" x14ac:dyDescent="0.2">
      <c r="A29" s="68"/>
      <c r="B29" s="68"/>
      <c r="C29" s="68"/>
      <c r="D29" s="68"/>
      <c r="E29" s="68"/>
      <c r="F29" s="68"/>
      <c r="G29" s="68"/>
      <c r="H29" s="68"/>
      <c r="I29" s="68"/>
      <c r="J29" s="68"/>
      <c r="K29" s="68"/>
      <c r="L29" s="68"/>
      <c r="M29" s="68"/>
      <c r="N29" s="68"/>
      <c r="O29" s="68"/>
      <c r="P29" s="68"/>
      <c r="Q29" s="68"/>
      <c r="R29" s="68"/>
    </row>
    <row r="30" spans="1:18" x14ac:dyDescent="0.2">
      <c r="A30" s="68"/>
      <c r="B30" s="68"/>
      <c r="C30" s="68"/>
      <c r="D30" s="68"/>
      <c r="E30" s="68"/>
      <c r="F30" s="68"/>
      <c r="G30" s="68"/>
      <c r="H30" s="68"/>
      <c r="I30" s="68"/>
      <c r="J30" s="68"/>
      <c r="K30" s="68"/>
      <c r="L30" s="68"/>
      <c r="M30" s="68"/>
      <c r="N30" s="68"/>
      <c r="O30" s="68"/>
      <c r="P30" s="68"/>
      <c r="Q30" s="68"/>
      <c r="R30" s="68"/>
    </row>
    <row r="31" spans="1:18" x14ac:dyDescent="0.2">
      <c r="A31" s="68"/>
      <c r="B31" s="68"/>
      <c r="C31" s="68"/>
      <c r="D31" s="68"/>
      <c r="E31" s="68"/>
      <c r="F31" s="68"/>
      <c r="G31" s="68"/>
      <c r="H31" s="68"/>
      <c r="I31" s="68"/>
      <c r="J31" s="68"/>
      <c r="K31" s="68"/>
      <c r="L31" s="68"/>
      <c r="M31" s="68"/>
      <c r="N31" s="68"/>
      <c r="O31" s="68"/>
      <c r="P31" s="68"/>
      <c r="Q31" s="68"/>
      <c r="R31" s="68"/>
    </row>
    <row r="32" spans="1:18" x14ac:dyDescent="0.2">
      <c r="A32" s="68"/>
      <c r="B32" s="68"/>
      <c r="C32" s="68"/>
      <c r="D32" s="68"/>
      <c r="E32" s="68"/>
      <c r="F32" s="68"/>
      <c r="G32" s="68"/>
      <c r="H32" s="68"/>
      <c r="I32" s="68"/>
      <c r="J32" s="68"/>
      <c r="K32" s="68"/>
      <c r="L32" s="68"/>
      <c r="M32" s="68"/>
      <c r="N32" s="68"/>
      <c r="O32" s="68"/>
      <c r="P32" s="68"/>
      <c r="Q32" s="68"/>
      <c r="R32" s="68"/>
    </row>
    <row r="33" spans="1:18" x14ac:dyDescent="0.2">
      <c r="A33" s="68"/>
      <c r="B33" s="68"/>
      <c r="C33" s="68"/>
      <c r="D33" s="68"/>
      <c r="E33" s="68"/>
      <c r="F33" s="68"/>
      <c r="G33" s="68"/>
      <c r="H33" s="68"/>
      <c r="I33" s="68"/>
      <c r="J33" s="68"/>
      <c r="K33" s="68"/>
      <c r="L33" s="68"/>
      <c r="M33" s="68"/>
      <c r="N33" s="68"/>
      <c r="O33" s="68"/>
      <c r="P33" s="68"/>
      <c r="Q33" s="68"/>
      <c r="R33" s="68"/>
    </row>
    <row r="34" spans="1:18" x14ac:dyDescent="0.2">
      <c r="A34" s="68"/>
      <c r="B34" s="68"/>
      <c r="C34" s="68"/>
      <c r="D34" s="68"/>
      <c r="E34" s="68"/>
      <c r="F34" s="68"/>
      <c r="G34" s="68"/>
      <c r="H34" s="68"/>
      <c r="I34" s="68"/>
      <c r="J34" s="68"/>
      <c r="K34" s="68"/>
      <c r="L34" s="68"/>
      <c r="M34" s="68"/>
      <c r="N34" s="68"/>
      <c r="O34" s="68"/>
      <c r="P34" s="68"/>
      <c r="Q34" s="68"/>
      <c r="R34" s="68"/>
    </row>
    <row r="35" spans="1:18" x14ac:dyDescent="0.2">
      <c r="A35" s="68"/>
      <c r="B35" s="68"/>
      <c r="C35" s="68"/>
      <c r="D35" s="68"/>
      <c r="E35" s="68"/>
      <c r="F35" s="68"/>
      <c r="G35" s="68"/>
      <c r="H35" s="68"/>
      <c r="I35" s="68"/>
      <c r="J35" s="68"/>
      <c r="K35" s="68"/>
      <c r="L35" s="68"/>
      <c r="M35" s="68"/>
      <c r="N35" s="68"/>
      <c r="O35" s="68"/>
      <c r="P35" s="68"/>
      <c r="Q35" s="68"/>
      <c r="R35" s="68"/>
    </row>
    <row r="36" spans="1:18" x14ac:dyDescent="0.2">
      <c r="A36" s="68"/>
      <c r="B36" s="68"/>
      <c r="C36" s="68"/>
      <c r="D36" s="68"/>
      <c r="E36" s="68"/>
      <c r="F36" s="68"/>
      <c r="G36" s="68"/>
      <c r="H36" s="68"/>
      <c r="I36" s="68"/>
      <c r="J36" s="68"/>
      <c r="K36" s="68"/>
      <c r="L36" s="68"/>
      <c r="M36" s="68"/>
      <c r="N36" s="68"/>
      <c r="O36" s="68"/>
      <c r="P36" s="68"/>
      <c r="Q36" s="68"/>
      <c r="R36" s="68"/>
    </row>
    <row r="37" spans="1:18" x14ac:dyDescent="0.2">
      <c r="A37" s="68"/>
      <c r="B37" s="68"/>
      <c r="C37" s="68"/>
      <c r="D37" s="68"/>
      <c r="E37" s="68"/>
      <c r="F37" s="68"/>
      <c r="G37" s="68"/>
      <c r="H37" s="68"/>
      <c r="I37" s="68"/>
      <c r="J37" s="68"/>
      <c r="K37" s="68"/>
      <c r="L37" s="68"/>
      <c r="M37" s="68"/>
      <c r="N37" s="68"/>
      <c r="O37" s="68"/>
      <c r="P37" s="68"/>
      <c r="Q37" s="68"/>
      <c r="R37" s="68"/>
    </row>
    <row r="38" spans="1:18" x14ac:dyDescent="0.2">
      <c r="A38" s="68"/>
      <c r="B38" s="68"/>
      <c r="C38" s="68"/>
      <c r="D38" s="68"/>
      <c r="E38" s="68"/>
      <c r="F38" s="68"/>
      <c r="G38" s="68"/>
      <c r="H38" s="68"/>
      <c r="I38" s="68"/>
      <c r="J38" s="68"/>
      <c r="K38" s="68"/>
      <c r="L38" s="68"/>
      <c r="M38" s="68"/>
      <c r="N38" s="68"/>
      <c r="O38" s="68"/>
      <c r="P38" s="68"/>
      <c r="Q38" s="68"/>
      <c r="R38" s="68"/>
    </row>
    <row r="39" spans="1:18" x14ac:dyDescent="0.2">
      <c r="A39" s="68"/>
      <c r="B39" s="68"/>
      <c r="C39" s="68"/>
      <c r="D39" s="68"/>
      <c r="E39" s="68"/>
      <c r="F39" s="68"/>
      <c r="G39" s="68"/>
      <c r="H39" s="68"/>
      <c r="I39" s="68"/>
      <c r="J39" s="68"/>
      <c r="K39" s="68"/>
      <c r="L39" s="68"/>
      <c r="M39" s="68"/>
      <c r="N39" s="68"/>
      <c r="O39" s="68"/>
      <c r="P39" s="68"/>
      <c r="Q39" s="68"/>
      <c r="R39" s="68"/>
    </row>
    <row r="40" spans="1:18" x14ac:dyDescent="0.2">
      <c r="A40" s="68"/>
      <c r="B40" s="68"/>
      <c r="C40" s="68"/>
      <c r="D40" s="68"/>
      <c r="E40" s="68"/>
      <c r="F40" s="68"/>
      <c r="G40" s="68"/>
      <c r="H40" s="68"/>
      <c r="I40" s="68"/>
      <c r="J40" s="68"/>
      <c r="K40" s="68"/>
      <c r="L40" s="68"/>
      <c r="M40" s="68"/>
      <c r="N40" s="68"/>
      <c r="O40" s="68"/>
      <c r="P40" s="68"/>
      <c r="Q40" s="68"/>
      <c r="R40" s="68"/>
    </row>
    <row r="41" spans="1:18" x14ac:dyDescent="0.2">
      <c r="A41" s="68"/>
      <c r="B41" s="68"/>
      <c r="C41" s="68"/>
      <c r="D41" s="68"/>
      <c r="E41" s="68"/>
      <c r="F41" s="68"/>
      <c r="G41" s="68"/>
      <c r="H41" s="68"/>
      <c r="I41" s="68"/>
      <c r="J41" s="68"/>
      <c r="K41" s="68"/>
      <c r="L41" s="68"/>
      <c r="M41" s="68"/>
      <c r="N41" s="68"/>
      <c r="O41" s="68"/>
      <c r="P41" s="68"/>
      <c r="Q41" s="68"/>
      <c r="R41" s="68"/>
    </row>
    <row r="42" spans="1:18" x14ac:dyDescent="0.2">
      <c r="A42" s="68"/>
      <c r="B42" s="68"/>
      <c r="C42" s="68"/>
      <c r="D42" s="68"/>
      <c r="E42" s="68"/>
      <c r="F42" s="68"/>
      <c r="G42" s="68"/>
      <c r="H42" s="68"/>
      <c r="I42" s="68"/>
      <c r="J42" s="68"/>
      <c r="K42" s="68"/>
      <c r="L42" s="68"/>
      <c r="M42" s="68"/>
      <c r="N42" s="68"/>
      <c r="O42" s="68"/>
      <c r="P42" s="68"/>
      <c r="Q42" s="68"/>
      <c r="R42" s="68"/>
    </row>
    <row r="43" spans="1:18" x14ac:dyDescent="0.2">
      <c r="A43" s="68"/>
      <c r="B43" s="68"/>
      <c r="C43" s="68"/>
      <c r="D43" s="68"/>
      <c r="E43" s="68"/>
      <c r="F43" s="68"/>
      <c r="G43" s="68"/>
      <c r="H43" s="68"/>
      <c r="I43" s="68"/>
      <c r="J43" s="68"/>
      <c r="K43" s="68"/>
      <c r="L43" s="68"/>
      <c r="M43" s="68"/>
      <c r="N43" s="68"/>
      <c r="O43" s="68"/>
      <c r="P43" s="68"/>
      <c r="Q43" s="68"/>
      <c r="R43" s="68"/>
    </row>
    <row r="44" spans="1:18" x14ac:dyDescent="0.2">
      <c r="A44" s="68"/>
      <c r="B44" s="68"/>
      <c r="C44" s="68"/>
      <c r="D44" s="68"/>
      <c r="E44" s="68"/>
      <c r="F44" s="68"/>
      <c r="G44" s="68"/>
      <c r="H44" s="68"/>
      <c r="I44" s="68"/>
      <c r="J44" s="68"/>
      <c r="K44" s="68"/>
      <c r="L44" s="68"/>
      <c r="M44" s="68"/>
      <c r="N44" s="68"/>
      <c r="O44" s="68"/>
      <c r="P44" s="68"/>
      <c r="Q44" s="68"/>
      <c r="R44" s="68"/>
    </row>
    <row r="45" spans="1:18" x14ac:dyDescent="0.2">
      <c r="A45" s="68"/>
      <c r="B45" s="68"/>
      <c r="C45" s="68"/>
      <c r="D45" s="68"/>
      <c r="E45" s="68"/>
      <c r="F45" s="68"/>
      <c r="G45" s="68"/>
      <c r="H45" s="68"/>
      <c r="I45" s="68"/>
      <c r="J45" s="68"/>
      <c r="K45" s="68"/>
      <c r="L45" s="68"/>
      <c r="M45" s="68"/>
      <c r="N45" s="68"/>
      <c r="O45" s="68"/>
      <c r="P45" s="68"/>
      <c r="Q45" s="68"/>
      <c r="R45" s="68"/>
    </row>
    <row r="46" spans="1:18" x14ac:dyDescent="0.2">
      <c r="A46" s="68"/>
      <c r="B46" s="68"/>
      <c r="C46" s="68"/>
      <c r="D46" s="68"/>
      <c r="E46" s="68"/>
      <c r="F46" s="68"/>
      <c r="G46" s="68"/>
      <c r="H46" s="68"/>
      <c r="I46" s="68"/>
      <c r="J46" s="68"/>
      <c r="K46" s="68"/>
      <c r="L46" s="68"/>
      <c r="M46" s="68"/>
      <c r="N46" s="68"/>
      <c r="O46" s="68"/>
      <c r="P46" s="68"/>
      <c r="Q46" s="68"/>
      <c r="R46" s="68"/>
    </row>
    <row r="47" spans="1:18" x14ac:dyDescent="0.2">
      <c r="A47" s="68"/>
      <c r="B47" s="68"/>
      <c r="C47" s="68"/>
      <c r="D47" s="68"/>
      <c r="E47" s="68"/>
      <c r="F47" s="68"/>
      <c r="G47" s="68"/>
      <c r="H47" s="68"/>
      <c r="I47" s="68"/>
      <c r="J47" s="68"/>
      <c r="K47" s="68"/>
      <c r="L47" s="68"/>
      <c r="M47" s="68"/>
      <c r="N47" s="68"/>
      <c r="O47" s="68"/>
      <c r="P47" s="68"/>
      <c r="Q47" s="68"/>
      <c r="R47" s="68"/>
    </row>
    <row r="48" spans="1:18" x14ac:dyDescent="0.2">
      <c r="A48" s="68"/>
      <c r="B48" s="68"/>
      <c r="C48" s="68"/>
      <c r="D48" s="68"/>
      <c r="E48" s="68"/>
      <c r="F48" s="68"/>
      <c r="G48" s="68"/>
      <c r="H48" s="68"/>
      <c r="I48" s="68"/>
      <c r="J48" s="68"/>
      <c r="K48" s="68"/>
      <c r="L48" s="68"/>
      <c r="M48" s="68"/>
      <c r="N48" s="68"/>
      <c r="O48" s="68"/>
      <c r="P48" s="68"/>
      <c r="Q48" s="68"/>
      <c r="R48" s="68"/>
    </row>
    <row r="49" spans="1:15" x14ac:dyDescent="0.2">
      <c r="A49" s="68"/>
      <c r="B49" s="68"/>
      <c r="C49" s="68"/>
      <c r="D49" s="68"/>
      <c r="E49" s="68"/>
      <c r="F49" s="68"/>
      <c r="G49" s="68"/>
      <c r="H49" s="68"/>
      <c r="I49" s="68"/>
      <c r="J49" s="68"/>
      <c r="K49" s="68"/>
      <c r="L49" s="68"/>
      <c r="M49" s="68"/>
      <c r="N49" s="68"/>
      <c r="O49" s="68"/>
    </row>
    <row r="50" spans="1:15" x14ac:dyDescent="0.2">
      <c r="A50" s="68"/>
      <c r="B50" s="68"/>
      <c r="C50" s="68"/>
      <c r="D50" s="68"/>
      <c r="E50" s="68"/>
      <c r="F50" s="68"/>
      <c r="G50" s="68"/>
      <c r="H50" s="68"/>
      <c r="I50" s="68"/>
      <c r="J50" s="68"/>
      <c r="K50" s="68"/>
      <c r="L50" s="68"/>
      <c r="M50" s="68"/>
      <c r="N50" s="68"/>
      <c r="O50" s="68"/>
    </row>
    <row r="51" spans="1:15" x14ac:dyDescent="0.2">
      <c r="A51" s="68"/>
      <c r="B51" s="68"/>
      <c r="C51" s="68"/>
      <c r="D51" s="68"/>
      <c r="E51" s="68"/>
      <c r="F51" s="68"/>
      <c r="G51" s="68"/>
      <c r="H51" s="68"/>
      <c r="I51" s="68"/>
      <c r="J51" s="68"/>
      <c r="K51" s="68"/>
      <c r="L51" s="68"/>
      <c r="M51" s="68"/>
      <c r="N51" s="68"/>
      <c r="O51" s="68"/>
    </row>
    <row r="52" spans="1:15" x14ac:dyDescent="0.2">
      <c r="A52" s="68"/>
      <c r="B52" s="68"/>
      <c r="C52" s="68"/>
      <c r="D52" s="68"/>
      <c r="E52" s="68"/>
      <c r="F52" s="68"/>
      <c r="G52" s="68"/>
      <c r="H52" s="68"/>
      <c r="I52" s="68"/>
      <c r="J52" s="68"/>
      <c r="K52" s="68"/>
      <c r="L52" s="68"/>
      <c r="M52" s="68"/>
      <c r="N52" s="68"/>
      <c r="O52" s="68"/>
    </row>
    <row r="53" spans="1:15" x14ac:dyDescent="0.2">
      <c r="A53" s="68"/>
      <c r="B53" s="68"/>
      <c r="C53" s="68"/>
      <c r="D53" s="68"/>
      <c r="E53" s="68"/>
      <c r="F53" s="68"/>
      <c r="G53" s="68"/>
      <c r="H53" s="68"/>
      <c r="I53" s="68"/>
      <c r="J53" s="68"/>
      <c r="K53" s="68"/>
      <c r="L53" s="68"/>
      <c r="M53" s="68"/>
      <c r="N53" s="68"/>
      <c r="O53" s="68"/>
    </row>
    <row r="54" spans="1:15" x14ac:dyDescent="0.2">
      <c r="A54" s="68"/>
      <c r="B54" s="68"/>
      <c r="C54" s="68"/>
      <c r="D54" s="68"/>
      <c r="E54" s="68"/>
      <c r="F54" s="68"/>
      <c r="G54" s="68"/>
      <c r="H54" s="68"/>
      <c r="I54" s="68"/>
      <c r="J54" s="68"/>
      <c r="K54" s="68"/>
      <c r="L54" s="68"/>
      <c r="M54" s="68"/>
      <c r="N54" s="68"/>
      <c r="O54" s="68"/>
    </row>
    <row r="55" spans="1:15" x14ac:dyDescent="0.2">
      <c r="A55" s="68"/>
      <c r="B55" s="68"/>
      <c r="C55" s="68"/>
      <c r="D55" s="68"/>
      <c r="E55" s="68"/>
      <c r="F55" s="68"/>
      <c r="G55" s="68"/>
      <c r="H55" s="68"/>
      <c r="I55" s="68"/>
      <c r="J55" s="68"/>
      <c r="K55" s="68"/>
      <c r="L55" s="68"/>
      <c r="M55" s="68"/>
      <c r="N55" s="68"/>
      <c r="O55" s="68"/>
    </row>
    <row r="56" spans="1:15" x14ac:dyDescent="0.2">
      <c r="A56" s="68"/>
      <c r="B56" s="68"/>
      <c r="C56" s="68"/>
      <c r="D56" s="68"/>
      <c r="E56" s="68"/>
      <c r="F56" s="68"/>
      <c r="G56" s="68"/>
      <c r="H56" s="68"/>
      <c r="I56" s="68"/>
      <c r="J56" s="68"/>
      <c r="K56" s="68"/>
      <c r="L56" s="68"/>
      <c r="M56" s="68"/>
      <c r="N56" s="68"/>
      <c r="O56" s="68"/>
    </row>
    <row r="57" spans="1:15" x14ac:dyDescent="0.2">
      <c r="A57" s="68"/>
      <c r="B57" s="68"/>
      <c r="C57" s="68"/>
      <c r="D57" s="68"/>
      <c r="E57" s="68"/>
      <c r="F57" s="68"/>
      <c r="G57" s="68"/>
      <c r="H57" s="68"/>
      <c r="I57" s="68"/>
      <c r="J57" s="68"/>
      <c r="K57" s="68"/>
      <c r="L57" s="68"/>
      <c r="M57" s="68"/>
      <c r="N57" s="68"/>
      <c r="O57" s="68"/>
    </row>
    <row r="58" spans="1:15" x14ac:dyDescent="0.2">
      <c r="A58" s="68"/>
      <c r="B58" s="68"/>
      <c r="C58" s="68"/>
      <c r="D58" s="68"/>
      <c r="E58" s="68"/>
      <c r="F58" s="68"/>
      <c r="G58" s="68"/>
      <c r="H58" s="68"/>
      <c r="I58" s="68"/>
      <c r="J58" s="68"/>
      <c r="K58" s="68"/>
      <c r="L58" s="68"/>
      <c r="M58" s="68"/>
      <c r="N58" s="68"/>
      <c r="O58" s="68"/>
    </row>
    <row r="59" spans="1:15" x14ac:dyDescent="0.2">
      <c r="A59" s="68"/>
      <c r="B59" s="68"/>
      <c r="C59" s="68"/>
      <c r="D59" s="68"/>
      <c r="E59" s="68"/>
      <c r="F59" s="68"/>
      <c r="G59" s="68"/>
      <c r="H59" s="68"/>
      <c r="I59" s="68"/>
      <c r="J59" s="68"/>
      <c r="K59" s="68"/>
      <c r="L59" s="68"/>
      <c r="M59" s="68"/>
      <c r="N59" s="68"/>
      <c r="O59" s="68"/>
    </row>
    <row r="60" spans="1:15" x14ac:dyDescent="0.2">
      <c r="A60" s="68"/>
      <c r="B60" s="68"/>
      <c r="C60" s="68"/>
      <c r="D60" s="68"/>
      <c r="E60" s="68"/>
      <c r="F60" s="68"/>
      <c r="G60" s="68"/>
      <c r="H60" s="68"/>
      <c r="I60" s="68"/>
      <c r="J60" s="68"/>
      <c r="K60" s="68"/>
      <c r="L60" s="68"/>
      <c r="M60" s="68"/>
      <c r="N60" s="68"/>
      <c r="O60" s="68"/>
    </row>
    <row r="61" spans="1:15" x14ac:dyDescent="0.2">
      <c r="A61" s="68"/>
      <c r="B61" s="68"/>
      <c r="C61" s="68"/>
      <c r="D61" s="68"/>
      <c r="E61" s="68"/>
      <c r="F61" s="68"/>
      <c r="G61" s="68"/>
      <c r="H61" s="68"/>
      <c r="I61" s="68"/>
      <c r="J61" s="68"/>
      <c r="K61" s="68"/>
      <c r="L61" s="68"/>
      <c r="M61" s="68"/>
      <c r="N61" s="68"/>
      <c r="O61" s="68"/>
    </row>
    <row r="62" spans="1:15" x14ac:dyDescent="0.2">
      <c r="A62" s="68"/>
      <c r="B62" s="68"/>
      <c r="C62" s="68"/>
      <c r="D62" s="68"/>
      <c r="E62" s="68"/>
      <c r="F62" s="68"/>
      <c r="G62" s="68"/>
      <c r="H62" s="68"/>
      <c r="I62" s="68"/>
      <c r="J62" s="68"/>
      <c r="K62" s="68"/>
      <c r="L62" s="68"/>
      <c r="M62" s="68"/>
      <c r="N62" s="68"/>
      <c r="O62" s="68"/>
    </row>
    <row r="63" spans="1:15" x14ac:dyDescent="0.2">
      <c r="A63" s="68"/>
      <c r="B63" s="68"/>
      <c r="C63" s="68"/>
      <c r="D63" s="68"/>
      <c r="E63" s="68"/>
      <c r="F63" s="68"/>
      <c r="G63" s="68"/>
      <c r="H63" s="68"/>
      <c r="I63" s="68"/>
      <c r="J63" s="68"/>
      <c r="K63" s="68"/>
      <c r="L63" s="68"/>
      <c r="M63" s="68"/>
      <c r="N63" s="68"/>
      <c r="O63" s="68"/>
    </row>
    <row r="64" spans="1:15" x14ac:dyDescent="0.2">
      <c r="A64" s="68"/>
      <c r="B64" s="68"/>
      <c r="C64" s="68"/>
      <c r="D64" s="68"/>
      <c r="E64" s="68"/>
      <c r="F64" s="68"/>
      <c r="G64" s="68"/>
      <c r="H64" s="68"/>
      <c r="I64" s="68"/>
      <c r="J64" s="68"/>
      <c r="K64" s="68"/>
      <c r="L64" s="68"/>
      <c r="M64" s="68"/>
      <c r="N64" s="68"/>
      <c r="O64" s="68"/>
    </row>
    <row r="65" spans="1:15" x14ac:dyDescent="0.2">
      <c r="A65" s="68"/>
      <c r="B65" s="68"/>
      <c r="C65" s="68"/>
      <c r="D65" s="68"/>
      <c r="E65" s="68"/>
      <c r="F65" s="68"/>
      <c r="G65" s="68"/>
      <c r="H65" s="68"/>
      <c r="I65" s="68"/>
      <c r="J65" s="68"/>
      <c r="K65" s="68"/>
      <c r="L65" s="68"/>
      <c r="M65" s="68"/>
      <c r="N65" s="68"/>
      <c r="O65" s="68"/>
    </row>
    <row r="66" spans="1:15" x14ac:dyDescent="0.2">
      <c r="A66" s="68"/>
      <c r="B66" s="68"/>
      <c r="C66" s="68"/>
      <c r="D66" s="68"/>
      <c r="E66" s="68"/>
      <c r="F66" s="68"/>
      <c r="G66" s="68"/>
      <c r="H66" s="68"/>
      <c r="I66" s="68"/>
      <c r="J66" s="68"/>
      <c r="K66" s="68"/>
      <c r="L66" s="68"/>
      <c r="M66" s="68"/>
      <c r="N66" s="68"/>
      <c r="O66" s="68"/>
    </row>
    <row r="67" spans="1:15" x14ac:dyDescent="0.2">
      <c r="A67" s="68"/>
      <c r="B67" s="68"/>
      <c r="C67" s="68"/>
      <c r="D67" s="68"/>
      <c r="E67" s="68"/>
      <c r="F67" s="68"/>
      <c r="G67" s="68"/>
      <c r="H67" s="68"/>
      <c r="I67" s="68"/>
      <c r="J67" s="68"/>
      <c r="K67" s="68"/>
      <c r="L67" s="68"/>
      <c r="M67" s="68"/>
      <c r="N67" s="68"/>
      <c r="O67" s="68"/>
    </row>
    <row r="68" spans="1:15" x14ac:dyDescent="0.2">
      <c r="A68" s="68"/>
      <c r="B68" s="68"/>
      <c r="C68" s="68"/>
      <c r="D68" s="68"/>
      <c r="E68" s="68"/>
      <c r="F68" s="68"/>
      <c r="G68" s="68"/>
      <c r="H68" s="68"/>
      <c r="I68" s="68"/>
      <c r="J68" s="68"/>
      <c r="K68" s="68"/>
      <c r="L68" s="68"/>
      <c r="M68" s="68"/>
      <c r="N68" s="68"/>
      <c r="O68" s="68"/>
    </row>
    <row r="69" spans="1:15" x14ac:dyDescent="0.2">
      <c r="A69" s="68"/>
      <c r="B69" s="68"/>
      <c r="C69" s="68"/>
      <c r="D69" s="68"/>
      <c r="E69" s="68"/>
      <c r="F69" s="68"/>
      <c r="G69" s="68"/>
      <c r="H69" s="68"/>
      <c r="I69" s="68"/>
      <c r="J69" s="68"/>
      <c r="K69" s="68"/>
      <c r="L69" s="68"/>
      <c r="M69" s="68"/>
      <c r="N69" s="68"/>
      <c r="O69" s="68"/>
    </row>
    <row r="70" spans="1:15" x14ac:dyDescent="0.2">
      <c r="A70" s="68"/>
      <c r="B70" s="68"/>
      <c r="C70" s="68"/>
      <c r="D70" s="68"/>
      <c r="E70" s="68"/>
      <c r="F70" s="68"/>
      <c r="G70" s="68"/>
      <c r="H70" s="68"/>
      <c r="I70" s="68"/>
      <c r="J70" s="68"/>
      <c r="K70" s="68"/>
      <c r="L70" s="68"/>
      <c r="M70" s="68"/>
      <c r="N70" s="68"/>
      <c r="O70" s="68"/>
    </row>
    <row r="71" spans="1:15" x14ac:dyDescent="0.2">
      <c r="A71" s="68"/>
      <c r="B71" s="68"/>
      <c r="C71" s="68"/>
      <c r="D71" s="68"/>
      <c r="E71" s="68"/>
      <c r="F71" s="68"/>
      <c r="G71" s="68"/>
      <c r="H71" s="68"/>
      <c r="I71" s="68"/>
      <c r="J71" s="68"/>
      <c r="K71" s="68"/>
      <c r="L71" s="68"/>
      <c r="M71" s="68"/>
      <c r="N71" s="68"/>
      <c r="O71" s="68"/>
    </row>
    <row r="72" spans="1:15" x14ac:dyDescent="0.2">
      <c r="A72" s="68"/>
      <c r="B72" s="68"/>
      <c r="C72" s="68"/>
      <c r="D72" s="68"/>
      <c r="E72" s="68"/>
      <c r="F72" s="68"/>
      <c r="G72" s="68"/>
      <c r="H72" s="68"/>
      <c r="I72" s="68"/>
      <c r="J72" s="68"/>
      <c r="K72" s="68"/>
      <c r="L72" s="68"/>
      <c r="M72" s="68"/>
      <c r="N72" s="68"/>
      <c r="O72" s="68"/>
    </row>
    <row r="73" spans="1:15" x14ac:dyDescent="0.2">
      <c r="A73" s="68"/>
      <c r="B73" s="68"/>
      <c r="C73" s="68"/>
      <c r="D73" s="68"/>
      <c r="E73" s="68"/>
      <c r="F73" s="68"/>
      <c r="G73" s="68"/>
      <c r="H73" s="68"/>
      <c r="I73" s="68"/>
      <c r="J73" s="68"/>
      <c r="K73" s="68"/>
      <c r="L73" s="68"/>
      <c r="M73" s="68"/>
      <c r="N73" s="68"/>
      <c r="O73" s="68"/>
    </row>
    <row r="74" spans="1:15" x14ac:dyDescent="0.2">
      <c r="A74" s="68"/>
      <c r="B74" s="68"/>
      <c r="C74" s="68"/>
      <c r="D74" s="68"/>
      <c r="E74" s="68"/>
      <c r="F74" s="68"/>
      <c r="G74" s="68"/>
      <c r="H74" s="68"/>
      <c r="I74" s="68"/>
      <c r="J74" s="68"/>
      <c r="K74" s="68"/>
      <c r="L74" s="68"/>
      <c r="M74" s="68"/>
      <c r="N74" s="68"/>
      <c r="O74" s="68"/>
    </row>
    <row r="75" spans="1:15" x14ac:dyDescent="0.2">
      <c r="A75" s="68"/>
      <c r="B75" s="68"/>
      <c r="C75" s="68"/>
      <c r="D75" s="68"/>
      <c r="E75" s="68"/>
      <c r="F75" s="68"/>
      <c r="G75" s="68"/>
      <c r="H75" s="68"/>
      <c r="I75" s="68"/>
      <c r="J75" s="68"/>
      <c r="K75" s="68"/>
      <c r="L75" s="68"/>
      <c r="M75" s="68"/>
      <c r="N75" s="68"/>
      <c r="O75" s="68"/>
    </row>
    <row r="76" spans="1:15" x14ac:dyDescent="0.2">
      <c r="A76" s="68"/>
      <c r="B76" s="68"/>
      <c r="C76" s="68"/>
      <c r="D76" s="68"/>
      <c r="E76" s="68"/>
      <c r="F76" s="68"/>
      <c r="G76" s="68"/>
      <c r="H76" s="68"/>
      <c r="I76" s="68"/>
      <c r="J76" s="68"/>
      <c r="K76" s="68"/>
      <c r="L76" s="68"/>
      <c r="M76" s="68"/>
      <c r="N76" s="68"/>
      <c r="O76" s="68"/>
    </row>
    <row r="77" spans="1:15" x14ac:dyDescent="0.2">
      <c r="A77" s="68"/>
      <c r="B77" s="68"/>
      <c r="C77" s="68"/>
      <c r="D77" s="68"/>
      <c r="E77" s="68"/>
      <c r="F77" s="68"/>
      <c r="G77" s="68"/>
      <c r="H77" s="68"/>
      <c r="I77" s="68"/>
      <c r="J77" s="68"/>
      <c r="K77" s="68"/>
      <c r="L77" s="68"/>
      <c r="M77" s="68"/>
      <c r="N77" s="68"/>
      <c r="O77" s="68"/>
    </row>
    <row r="78" spans="1:15" x14ac:dyDescent="0.2">
      <c r="A78" s="68"/>
      <c r="B78" s="68"/>
      <c r="C78" s="68"/>
      <c r="D78" s="68"/>
      <c r="E78" s="68"/>
      <c r="F78" s="68"/>
      <c r="G78" s="68"/>
      <c r="H78" s="68"/>
      <c r="I78" s="68"/>
      <c r="J78" s="68"/>
      <c r="K78" s="68"/>
      <c r="L78" s="68"/>
      <c r="M78" s="68"/>
      <c r="N78" s="68"/>
      <c r="O78" s="68"/>
    </row>
    <row r="79" spans="1:15" x14ac:dyDescent="0.2">
      <c r="A79" s="68"/>
      <c r="B79" s="68"/>
      <c r="C79" s="68"/>
      <c r="D79" s="68"/>
      <c r="E79" s="68"/>
      <c r="F79" s="68"/>
      <c r="G79" s="68"/>
      <c r="H79" s="68"/>
      <c r="I79" s="68"/>
      <c r="J79" s="68"/>
      <c r="K79" s="68"/>
      <c r="L79" s="68"/>
      <c r="M79" s="68"/>
      <c r="N79" s="68"/>
      <c r="O79" s="68"/>
    </row>
    <row r="80" spans="1:15" x14ac:dyDescent="0.2">
      <c r="A80" s="68"/>
      <c r="B80" s="68"/>
      <c r="C80" s="68"/>
      <c r="D80" s="68"/>
      <c r="E80" s="68"/>
      <c r="F80" s="68"/>
      <c r="G80" s="68"/>
      <c r="H80" s="68"/>
      <c r="I80" s="68"/>
      <c r="J80" s="68"/>
      <c r="K80" s="68"/>
      <c r="L80" s="68"/>
      <c r="M80" s="68"/>
      <c r="N80" s="68"/>
      <c r="O80" s="68"/>
    </row>
    <row r="81" spans="1:12" x14ac:dyDescent="0.2">
      <c r="A81" s="68"/>
      <c r="B81" s="68"/>
      <c r="C81" s="68"/>
      <c r="D81" s="68"/>
      <c r="E81" s="68"/>
      <c r="F81" s="68"/>
      <c r="G81" s="68"/>
      <c r="H81" s="68"/>
      <c r="I81" s="68"/>
      <c r="L81" s="68"/>
    </row>
    <row r="82" spans="1:12" x14ac:dyDescent="0.2">
      <c r="A82" s="68"/>
      <c r="B82" s="68"/>
      <c r="C82" s="68"/>
      <c r="D82" s="68"/>
      <c r="E82" s="68"/>
      <c r="F82" s="68"/>
      <c r="G82" s="68"/>
      <c r="H82" s="68"/>
      <c r="I82" s="68"/>
      <c r="L82" s="68"/>
    </row>
    <row r="83" spans="1:12" x14ac:dyDescent="0.2">
      <c r="A83" s="68"/>
      <c r="B83" s="68"/>
      <c r="C83" s="68"/>
      <c r="D83" s="68"/>
      <c r="E83" s="68"/>
      <c r="F83" s="68"/>
      <c r="G83" s="68"/>
      <c r="H83" s="68"/>
      <c r="I83" s="68"/>
      <c r="L83" s="68"/>
    </row>
    <row r="84" spans="1:12" x14ac:dyDescent="0.2">
      <c r="A84" s="68"/>
      <c r="B84" s="68"/>
      <c r="C84" s="68"/>
      <c r="D84" s="68"/>
      <c r="E84" s="68"/>
      <c r="F84" s="68"/>
      <c r="G84" s="68"/>
      <c r="H84" s="68"/>
      <c r="I84" s="68"/>
      <c r="L84" s="68"/>
    </row>
    <row r="85" spans="1:12" x14ac:dyDescent="0.2">
      <c r="A85" s="68"/>
      <c r="B85" s="68"/>
      <c r="C85" s="68"/>
      <c r="D85" s="68"/>
      <c r="E85" s="68"/>
      <c r="F85" s="68"/>
      <c r="G85" s="68"/>
      <c r="H85" s="68"/>
      <c r="I85" s="68"/>
      <c r="L85" s="68"/>
    </row>
    <row r="86" spans="1:12" x14ac:dyDescent="0.2">
      <c r="A86" s="68"/>
      <c r="B86" s="68"/>
      <c r="C86" s="68"/>
      <c r="D86" s="68"/>
      <c r="E86" s="68"/>
      <c r="F86" s="68"/>
      <c r="G86" s="68"/>
      <c r="H86" s="68"/>
      <c r="I86" s="68"/>
      <c r="L86" s="68"/>
    </row>
    <row r="87" spans="1:12" x14ac:dyDescent="0.2">
      <c r="A87" s="68"/>
      <c r="B87" s="68"/>
      <c r="C87" s="68"/>
      <c r="D87" s="68"/>
      <c r="E87" s="68"/>
      <c r="F87" s="68"/>
      <c r="G87" s="68"/>
      <c r="H87" s="68"/>
      <c r="I87" s="68"/>
      <c r="L87" s="68"/>
    </row>
    <row r="88" spans="1:12" x14ac:dyDescent="0.2">
      <c r="A88" s="68"/>
      <c r="B88" s="68"/>
      <c r="C88" s="68"/>
      <c r="D88" s="68"/>
      <c r="E88" s="68"/>
      <c r="F88" s="68"/>
      <c r="G88" s="68"/>
      <c r="H88" s="68"/>
      <c r="I88" s="68"/>
      <c r="L88" s="68"/>
    </row>
    <row r="89" spans="1:12" x14ac:dyDescent="0.2">
      <c r="A89" s="68"/>
      <c r="B89" s="68"/>
      <c r="C89" s="68"/>
      <c r="D89" s="68"/>
      <c r="E89" s="68"/>
      <c r="F89" s="68"/>
      <c r="G89" s="68"/>
      <c r="H89" s="68"/>
      <c r="I89" s="68"/>
      <c r="L89" s="68"/>
    </row>
    <row r="90" spans="1:12" x14ac:dyDescent="0.2">
      <c r="A90" s="68"/>
      <c r="B90" s="68"/>
      <c r="C90" s="68"/>
      <c r="D90" s="68"/>
      <c r="E90" s="68"/>
      <c r="F90" s="68"/>
      <c r="G90" s="68"/>
      <c r="H90" s="68"/>
      <c r="I90" s="68"/>
      <c r="L90" s="68"/>
    </row>
    <row r="91" spans="1:12" x14ac:dyDescent="0.2">
      <c r="A91" s="68"/>
      <c r="B91" s="68"/>
      <c r="C91" s="68"/>
      <c r="D91" s="68"/>
      <c r="E91" s="68"/>
      <c r="F91" s="68"/>
      <c r="G91" s="68"/>
      <c r="H91" s="68"/>
      <c r="I91" s="68"/>
      <c r="L91" s="68"/>
    </row>
    <row r="92" spans="1:12" x14ac:dyDescent="0.2">
      <c r="A92" s="68"/>
      <c r="B92" s="68"/>
      <c r="C92" s="68"/>
      <c r="D92" s="68"/>
      <c r="E92" s="68"/>
      <c r="F92" s="68"/>
      <c r="G92" s="68"/>
      <c r="H92" s="68"/>
      <c r="I92" s="68"/>
      <c r="L92" s="68"/>
    </row>
    <row r="93" spans="1:12" x14ac:dyDescent="0.2">
      <c r="A93" s="68"/>
      <c r="B93" s="68"/>
      <c r="C93" s="68"/>
      <c r="D93" s="68"/>
      <c r="E93" s="68"/>
      <c r="F93" s="68"/>
      <c r="G93" s="68"/>
      <c r="H93" s="68"/>
      <c r="I93" s="68"/>
      <c r="L93" s="68"/>
    </row>
    <row r="94" spans="1:12" x14ac:dyDescent="0.2">
      <c r="A94" s="68"/>
      <c r="B94" s="68"/>
      <c r="C94" s="68"/>
      <c r="D94" s="68"/>
      <c r="E94" s="68"/>
      <c r="F94" s="68"/>
      <c r="G94" s="68"/>
      <c r="H94" s="68"/>
      <c r="I94" s="68"/>
      <c r="L94" s="68"/>
    </row>
    <row r="95" spans="1:12" x14ac:dyDescent="0.2">
      <c r="A95" s="68"/>
      <c r="B95" s="68"/>
      <c r="C95" s="68"/>
      <c r="D95" s="68"/>
      <c r="E95" s="68"/>
      <c r="F95" s="68"/>
      <c r="G95" s="68"/>
      <c r="H95" s="68"/>
      <c r="I95" s="68"/>
      <c r="L95" s="68"/>
    </row>
    <row r="96" spans="1:12" x14ac:dyDescent="0.2">
      <c r="A96" s="68"/>
      <c r="B96" s="68"/>
      <c r="C96" s="68"/>
      <c r="D96" s="68"/>
      <c r="E96" s="68"/>
      <c r="F96" s="68"/>
      <c r="G96" s="68"/>
      <c r="H96" s="68"/>
      <c r="I96" s="68"/>
      <c r="L96" s="68"/>
    </row>
    <row r="97" spans="1:12" x14ac:dyDescent="0.2">
      <c r="A97" s="68"/>
      <c r="B97" s="68"/>
      <c r="C97" s="68"/>
      <c r="D97" s="68"/>
      <c r="E97" s="68"/>
      <c r="F97" s="68"/>
      <c r="G97" s="68"/>
      <c r="H97" s="68"/>
      <c r="I97" s="68"/>
      <c r="L97" s="68"/>
    </row>
    <row r="98" spans="1:12" x14ac:dyDescent="0.2">
      <c r="A98" s="68"/>
      <c r="B98" s="68"/>
      <c r="C98" s="68"/>
      <c r="D98" s="68"/>
      <c r="E98" s="68"/>
      <c r="F98" s="68"/>
      <c r="G98" s="68"/>
      <c r="H98" s="68"/>
      <c r="I98" s="68"/>
      <c r="L98" s="68"/>
    </row>
    <row r="99" spans="1:12" x14ac:dyDescent="0.2">
      <c r="A99" s="68"/>
      <c r="B99" s="68"/>
      <c r="C99" s="68"/>
      <c r="D99" s="68"/>
      <c r="E99" s="68"/>
      <c r="F99" s="68"/>
      <c r="G99" s="68"/>
      <c r="H99" s="68"/>
      <c r="I99" s="68"/>
      <c r="L99" s="68"/>
    </row>
    <row r="100" spans="1:12" x14ac:dyDescent="0.2">
      <c r="A100" s="68"/>
      <c r="B100" s="68"/>
      <c r="C100" s="68"/>
      <c r="D100" s="68"/>
      <c r="E100" s="68"/>
      <c r="F100" s="68"/>
      <c r="G100" s="68"/>
      <c r="H100" s="68"/>
      <c r="I100" s="68"/>
      <c r="L100" s="68"/>
    </row>
    <row r="101" spans="1:12" x14ac:dyDescent="0.2">
      <c r="A101" s="68"/>
      <c r="B101" s="68"/>
      <c r="C101" s="68"/>
      <c r="D101" s="68"/>
      <c r="E101" s="68"/>
      <c r="F101" s="68"/>
      <c r="G101" s="68"/>
      <c r="H101" s="68"/>
      <c r="I101" s="68"/>
      <c r="L101" s="68"/>
    </row>
    <row r="102" spans="1:12" x14ac:dyDescent="0.2">
      <c r="A102" s="68"/>
      <c r="B102" s="68"/>
      <c r="C102" s="68"/>
      <c r="D102" s="68"/>
      <c r="E102" s="68"/>
      <c r="F102" s="68"/>
      <c r="G102" s="68"/>
      <c r="H102" s="68"/>
      <c r="I102" s="68"/>
      <c r="L102" s="68"/>
    </row>
    <row r="103" spans="1:12" x14ac:dyDescent="0.2">
      <c r="A103" s="68"/>
      <c r="B103" s="68"/>
      <c r="C103" s="68"/>
      <c r="D103" s="68"/>
      <c r="E103" s="68"/>
      <c r="F103" s="68"/>
      <c r="G103" s="68"/>
      <c r="H103" s="68"/>
      <c r="I103" s="68"/>
      <c r="L103" s="68"/>
    </row>
    <row r="104" spans="1:12" x14ac:dyDescent="0.2">
      <c r="A104" s="68"/>
      <c r="B104" s="68"/>
      <c r="C104" s="68"/>
      <c r="D104" s="68"/>
      <c r="E104" s="68"/>
      <c r="F104" s="68"/>
      <c r="G104" s="68"/>
      <c r="H104" s="68"/>
      <c r="I104" s="68"/>
      <c r="L104" s="68"/>
    </row>
    <row r="105" spans="1:12" x14ac:dyDescent="0.2">
      <c r="A105" s="68"/>
      <c r="B105" s="68"/>
      <c r="C105" s="68"/>
      <c r="D105" s="68"/>
      <c r="E105" s="68"/>
      <c r="F105" s="68"/>
      <c r="G105" s="68"/>
      <c r="H105" s="68"/>
      <c r="I105" s="68"/>
      <c r="L105" s="68"/>
    </row>
    <row r="106" spans="1:12" x14ac:dyDescent="0.2">
      <c r="A106" s="68"/>
      <c r="B106" s="68"/>
      <c r="C106" s="68"/>
      <c r="D106" s="68"/>
      <c r="E106" s="68"/>
      <c r="F106" s="68"/>
      <c r="G106" s="68"/>
      <c r="H106" s="68"/>
      <c r="I106" s="68"/>
      <c r="L106" s="68"/>
    </row>
    <row r="107" spans="1:12" x14ac:dyDescent="0.2">
      <c r="A107" s="68"/>
      <c r="B107" s="68"/>
      <c r="C107" s="68"/>
      <c r="D107" s="68"/>
      <c r="E107" s="68"/>
      <c r="F107" s="68"/>
      <c r="G107" s="68"/>
      <c r="H107" s="68"/>
      <c r="I107" s="68"/>
      <c r="L107" s="68"/>
    </row>
    <row r="108" spans="1:12" x14ac:dyDescent="0.2">
      <c r="A108" s="68"/>
      <c r="B108" s="68"/>
      <c r="C108" s="68"/>
      <c r="D108" s="68"/>
      <c r="E108" s="68"/>
      <c r="F108" s="68"/>
      <c r="G108" s="68"/>
      <c r="H108" s="68"/>
      <c r="I108" s="68"/>
      <c r="L108" s="68"/>
    </row>
    <row r="109" spans="1:12" x14ac:dyDescent="0.2">
      <c r="A109" s="68"/>
      <c r="B109" s="68"/>
      <c r="C109" s="68"/>
      <c r="D109" s="68"/>
      <c r="E109" s="68"/>
      <c r="F109" s="68"/>
      <c r="G109" s="68"/>
      <c r="H109" s="68"/>
      <c r="I109" s="68"/>
      <c r="L109" s="68"/>
    </row>
    <row r="110" spans="1:12" x14ac:dyDescent="0.2">
      <c r="A110" s="68"/>
      <c r="B110" s="68"/>
      <c r="C110" s="68"/>
      <c r="D110" s="68"/>
      <c r="E110" s="68"/>
      <c r="F110" s="68"/>
      <c r="G110" s="68"/>
      <c r="H110" s="68"/>
      <c r="I110" s="68"/>
    </row>
    <row r="111" spans="1:12" x14ac:dyDescent="0.2">
      <c r="A111" s="68"/>
      <c r="B111" s="68"/>
      <c r="C111" s="68"/>
      <c r="D111" s="68"/>
      <c r="E111" s="68"/>
      <c r="F111" s="68"/>
      <c r="G111" s="68"/>
      <c r="H111" s="68"/>
      <c r="I111" s="68"/>
    </row>
    <row r="112" spans="1:12" x14ac:dyDescent="0.2">
      <c r="A112" s="68"/>
      <c r="B112" s="68"/>
      <c r="C112" s="68"/>
      <c r="D112" s="68"/>
      <c r="E112" s="68"/>
      <c r="F112" s="68"/>
      <c r="G112" s="68"/>
      <c r="H112" s="68"/>
      <c r="I112" s="68"/>
    </row>
    <row r="113" spans="1:9" x14ac:dyDescent="0.2">
      <c r="A113" s="68"/>
      <c r="B113" s="68"/>
      <c r="C113" s="68"/>
      <c r="D113" s="68"/>
      <c r="E113" s="68"/>
      <c r="F113" s="68"/>
      <c r="G113" s="68"/>
      <c r="H113" s="68"/>
      <c r="I113" s="68"/>
    </row>
    <row r="114" spans="1:9" x14ac:dyDescent="0.2">
      <c r="A114" s="68"/>
      <c r="B114" s="68"/>
      <c r="C114" s="68"/>
      <c r="D114" s="68"/>
      <c r="E114" s="68"/>
      <c r="F114" s="68"/>
      <c r="G114" s="68"/>
      <c r="H114" s="68"/>
      <c r="I114" s="68"/>
    </row>
    <row r="115" spans="1:9" x14ac:dyDescent="0.2">
      <c r="A115" s="68"/>
      <c r="B115" s="68"/>
      <c r="C115" s="68"/>
      <c r="D115" s="68"/>
      <c r="E115" s="68"/>
      <c r="F115" s="68"/>
      <c r="G115" s="68"/>
      <c r="H115" s="68"/>
      <c r="I115" s="68"/>
    </row>
    <row r="116" spans="1:9" x14ac:dyDescent="0.2">
      <c r="A116" s="68"/>
      <c r="B116" s="68"/>
      <c r="C116" s="68"/>
      <c r="D116" s="68"/>
      <c r="E116" s="68"/>
      <c r="F116" s="68"/>
      <c r="G116" s="68"/>
      <c r="H116" s="68"/>
      <c r="I116" s="68"/>
    </row>
    <row r="117" spans="1:9" x14ac:dyDescent="0.2">
      <c r="A117" s="68"/>
      <c r="B117" s="68"/>
      <c r="C117" s="68"/>
      <c r="D117" s="68"/>
      <c r="E117" s="68"/>
      <c r="F117" s="68"/>
      <c r="G117" s="68"/>
      <c r="H117" s="68"/>
      <c r="I117" s="68"/>
    </row>
    <row r="118" spans="1:9" x14ac:dyDescent="0.2">
      <c r="A118" s="68"/>
      <c r="B118" s="68"/>
      <c r="C118" s="68"/>
      <c r="D118" s="68"/>
      <c r="E118" s="68"/>
      <c r="F118" s="68"/>
      <c r="G118" s="68"/>
      <c r="H118" s="68"/>
      <c r="I118" s="68"/>
    </row>
    <row r="119" spans="1:9" x14ac:dyDescent="0.2">
      <c r="A119" s="68"/>
      <c r="B119" s="68"/>
      <c r="C119" s="68"/>
      <c r="D119" s="68"/>
      <c r="E119" s="68"/>
      <c r="F119" s="68"/>
      <c r="G119" s="68"/>
      <c r="H119" s="68"/>
      <c r="I119" s="68"/>
    </row>
    <row r="120" spans="1:9" x14ac:dyDescent="0.2">
      <c r="A120" s="68"/>
      <c r="B120" s="68"/>
      <c r="C120" s="68"/>
      <c r="D120" s="68"/>
      <c r="E120" s="68"/>
      <c r="F120" s="68"/>
      <c r="G120" s="68"/>
      <c r="H120" s="68"/>
      <c r="I120" s="68"/>
    </row>
    <row r="121" spans="1:9" x14ac:dyDescent="0.2">
      <c r="A121" s="68"/>
      <c r="B121" s="68"/>
      <c r="C121" s="68"/>
      <c r="D121" s="68"/>
      <c r="E121" s="68"/>
      <c r="F121" s="68"/>
      <c r="G121" s="68"/>
      <c r="H121" s="68"/>
      <c r="I121" s="68"/>
    </row>
    <row r="122" spans="1:9" x14ac:dyDescent="0.2">
      <c r="A122" s="68"/>
      <c r="B122" s="68"/>
      <c r="C122" s="68"/>
      <c r="D122" s="68"/>
      <c r="E122" s="68"/>
      <c r="F122" s="68"/>
      <c r="G122" s="68"/>
      <c r="H122" s="68"/>
      <c r="I122" s="68"/>
    </row>
    <row r="123" spans="1:9" x14ac:dyDescent="0.2">
      <c r="A123" s="68"/>
      <c r="B123" s="68"/>
      <c r="C123" s="68"/>
      <c r="D123" s="68"/>
      <c r="E123" s="68"/>
      <c r="F123" s="68"/>
      <c r="G123" s="68"/>
      <c r="H123" s="68"/>
      <c r="I123" s="68"/>
    </row>
    <row r="124" spans="1:9" x14ac:dyDescent="0.2">
      <c r="A124" s="68"/>
      <c r="B124" s="68"/>
      <c r="C124" s="68"/>
      <c r="D124" s="68"/>
      <c r="E124" s="68"/>
      <c r="F124" s="68"/>
      <c r="G124" s="68"/>
      <c r="H124" s="68"/>
      <c r="I124" s="68"/>
    </row>
    <row r="125" spans="1:9" x14ac:dyDescent="0.2">
      <c r="A125" s="68"/>
      <c r="B125" s="68"/>
      <c r="C125" s="68"/>
      <c r="D125" s="68"/>
      <c r="E125" s="68"/>
      <c r="F125" s="68"/>
      <c r="G125" s="68"/>
      <c r="H125" s="68"/>
      <c r="I125" s="68"/>
    </row>
    <row r="126" spans="1:9" x14ac:dyDescent="0.2">
      <c r="A126" s="68"/>
      <c r="B126" s="68"/>
      <c r="C126" s="68"/>
      <c r="D126" s="68"/>
      <c r="E126" s="68"/>
      <c r="F126" s="68"/>
      <c r="G126" s="68"/>
      <c r="H126" s="68"/>
      <c r="I126" s="68"/>
    </row>
    <row r="127" spans="1:9" x14ac:dyDescent="0.2">
      <c r="A127" s="68"/>
      <c r="B127" s="68"/>
      <c r="C127" s="68"/>
      <c r="D127" s="68"/>
      <c r="E127" s="68"/>
      <c r="F127" s="68"/>
      <c r="G127" s="68"/>
      <c r="H127" s="68"/>
      <c r="I127" s="68"/>
    </row>
    <row r="128" spans="1:9" x14ac:dyDescent="0.2">
      <c r="A128" s="68"/>
      <c r="B128" s="68"/>
      <c r="C128" s="68"/>
      <c r="D128" s="68"/>
      <c r="E128" s="68"/>
      <c r="F128" s="68"/>
      <c r="G128" s="68"/>
      <c r="H128" s="68"/>
      <c r="I128" s="68"/>
    </row>
    <row r="129" spans="1:9" x14ac:dyDescent="0.2">
      <c r="A129" s="68"/>
      <c r="B129" s="68"/>
      <c r="C129" s="68"/>
      <c r="D129" s="68"/>
      <c r="E129" s="68"/>
      <c r="F129" s="68"/>
      <c r="G129" s="68"/>
      <c r="H129" s="68"/>
      <c r="I129" s="68"/>
    </row>
    <row r="130" spans="1:9" x14ac:dyDescent="0.2">
      <c r="A130" s="68"/>
      <c r="B130" s="68"/>
      <c r="C130" s="68"/>
      <c r="D130" s="68"/>
      <c r="E130" s="68"/>
      <c r="F130" s="68"/>
      <c r="G130" s="68"/>
      <c r="H130" s="68"/>
      <c r="I130" s="68"/>
    </row>
    <row r="131" spans="1:9" x14ac:dyDescent="0.2">
      <c r="A131" s="68"/>
      <c r="B131" s="68"/>
      <c r="C131" s="68"/>
      <c r="D131" s="68"/>
      <c r="E131" s="68"/>
      <c r="F131" s="68"/>
      <c r="G131" s="68"/>
      <c r="H131" s="68"/>
      <c r="I131" s="68"/>
    </row>
    <row r="132" spans="1:9" x14ac:dyDescent="0.2">
      <c r="A132" s="68"/>
      <c r="B132" s="68"/>
      <c r="C132" s="68"/>
      <c r="D132" s="68"/>
      <c r="E132" s="68"/>
      <c r="F132" s="68"/>
      <c r="G132" s="68"/>
      <c r="H132" s="68"/>
      <c r="I132" s="68"/>
    </row>
    <row r="133" spans="1:9" x14ac:dyDescent="0.2">
      <c r="A133" s="68"/>
      <c r="B133" s="68"/>
      <c r="C133" s="68"/>
      <c r="D133" s="68"/>
      <c r="E133" s="68"/>
      <c r="F133" s="68"/>
      <c r="G133" s="68"/>
      <c r="H133" s="68"/>
      <c r="I133" s="68"/>
    </row>
    <row r="134" spans="1:9" x14ac:dyDescent="0.2">
      <c r="A134" s="68"/>
      <c r="B134" s="68"/>
      <c r="C134" s="68"/>
      <c r="D134" s="68"/>
      <c r="E134" s="68"/>
      <c r="F134" s="68"/>
      <c r="G134" s="68"/>
      <c r="H134" s="68"/>
      <c r="I134" s="68"/>
    </row>
    <row r="135" spans="1:9" x14ac:dyDescent="0.2">
      <c r="A135" s="68"/>
      <c r="B135" s="68"/>
      <c r="C135" s="68"/>
      <c r="D135" s="68"/>
      <c r="E135" s="68"/>
      <c r="F135" s="68"/>
      <c r="G135" s="68"/>
      <c r="H135" s="68"/>
      <c r="I135" s="68"/>
    </row>
    <row r="136" spans="1:9" x14ac:dyDescent="0.2">
      <c r="A136" s="68"/>
      <c r="B136" s="68"/>
      <c r="C136" s="68"/>
      <c r="D136" s="68"/>
      <c r="E136" s="68"/>
      <c r="F136" s="68"/>
      <c r="G136" s="68"/>
      <c r="H136" s="68"/>
      <c r="I136" s="68"/>
    </row>
    <row r="137" spans="1:9" x14ac:dyDescent="0.2">
      <c r="A137" s="68"/>
      <c r="B137" s="68"/>
      <c r="C137" s="68"/>
      <c r="D137" s="68"/>
      <c r="E137" s="68"/>
      <c r="F137" s="68"/>
      <c r="G137" s="68"/>
      <c r="H137" s="68"/>
      <c r="I137" s="68"/>
    </row>
    <row r="138" spans="1:9" x14ac:dyDescent="0.2">
      <c r="A138" s="68"/>
      <c r="B138" s="68"/>
      <c r="C138" s="68"/>
      <c r="D138" s="68"/>
      <c r="E138" s="68"/>
      <c r="F138" s="68"/>
      <c r="G138" s="68"/>
      <c r="H138" s="68"/>
      <c r="I138" s="68"/>
    </row>
    <row r="139" spans="1:9" x14ac:dyDescent="0.2">
      <c r="A139" s="68"/>
      <c r="B139" s="68"/>
      <c r="C139" s="68"/>
      <c r="D139" s="68"/>
      <c r="E139" s="68"/>
      <c r="F139" s="68"/>
      <c r="G139" s="68"/>
      <c r="H139" s="68"/>
      <c r="I139" s="68"/>
    </row>
    <row r="140" spans="1:9" x14ac:dyDescent="0.2">
      <c r="A140" s="68"/>
      <c r="B140" s="68"/>
      <c r="C140" s="68"/>
      <c r="D140" s="68"/>
      <c r="E140" s="68"/>
      <c r="F140" s="68"/>
      <c r="G140" s="68"/>
      <c r="H140" s="68"/>
      <c r="I140" s="68"/>
    </row>
    <row r="141" spans="1:9" x14ac:dyDescent="0.2">
      <c r="A141" s="68"/>
      <c r="B141" s="68"/>
      <c r="C141" s="68"/>
      <c r="D141" s="68"/>
      <c r="E141" s="68"/>
      <c r="F141" s="68"/>
      <c r="G141" s="68"/>
      <c r="H141" s="68"/>
      <c r="I141" s="68"/>
    </row>
    <row r="142" spans="1:9" x14ac:dyDescent="0.2">
      <c r="A142" s="68"/>
      <c r="B142" s="68"/>
      <c r="C142" s="68"/>
      <c r="D142" s="68"/>
      <c r="E142" s="68"/>
      <c r="F142" s="68"/>
      <c r="G142" s="68"/>
      <c r="H142" s="68"/>
      <c r="I142" s="68"/>
    </row>
    <row r="143" spans="1:9" x14ac:dyDescent="0.2">
      <c r="A143" s="68"/>
      <c r="B143" s="68"/>
      <c r="C143" s="68"/>
      <c r="D143" s="68"/>
      <c r="E143" s="68"/>
      <c r="F143" s="68"/>
      <c r="G143" s="68"/>
      <c r="H143" s="68"/>
      <c r="I143" s="68"/>
    </row>
    <row r="144" spans="1:9" x14ac:dyDescent="0.2">
      <c r="A144" s="68"/>
      <c r="B144" s="68"/>
      <c r="C144" s="68"/>
      <c r="D144" s="68"/>
      <c r="E144" s="68"/>
      <c r="F144" s="68"/>
      <c r="G144" s="68"/>
      <c r="H144" s="68"/>
      <c r="I144" s="68"/>
    </row>
    <row r="145" spans="1:6" x14ac:dyDescent="0.2">
      <c r="A145" s="68"/>
      <c r="B145" s="68"/>
      <c r="C145" s="68"/>
      <c r="D145" s="68"/>
      <c r="F145" s="68"/>
    </row>
    <row r="146" spans="1:6" x14ac:dyDescent="0.2">
      <c r="A146" s="68"/>
      <c r="B146" s="68"/>
      <c r="C146" s="68"/>
      <c r="D146" s="68"/>
      <c r="F146" s="68"/>
    </row>
    <row r="147" spans="1:6" x14ac:dyDescent="0.2">
      <c r="A147" s="68"/>
      <c r="B147" s="68"/>
      <c r="C147" s="68"/>
      <c r="D147" s="68"/>
      <c r="F147" s="68"/>
    </row>
    <row r="148" spans="1:6" x14ac:dyDescent="0.2">
      <c r="A148" s="68"/>
      <c r="B148" s="68"/>
      <c r="C148" s="68"/>
      <c r="D148" s="68"/>
      <c r="F148" s="68"/>
    </row>
    <row r="149" spans="1:6" x14ac:dyDescent="0.2">
      <c r="A149" s="68"/>
      <c r="B149" s="68"/>
      <c r="C149" s="68"/>
      <c r="D149" s="68"/>
      <c r="F149" s="68"/>
    </row>
    <row r="150" spans="1:6" x14ac:dyDescent="0.2">
      <c r="A150" s="68"/>
      <c r="B150" s="68"/>
      <c r="C150" s="68"/>
      <c r="D150" s="68"/>
      <c r="F150" s="68"/>
    </row>
    <row r="151" spans="1:6" x14ac:dyDescent="0.2">
      <c r="A151" s="68"/>
      <c r="B151" s="68"/>
      <c r="C151" s="68"/>
      <c r="D151" s="68"/>
      <c r="F151" s="68"/>
    </row>
    <row r="152" spans="1:6" x14ac:dyDescent="0.2">
      <c r="A152" s="68"/>
      <c r="B152" s="68"/>
      <c r="C152" s="68"/>
      <c r="D152" s="68"/>
      <c r="F152" s="68"/>
    </row>
    <row r="153" spans="1:6" x14ac:dyDescent="0.2">
      <c r="A153" s="68"/>
      <c r="B153" s="68"/>
      <c r="C153" s="68"/>
      <c r="D153" s="68"/>
      <c r="F153" s="68"/>
    </row>
    <row r="154" spans="1:6" x14ac:dyDescent="0.2">
      <c r="A154" s="68"/>
      <c r="B154" s="68"/>
      <c r="C154" s="68"/>
      <c r="D154" s="68"/>
      <c r="F154" s="68"/>
    </row>
    <row r="155" spans="1:6" x14ac:dyDescent="0.2">
      <c r="A155" s="68"/>
      <c r="B155" s="68"/>
      <c r="C155" s="68"/>
      <c r="D155" s="68"/>
      <c r="F155" s="68"/>
    </row>
    <row r="156" spans="1:6" x14ac:dyDescent="0.2">
      <c r="A156" s="68"/>
      <c r="B156" s="68"/>
      <c r="C156" s="68"/>
      <c r="D156" s="68"/>
      <c r="F156" s="68"/>
    </row>
    <row r="157" spans="1:6" x14ac:dyDescent="0.2">
      <c r="A157" s="68"/>
      <c r="B157" s="68"/>
      <c r="C157" s="68"/>
      <c r="D157" s="68"/>
      <c r="F157" s="68"/>
    </row>
    <row r="158" spans="1:6" x14ac:dyDescent="0.2">
      <c r="A158" s="68"/>
      <c r="B158" s="68"/>
      <c r="C158" s="68"/>
      <c r="D158" s="68"/>
      <c r="F158" s="68"/>
    </row>
    <row r="159" spans="1:6" x14ac:dyDescent="0.2">
      <c r="A159" s="68"/>
      <c r="B159" s="68"/>
      <c r="C159" s="68"/>
      <c r="D159" s="68"/>
      <c r="F159" s="68"/>
    </row>
    <row r="160" spans="1:6" x14ac:dyDescent="0.2">
      <c r="A160" s="68"/>
      <c r="B160" s="68"/>
      <c r="C160" s="68"/>
      <c r="D160" s="68"/>
      <c r="F160" s="68"/>
    </row>
    <row r="161" spans="1:6" x14ac:dyDescent="0.2">
      <c r="A161" s="68"/>
      <c r="B161" s="68"/>
      <c r="C161" s="68"/>
      <c r="D161" s="68"/>
      <c r="F161" s="68"/>
    </row>
    <row r="162" spans="1:6" x14ac:dyDescent="0.2">
      <c r="A162" s="68"/>
      <c r="B162" s="68"/>
      <c r="C162" s="68"/>
      <c r="D162" s="68"/>
      <c r="F162" s="68"/>
    </row>
    <row r="163" spans="1:6" x14ac:dyDescent="0.2">
      <c r="A163" s="68"/>
      <c r="B163" s="68"/>
      <c r="C163" s="68"/>
      <c r="D163" s="68"/>
      <c r="F163" s="68"/>
    </row>
    <row r="164" spans="1:6" x14ac:dyDescent="0.2">
      <c r="A164" s="68"/>
      <c r="B164" s="68"/>
      <c r="C164" s="68"/>
      <c r="D164" s="68"/>
      <c r="F164" s="68"/>
    </row>
    <row r="165" spans="1:6" x14ac:dyDescent="0.2">
      <c r="A165" s="68"/>
      <c r="B165" s="68"/>
      <c r="C165" s="68"/>
      <c r="D165" s="68"/>
      <c r="F165" s="68"/>
    </row>
    <row r="166" spans="1:6" x14ac:dyDescent="0.2">
      <c r="A166" s="68"/>
      <c r="B166" s="68"/>
      <c r="C166" s="68"/>
      <c r="D166" s="68"/>
      <c r="F166" s="68"/>
    </row>
    <row r="167" spans="1:6" x14ac:dyDescent="0.2">
      <c r="A167" s="68"/>
      <c r="B167" s="68"/>
      <c r="C167" s="68"/>
      <c r="D167" s="68"/>
      <c r="F167" s="68"/>
    </row>
    <row r="168" spans="1:6" x14ac:dyDescent="0.2">
      <c r="A168" s="68"/>
      <c r="B168" s="68"/>
      <c r="C168" s="68"/>
      <c r="D168" s="68"/>
      <c r="F168" s="68"/>
    </row>
    <row r="169" spans="1:6" x14ac:dyDescent="0.2">
      <c r="A169" s="68"/>
      <c r="B169" s="68"/>
      <c r="C169" s="68"/>
      <c r="D169" s="68"/>
      <c r="F169" s="68"/>
    </row>
    <row r="170" spans="1:6" x14ac:dyDescent="0.2">
      <c r="A170" s="68"/>
      <c r="B170" s="68"/>
      <c r="C170" s="68"/>
      <c r="D170" s="68"/>
      <c r="F170" s="68"/>
    </row>
    <row r="171" spans="1:6" x14ac:dyDescent="0.2">
      <c r="A171" s="68"/>
      <c r="B171" s="68"/>
      <c r="C171" s="68"/>
      <c r="D171" s="68"/>
      <c r="F171" s="68"/>
    </row>
    <row r="172" spans="1:6" x14ac:dyDescent="0.2">
      <c r="A172" s="68"/>
      <c r="B172" s="68"/>
      <c r="C172" s="68"/>
      <c r="D172" s="68"/>
      <c r="F172" s="68"/>
    </row>
    <row r="173" spans="1:6" x14ac:dyDescent="0.2">
      <c r="A173" s="68"/>
      <c r="B173" s="68"/>
      <c r="C173" s="68"/>
      <c r="D173" s="68"/>
      <c r="F173" s="68"/>
    </row>
    <row r="174" spans="1:6" x14ac:dyDescent="0.2">
      <c r="A174" s="68"/>
      <c r="B174" s="68"/>
      <c r="C174" s="68"/>
      <c r="D174" s="68"/>
      <c r="F174" s="68"/>
    </row>
    <row r="175" spans="1:6" x14ac:dyDescent="0.2">
      <c r="A175" s="68"/>
      <c r="B175" s="68"/>
      <c r="C175" s="68"/>
      <c r="D175" s="68"/>
      <c r="F175" s="68"/>
    </row>
    <row r="176" spans="1:6" x14ac:dyDescent="0.2">
      <c r="A176" s="68"/>
      <c r="B176" s="68"/>
      <c r="C176" s="68"/>
      <c r="D176" s="68"/>
      <c r="F176" s="68"/>
    </row>
    <row r="177" spans="1:6" x14ac:dyDescent="0.2">
      <c r="A177" s="68"/>
      <c r="B177" s="68"/>
      <c r="C177" s="68"/>
      <c r="D177" s="68"/>
      <c r="F177" s="68"/>
    </row>
    <row r="178" spans="1:6" x14ac:dyDescent="0.2">
      <c r="A178" s="68"/>
      <c r="B178" s="68"/>
      <c r="C178" s="68"/>
      <c r="D178" s="68"/>
      <c r="F178" s="68"/>
    </row>
    <row r="179" spans="1:6" x14ac:dyDescent="0.2">
      <c r="A179" s="68"/>
      <c r="B179" s="68"/>
      <c r="C179" s="68"/>
      <c r="D179" s="68"/>
      <c r="F179" s="68"/>
    </row>
    <row r="180" spans="1:6" x14ac:dyDescent="0.2">
      <c r="A180" s="68"/>
      <c r="B180" s="68"/>
      <c r="C180" s="68"/>
      <c r="D180" s="68"/>
      <c r="F180" s="68"/>
    </row>
    <row r="181" spans="1:6" x14ac:dyDescent="0.2">
      <c r="A181" s="68"/>
      <c r="B181" s="68"/>
      <c r="C181" s="68"/>
      <c r="D181" s="68"/>
      <c r="F181" s="68"/>
    </row>
    <row r="182" spans="1:6" x14ac:dyDescent="0.2">
      <c r="A182" s="68"/>
      <c r="B182" s="68"/>
      <c r="C182" s="68"/>
      <c r="D182" s="68"/>
      <c r="F182" s="68"/>
    </row>
    <row r="183" spans="1:6" x14ac:dyDescent="0.2">
      <c r="A183" s="68"/>
      <c r="B183" s="68"/>
      <c r="C183" s="68"/>
      <c r="D183" s="68"/>
      <c r="F183" s="68"/>
    </row>
    <row r="184" spans="1:6" x14ac:dyDescent="0.2">
      <c r="A184" s="68"/>
      <c r="B184" s="68"/>
      <c r="C184" s="68"/>
      <c r="D184" s="68"/>
      <c r="F184" s="68"/>
    </row>
    <row r="185" spans="1:6" x14ac:dyDescent="0.2">
      <c r="A185" s="68"/>
      <c r="B185" s="68"/>
      <c r="C185" s="68"/>
      <c r="D185" s="68"/>
      <c r="F185" s="68"/>
    </row>
    <row r="186" spans="1:6" x14ac:dyDescent="0.2">
      <c r="A186" s="68"/>
      <c r="B186" s="68"/>
      <c r="C186" s="68"/>
      <c r="D186" s="68"/>
      <c r="F186" s="68"/>
    </row>
    <row r="187" spans="1:6" x14ac:dyDescent="0.2">
      <c r="A187" s="68"/>
      <c r="B187" s="68"/>
      <c r="C187" s="68"/>
      <c r="D187" s="68"/>
      <c r="F187" s="68"/>
    </row>
    <row r="188" spans="1:6" x14ac:dyDescent="0.2">
      <c r="A188" s="68"/>
      <c r="B188" s="68"/>
      <c r="C188" s="68"/>
      <c r="D188" s="68"/>
      <c r="F188" s="68"/>
    </row>
    <row r="189" spans="1:6" x14ac:dyDescent="0.2">
      <c r="A189" s="68"/>
      <c r="B189" s="68"/>
      <c r="C189" s="68"/>
      <c r="D189" s="68"/>
      <c r="F189" s="68"/>
    </row>
    <row r="190" spans="1:6" x14ac:dyDescent="0.2">
      <c r="A190" s="68"/>
      <c r="B190" s="68"/>
      <c r="C190" s="68"/>
      <c r="D190" s="68"/>
      <c r="F190" s="68"/>
    </row>
    <row r="191" spans="1:6" x14ac:dyDescent="0.2">
      <c r="A191" s="68"/>
      <c r="B191" s="68"/>
      <c r="C191" s="68"/>
      <c r="D191" s="68"/>
      <c r="F191" s="68"/>
    </row>
    <row r="192" spans="1:6" x14ac:dyDescent="0.2">
      <c r="A192" s="68"/>
      <c r="B192" s="68"/>
      <c r="C192" s="68"/>
      <c r="D192" s="68"/>
      <c r="F192" s="68"/>
    </row>
    <row r="193" spans="1:4" x14ac:dyDescent="0.2">
      <c r="A193" s="68"/>
      <c r="B193" s="68"/>
      <c r="C193" s="68"/>
      <c r="D193" s="68"/>
    </row>
    <row r="194" spans="1:4" x14ac:dyDescent="0.2">
      <c r="A194" s="68"/>
      <c r="B194" s="68"/>
      <c r="C194" s="68"/>
      <c r="D194" s="68"/>
    </row>
    <row r="195" spans="1:4" x14ac:dyDescent="0.2">
      <c r="A195" s="68"/>
      <c r="B195" s="68"/>
      <c r="C195" s="68"/>
      <c r="D195" s="68"/>
    </row>
    <row r="196" spans="1:4" x14ac:dyDescent="0.2">
      <c r="A196" s="68"/>
      <c r="B196" s="68"/>
      <c r="C196" s="68"/>
      <c r="D196" s="68"/>
    </row>
    <row r="197" spans="1:4" x14ac:dyDescent="0.2">
      <c r="A197" s="68"/>
      <c r="B197" s="68"/>
      <c r="C197" s="68"/>
      <c r="D197" s="68"/>
    </row>
    <row r="198" spans="1:4" x14ac:dyDescent="0.2">
      <c r="A198" s="68"/>
      <c r="B198" s="68"/>
      <c r="C198" s="68"/>
      <c r="D198" s="68"/>
    </row>
    <row r="199" spans="1:4" x14ac:dyDescent="0.2">
      <c r="A199" s="68"/>
      <c r="B199" s="68"/>
      <c r="C199" s="68"/>
      <c r="D199" s="68"/>
    </row>
    <row r="200" spans="1:4" x14ac:dyDescent="0.2">
      <c r="A200" s="68"/>
      <c r="B200" s="68"/>
      <c r="C200" s="68"/>
      <c r="D200" s="68"/>
    </row>
    <row r="201" spans="1:4" x14ac:dyDescent="0.2">
      <c r="A201" s="68"/>
      <c r="B201" s="68"/>
      <c r="C201" s="68"/>
      <c r="D201" s="68"/>
    </row>
    <row r="202" spans="1:4" x14ac:dyDescent="0.2">
      <c r="A202" s="68"/>
      <c r="B202" s="68"/>
      <c r="C202" s="68"/>
      <c r="D202" s="68"/>
    </row>
    <row r="203" spans="1:4" x14ac:dyDescent="0.2">
      <c r="A203" s="68"/>
      <c r="B203" s="68"/>
      <c r="C203" s="68"/>
      <c r="D203" s="68"/>
    </row>
    <row r="204" spans="1:4" x14ac:dyDescent="0.2">
      <c r="A204" s="68"/>
      <c r="B204" s="68"/>
      <c r="C204" s="68"/>
      <c r="D204" s="68"/>
    </row>
    <row r="205" spans="1:4" x14ac:dyDescent="0.2">
      <c r="A205" s="68"/>
      <c r="B205" s="68"/>
      <c r="C205" s="68"/>
      <c r="D205" s="68"/>
    </row>
    <row r="206" spans="1:4" x14ac:dyDescent="0.2">
      <c r="A206" s="68"/>
      <c r="B206" s="68"/>
      <c r="C206" s="68"/>
      <c r="D206" s="68"/>
    </row>
    <row r="207" spans="1:4" x14ac:dyDescent="0.2">
      <c r="A207" s="68"/>
      <c r="B207" s="68"/>
      <c r="C207" s="68"/>
      <c r="D207" s="68"/>
    </row>
    <row r="208" spans="1:4" x14ac:dyDescent="0.2">
      <c r="A208" s="68"/>
      <c r="B208" s="68"/>
      <c r="C208" s="68"/>
      <c r="D208" s="68"/>
    </row>
    <row r="209" spans="1:4" x14ac:dyDescent="0.2">
      <c r="A209" s="68"/>
      <c r="B209" s="68"/>
      <c r="C209" s="68"/>
      <c r="D209" s="68"/>
    </row>
    <row r="210" spans="1:4" x14ac:dyDescent="0.2">
      <c r="A210" s="68"/>
      <c r="B210" s="68"/>
      <c r="C210" s="68"/>
      <c r="D210" s="68"/>
    </row>
    <row r="211" spans="1:4" x14ac:dyDescent="0.2">
      <c r="A211" s="68"/>
      <c r="B211" s="68"/>
      <c r="C211" s="68"/>
      <c r="D211" s="68"/>
    </row>
    <row r="212" spans="1:4" x14ac:dyDescent="0.2">
      <c r="A212" s="68"/>
      <c r="B212" s="68"/>
      <c r="C212" s="68"/>
      <c r="D212" s="68"/>
    </row>
    <row r="213" spans="1:4" x14ac:dyDescent="0.2">
      <c r="A213" s="68"/>
      <c r="B213" s="68"/>
      <c r="C213" s="68"/>
      <c r="D213" s="68"/>
    </row>
    <row r="214" spans="1:4" x14ac:dyDescent="0.2">
      <c r="A214" s="68"/>
      <c r="B214" s="68"/>
      <c r="C214" s="68"/>
      <c r="D214" s="68"/>
    </row>
    <row r="215" spans="1:4" x14ac:dyDescent="0.2">
      <c r="A215" s="68"/>
      <c r="B215" s="68"/>
      <c r="C215" s="68"/>
      <c r="D215" s="68"/>
    </row>
    <row r="216" spans="1:4" x14ac:dyDescent="0.2">
      <c r="A216" s="68"/>
      <c r="B216" s="68"/>
      <c r="C216" s="68"/>
      <c r="D216" s="68"/>
    </row>
    <row r="217" spans="1:4" x14ac:dyDescent="0.2">
      <c r="A217" s="68"/>
      <c r="B217" s="68"/>
      <c r="C217" s="68"/>
      <c r="D217" s="68"/>
    </row>
    <row r="218" spans="1:4" x14ac:dyDescent="0.2">
      <c r="A218" s="68"/>
      <c r="B218" s="68"/>
      <c r="C218" s="68"/>
      <c r="D218" s="68"/>
    </row>
    <row r="219" spans="1:4" x14ac:dyDescent="0.2">
      <c r="A219" s="68"/>
      <c r="B219" s="68"/>
      <c r="C219" s="68"/>
      <c r="D219" s="68"/>
    </row>
    <row r="220" spans="1:4" x14ac:dyDescent="0.2">
      <c r="A220" s="68"/>
      <c r="B220" s="68"/>
      <c r="C220" s="68"/>
      <c r="D220" s="68"/>
    </row>
    <row r="221" spans="1:4" x14ac:dyDescent="0.2">
      <c r="A221" s="68"/>
      <c r="B221" s="68"/>
      <c r="C221" s="68"/>
      <c r="D221" s="68"/>
    </row>
    <row r="222" spans="1:4" x14ac:dyDescent="0.2">
      <c r="A222" s="68"/>
      <c r="B222" s="68"/>
      <c r="C222" s="68"/>
      <c r="D222" s="68"/>
    </row>
    <row r="223" spans="1:4" x14ac:dyDescent="0.2">
      <c r="A223" s="68"/>
      <c r="B223" s="68"/>
      <c r="C223" s="68"/>
      <c r="D223" s="68"/>
    </row>
    <row r="224" spans="1:4" x14ac:dyDescent="0.2">
      <c r="A224" s="68"/>
      <c r="B224" s="68"/>
      <c r="C224" s="68"/>
      <c r="D224" s="68"/>
    </row>
    <row r="225" spans="1:4" x14ac:dyDescent="0.2">
      <c r="A225" s="68"/>
      <c r="B225" s="68"/>
      <c r="C225" s="68"/>
      <c r="D225" s="68"/>
    </row>
    <row r="226" spans="1:4" x14ac:dyDescent="0.2">
      <c r="A226" s="68"/>
      <c r="B226" s="68"/>
      <c r="C226" s="68"/>
      <c r="D226" s="68"/>
    </row>
    <row r="227" spans="1:4" x14ac:dyDescent="0.2">
      <c r="A227" s="68"/>
      <c r="B227" s="68"/>
      <c r="C227" s="68"/>
      <c r="D227" s="68"/>
    </row>
    <row r="228" spans="1:4" x14ac:dyDescent="0.2">
      <c r="A228" s="68"/>
      <c r="B228" s="68"/>
      <c r="C228" s="68"/>
      <c r="D228" s="68"/>
    </row>
    <row r="229" spans="1:4" x14ac:dyDescent="0.2">
      <c r="A229" s="68"/>
      <c r="B229" s="68"/>
      <c r="C229" s="68"/>
      <c r="D229" s="68"/>
    </row>
    <row r="230" spans="1:4" x14ac:dyDescent="0.2">
      <c r="A230" s="68"/>
      <c r="B230" s="68"/>
      <c r="C230" s="68"/>
      <c r="D230" s="68"/>
    </row>
    <row r="231" spans="1:4" x14ac:dyDescent="0.2">
      <c r="A231" s="68"/>
      <c r="B231" s="68"/>
      <c r="C231" s="68"/>
      <c r="D231" s="68"/>
    </row>
    <row r="232" spans="1:4" x14ac:dyDescent="0.2">
      <c r="A232" s="68"/>
      <c r="B232" s="68"/>
      <c r="C232" s="68"/>
      <c r="D232" s="68"/>
    </row>
    <row r="233" spans="1:4" x14ac:dyDescent="0.2">
      <c r="A233" s="68"/>
      <c r="B233" s="68"/>
      <c r="C233" s="68"/>
      <c r="D233" s="68"/>
    </row>
    <row r="234" spans="1:4" x14ac:dyDescent="0.2">
      <c r="A234" s="68"/>
      <c r="B234" s="68"/>
      <c r="C234" s="68"/>
      <c r="D234" s="68"/>
    </row>
    <row r="235" spans="1:4" x14ac:dyDescent="0.2">
      <c r="A235" s="68"/>
      <c r="B235" s="68"/>
      <c r="C235" s="68"/>
      <c r="D235" s="68"/>
    </row>
    <row r="236" spans="1:4" x14ac:dyDescent="0.2">
      <c r="A236" s="68"/>
      <c r="B236" s="68"/>
      <c r="C236" s="68"/>
      <c r="D236" s="68"/>
    </row>
    <row r="237" spans="1:4" x14ac:dyDescent="0.2">
      <c r="A237" s="68"/>
      <c r="B237" s="68"/>
      <c r="C237" s="68"/>
      <c r="D237" s="68"/>
    </row>
    <row r="238" spans="1:4" x14ac:dyDescent="0.2">
      <c r="A238" s="68"/>
      <c r="B238" s="68"/>
      <c r="C238" s="68"/>
      <c r="D238" s="68"/>
    </row>
    <row r="239" spans="1:4" x14ac:dyDescent="0.2">
      <c r="A239" s="68"/>
      <c r="B239" s="68"/>
      <c r="C239" s="68"/>
      <c r="D239" s="68"/>
    </row>
    <row r="240" spans="1:4" x14ac:dyDescent="0.2">
      <c r="A240" s="68"/>
      <c r="B240" s="68"/>
      <c r="C240" s="68"/>
      <c r="D240" s="68"/>
    </row>
    <row r="241" spans="1:4" x14ac:dyDescent="0.2">
      <c r="A241" s="68"/>
      <c r="B241" s="68"/>
      <c r="C241" s="68"/>
      <c r="D241" s="68"/>
    </row>
    <row r="242" spans="1:4" x14ac:dyDescent="0.2">
      <c r="A242" s="68"/>
      <c r="B242" s="68"/>
      <c r="C242" s="68"/>
      <c r="D242" s="68"/>
    </row>
    <row r="243" spans="1:4" x14ac:dyDescent="0.2">
      <c r="A243" s="68"/>
      <c r="B243" s="68"/>
      <c r="C243" s="68"/>
      <c r="D243" s="68"/>
    </row>
    <row r="244" spans="1:4" x14ac:dyDescent="0.2">
      <c r="A244" s="68"/>
      <c r="B244" s="68"/>
      <c r="C244" s="68"/>
      <c r="D244" s="68"/>
    </row>
    <row r="245" spans="1:4" x14ac:dyDescent="0.2">
      <c r="A245" s="68"/>
      <c r="B245" s="68"/>
      <c r="C245" s="68"/>
      <c r="D245" s="68"/>
    </row>
    <row r="246" spans="1:4" x14ac:dyDescent="0.2">
      <c r="A246" s="68"/>
      <c r="B246" s="68"/>
      <c r="C246" s="68"/>
      <c r="D246" s="68"/>
    </row>
    <row r="247" spans="1:4" x14ac:dyDescent="0.2">
      <c r="A247" s="68"/>
      <c r="B247" s="68"/>
      <c r="C247" s="68"/>
      <c r="D247" s="68"/>
    </row>
    <row r="248" spans="1:4" x14ac:dyDescent="0.2">
      <c r="A248" s="68"/>
      <c r="B248" s="68"/>
      <c r="C248" s="68"/>
      <c r="D248" s="68"/>
    </row>
    <row r="249" spans="1:4" x14ac:dyDescent="0.2">
      <c r="A249" s="68"/>
      <c r="B249" s="68"/>
      <c r="C249" s="68"/>
      <c r="D249" s="68"/>
    </row>
    <row r="250" spans="1:4" x14ac:dyDescent="0.2">
      <c r="A250" s="68"/>
      <c r="B250" s="68"/>
      <c r="C250" s="68"/>
      <c r="D250" s="68"/>
    </row>
    <row r="251" spans="1:4" x14ac:dyDescent="0.2">
      <c r="A251" s="68"/>
      <c r="B251" s="68"/>
      <c r="C251" s="68"/>
      <c r="D251" s="68"/>
    </row>
    <row r="252" spans="1:4" x14ac:dyDescent="0.2">
      <c r="A252" s="68"/>
      <c r="B252" s="68"/>
      <c r="C252" s="68"/>
      <c r="D252" s="68"/>
    </row>
    <row r="253" spans="1:4" x14ac:dyDescent="0.2">
      <c r="A253" s="68"/>
      <c r="B253" s="68"/>
      <c r="C253" s="68"/>
      <c r="D253" s="68"/>
    </row>
    <row r="254" spans="1:4" x14ac:dyDescent="0.2">
      <c r="A254" s="68"/>
      <c r="B254" s="68"/>
      <c r="C254" s="68"/>
      <c r="D254" s="68"/>
    </row>
    <row r="255" spans="1:4" x14ac:dyDescent="0.2">
      <c r="A255" s="68"/>
      <c r="B255" s="68"/>
      <c r="C255" s="68"/>
      <c r="D255" s="68"/>
    </row>
    <row r="256" spans="1:4" x14ac:dyDescent="0.2">
      <c r="A256" s="68"/>
      <c r="B256" s="68"/>
      <c r="C256" s="68"/>
      <c r="D256" s="68"/>
    </row>
    <row r="257" spans="1:4" x14ac:dyDescent="0.2">
      <c r="A257" s="68"/>
      <c r="B257" s="68"/>
      <c r="C257" s="68"/>
      <c r="D257" s="68"/>
    </row>
    <row r="258" spans="1:4" x14ac:dyDescent="0.2">
      <c r="A258" s="68"/>
      <c r="B258" s="68"/>
      <c r="C258" s="68"/>
      <c r="D258" s="68"/>
    </row>
    <row r="259" spans="1:4" x14ac:dyDescent="0.2">
      <c r="A259" s="68"/>
      <c r="B259" s="68"/>
      <c r="C259" s="68"/>
      <c r="D259" s="68"/>
    </row>
    <row r="260" spans="1:4" x14ac:dyDescent="0.2">
      <c r="A260" s="68"/>
      <c r="B260" s="68"/>
      <c r="C260" s="68"/>
      <c r="D260" s="68"/>
    </row>
    <row r="261" spans="1:4" x14ac:dyDescent="0.2">
      <c r="A261" s="68"/>
    </row>
    <row r="262" spans="1:4" x14ac:dyDescent="0.2">
      <c r="A262" s="68"/>
    </row>
    <row r="263" spans="1:4" x14ac:dyDescent="0.2">
      <c r="A263" s="68"/>
    </row>
    <row r="264" spans="1:4" x14ac:dyDescent="0.2">
      <c r="A264" s="68"/>
    </row>
    <row r="265" spans="1:4" x14ac:dyDescent="0.2">
      <c r="A265" s="68"/>
    </row>
    <row r="266" spans="1:4" x14ac:dyDescent="0.2">
      <c r="A266" s="68"/>
    </row>
    <row r="267" spans="1:4" x14ac:dyDescent="0.2">
      <c r="A267" s="68"/>
    </row>
    <row r="268" spans="1:4" x14ac:dyDescent="0.2">
      <c r="A268" s="68"/>
    </row>
    <row r="269" spans="1:4" x14ac:dyDescent="0.2">
      <c r="A269" s="68"/>
    </row>
    <row r="270" spans="1:4" x14ac:dyDescent="0.2">
      <c r="A270" s="68"/>
    </row>
    <row r="271" spans="1:4" x14ac:dyDescent="0.2">
      <c r="A271" s="68"/>
    </row>
    <row r="272" spans="1:4" x14ac:dyDescent="0.2">
      <c r="A272" s="68"/>
    </row>
    <row r="273" spans="1:1" x14ac:dyDescent="0.2">
      <c r="A273" s="68"/>
    </row>
    <row r="274" spans="1:1" x14ac:dyDescent="0.2">
      <c r="A274" s="68"/>
    </row>
    <row r="275" spans="1:1" x14ac:dyDescent="0.2">
      <c r="A275" s="68"/>
    </row>
    <row r="276" spans="1:1" x14ac:dyDescent="0.2">
      <c r="A276" s="68"/>
    </row>
    <row r="277" spans="1:1" x14ac:dyDescent="0.2">
      <c r="A277" s="68"/>
    </row>
    <row r="278" spans="1:1" x14ac:dyDescent="0.2">
      <c r="A278" s="68"/>
    </row>
    <row r="279" spans="1:1" x14ac:dyDescent="0.2">
      <c r="A279" s="68"/>
    </row>
    <row r="280" spans="1:1" x14ac:dyDescent="0.2">
      <c r="A280" s="68"/>
    </row>
    <row r="281" spans="1:1" x14ac:dyDescent="0.2">
      <c r="A281" s="68"/>
    </row>
    <row r="282" spans="1:1" x14ac:dyDescent="0.2">
      <c r="A282" s="68"/>
    </row>
    <row r="283" spans="1:1" x14ac:dyDescent="0.2">
      <c r="A283" s="68"/>
    </row>
    <row r="284" spans="1:1" x14ac:dyDescent="0.2">
      <c r="A284" s="68"/>
    </row>
    <row r="285" spans="1:1" x14ac:dyDescent="0.2">
      <c r="A285" s="68"/>
    </row>
    <row r="286" spans="1:1" x14ac:dyDescent="0.2">
      <c r="A286" s="68"/>
    </row>
    <row r="287" spans="1:1" x14ac:dyDescent="0.2">
      <c r="A287" s="68"/>
    </row>
    <row r="288" spans="1:1" x14ac:dyDescent="0.2">
      <c r="A288" s="68"/>
    </row>
    <row r="289" spans="1:1" x14ac:dyDescent="0.2">
      <c r="A289" s="68"/>
    </row>
    <row r="290" spans="1:1" x14ac:dyDescent="0.2">
      <c r="A290" s="68"/>
    </row>
    <row r="291" spans="1:1" x14ac:dyDescent="0.2">
      <c r="A291" s="68"/>
    </row>
    <row r="292" spans="1:1" x14ac:dyDescent="0.2">
      <c r="A292" s="68"/>
    </row>
    <row r="293" spans="1:1" x14ac:dyDescent="0.2">
      <c r="A293" s="68"/>
    </row>
    <row r="294" spans="1:1" x14ac:dyDescent="0.2">
      <c r="A294" s="68"/>
    </row>
    <row r="295" spans="1:1" x14ac:dyDescent="0.2">
      <c r="A295" s="68"/>
    </row>
    <row r="296" spans="1:1" x14ac:dyDescent="0.2">
      <c r="A296" s="68"/>
    </row>
    <row r="297" spans="1:1" x14ac:dyDescent="0.2">
      <c r="A297" s="68"/>
    </row>
    <row r="298" spans="1:1" x14ac:dyDescent="0.2">
      <c r="A298" s="68"/>
    </row>
    <row r="299" spans="1:1" x14ac:dyDescent="0.2">
      <c r="A299" s="68"/>
    </row>
    <row r="300" spans="1:1" x14ac:dyDescent="0.2">
      <c r="A300" s="68"/>
    </row>
    <row r="301" spans="1:1" x14ac:dyDescent="0.2">
      <c r="A301" s="68"/>
    </row>
    <row r="302" spans="1:1" x14ac:dyDescent="0.2">
      <c r="A302" s="68"/>
    </row>
    <row r="303" spans="1:1" x14ac:dyDescent="0.2">
      <c r="A303" s="68"/>
    </row>
    <row r="304" spans="1:1" x14ac:dyDescent="0.2">
      <c r="A304" s="68"/>
    </row>
    <row r="305" spans="1:1" x14ac:dyDescent="0.2">
      <c r="A305" s="68"/>
    </row>
    <row r="306" spans="1:1" x14ac:dyDescent="0.2">
      <c r="A306" s="68"/>
    </row>
    <row r="307" spans="1:1" x14ac:dyDescent="0.2">
      <c r="A307" s="68"/>
    </row>
    <row r="308" spans="1:1" x14ac:dyDescent="0.2">
      <c r="A308" s="68"/>
    </row>
    <row r="309" spans="1:1" x14ac:dyDescent="0.2">
      <c r="A309" s="68"/>
    </row>
    <row r="310" spans="1:1" x14ac:dyDescent="0.2">
      <c r="A310" s="68"/>
    </row>
    <row r="311" spans="1:1" x14ac:dyDescent="0.2">
      <c r="A311" s="68"/>
    </row>
    <row r="312" spans="1:1" x14ac:dyDescent="0.2">
      <c r="A312" s="68"/>
    </row>
    <row r="313" spans="1:1" x14ac:dyDescent="0.2">
      <c r="A313" s="68"/>
    </row>
    <row r="314" spans="1:1" x14ac:dyDescent="0.2">
      <c r="A314" s="68"/>
    </row>
    <row r="315" spans="1:1" x14ac:dyDescent="0.2">
      <c r="A315" s="68"/>
    </row>
    <row r="316" spans="1:1" x14ac:dyDescent="0.2">
      <c r="A316" s="68"/>
    </row>
    <row r="317" spans="1:1" x14ac:dyDescent="0.2">
      <c r="A317" s="68"/>
    </row>
    <row r="318" spans="1:1" x14ac:dyDescent="0.2">
      <c r="A318" s="68"/>
    </row>
    <row r="319" spans="1:1" x14ac:dyDescent="0.2">
      <c r="A319" s="68"/>
    </row>
    <row r="320" spans="1:1" x14ac:dyDescent="0.2">
      <c r="A320" s="68"/>
    </row>
    <row r="321" spans="1:1" x14ac:dyDescent="0.2">
      <c r="A321" s="68"/>
    </row>
    <row r="322" spans="1:1" x14ac:dyDescent="0.2">
      <c r="A322" s="68"/>
    </row>
    <row r="323" spans="1:1" x14ac:dyDescent="0.2">
      <c r="A323" s="68"/>
    </row>
    <row r="324" spans="1:1" x14ac:dyDescent="0.2">
      <c r="A324" s="68"/>
    </row>
    <row r="325" spans="1:1" x14ac:dyDescent="0.2">
      <c r="A325" s="68"/>
    </row>
    <row r="326" spans="1:1" x14ac:dyDescent="0.2">
      <c r="A326" s="68"/>
    </row>
    <row r="327" spans="1:1" x14ac:dyDescent="0.2">
      <c r="A327" s="68"/>
    </row>
    <row r="328" spans="1:1" x14ac:dyDescent="0.2">
      <c r="A328" s="68"/>
    </row>
    <row r="329" spans="1:1" x14ac:dyDescent="0.2">
      <c r="A329" s="68"/>
    </row>
    <row r="330" spans="1:1" x14ac:dyDescent="0.2">
      <c r="A330" s="68"/>
    </row>
    <row r="331" spans="1:1" x14ac:dyDescent="0.2">
      <c r="A331" s="68"/>
    </row>
    <row r="332" spans="1:1" x14ac:dyDescent="0.2">
      <c r="A332" s="68"/>
    </row>
    <row r="333" spans="1:1" x14ac:dyDescent="0.2">
      <c r="A333" s="68"/>
    </row>
    <row r="334" spans="1:1" x14ac:dyDescent="0.2">
      <c r="A334" s="68"/>
    </row>
    <row r="335" spans="1:1" x14ac:dyDescent="0.2">
      <c r="A335" s="68"/>
    </row>
    <row r="336" spans="1:1" x14ac:dyDescent="0.2">
      <c r="A336" s="68"/>
    </row>
    <row r="337" spans="1:1" x14ac:dyDescent="0.2">
      <c r="A337" s="68"/>
    </row>
    <row r="338" spans="1:1" x14ac:dyDescent="0.2">
      <c r="A338" s="68"/>
    </row>
    <row r="339" spans="1:1" x14ac:dyDescent="0.2">
      <c r="A339" s="68"/>
    </row>
    <row r="340" spans="1:1" x14ac:dyDescent="0.2">
      <c r="A340" s="68"/>
    </row>
    <row r="341" spans="1:1" x14ac:dyDescent="0.2">
      <c r="A341" s="68"/>
    </row>
    <row r="342" spans="1:1" x14ac:dyDescent="0.2">
      <c r="A342" s="68"/>
    </row>
    <row r="343" spans="1:1" x14ac:dyDescent="0.2">
      <c r="A343" s="68"/>
    </row>
    <row r="344" spans="1:1" x14ac:dyDescent="0.2">
      <c r="A344" s="68"/>
    </row>
    <row r="345" spans="1:1" x14ac:dyDescent="0.2">
      <c r="A345" s="68"/>
    </row>
    <row r="346" spans="1:1" x14ac:dyDescent="0.2">
      <c r="A346" s="68"/>
    </row>
    <row r="347" spans="1:1" x14ac:dyDescent="0.2">
      <c r="A347" s="68"/>
    </row>
    <row r="348" spans="1:1" x14ac:dyDescent="0.2">
      <c r="A348" s="68"/>
    </row>
    <row r="349" spans="1:1" x14ac:dyDescent="0.2">
      <c r="A349" s="68"/>
    </row>
    <row r="350" spans="1:1" x14ac:dyDescent="0.2">
      <c r="A350" s="68"/>
    </row>
    <row r="351" spans="1:1" x14ac:dyDescent="0.2">
      <c r="A351" s="68"/>
    </row>
    <row r="352" spans="1:1" x14ac:dyDescent="0.2">
      <c r="A352" s="68"/>
    </row>
    <row r="353" spans="1:1" x14ac:dyDescent="0.2">
      <c r="A353" s="68"/>
    </row>
    <row r="354" spans="1:1" x14ac:dyDescent="0.2">
      <c r="A354" s="68"/>
    </row>
    <row r="355" spans="1:1" x14ac:dyDescent="0.2">
      <c r="A355" s="68"/>
    </row>
    <row r="356" spans="1:1" x14ac:dyDescent="0.2">
      <c r="A356" s="68"/>
    </row>
    <row r="357" spans="1:1" x14ac:dyDescent="0.2">
      <c r="A357" s="68"/>
    </row>
    <row r="358" spans="1:1" x14ac:dyDescent="0.2">
      <c r="A358" s="68"/>
    </row>
    <row r="359" spans="1:1" x14ac:dyDescent="0.2">
      <c r="A359" s="68"/>
    </row>
    <row r="360" spans="1:1" x14ac:dyDescent="0.2">
      <c r="A360" s="68"/>
    </row>
    <row r="361" spans="1:1" x14ac:dyDescent="0.2">
      <c r="A361" s="68"/>
    </row>
    <row r="362" spans="1:1" x14ac:dyDescent="0.2">
      <c r="A362" s="68"/>
    </row>
    <row r="363" spans="1:1" x14ac:dyDescent="0.2">
      <c r="A363" s="68"/>
    </row>
    <row r="364" spans="1:1" x14ac:dyDescent="0.2">
      <c r="A364" s="68"/>
    </row>
    <row r="365" spans="1:1" x14ac:dyDescent="0.2">
      <c r="A365" s="68"/>
    </row>
    <row r="366" spans="1:1" x14ac:dyDescent="0.2">
      <c r="A366" s="68"/>
    </row>
    <row r="367" spans="1:1" x14ac:dyDescent="0.2">
      <c r="A367" s="68"/>
    </row>
    <row r="368" spans="1:1" x14ac:dyDescent="0.2">
      <c r="A368" s="68"/>
    </row>
    <row r="369" spans="1:1" x14ac:dyDescent="0.2">
      <c r="A369" s="68"/>
    </row>
    <row r="370" spans="1:1" x14ac:dyDescent="0.2">
      <c r="A370" s="68"/>
    </row>
    <row r="371" spans="1:1" x14ac:dyDescent="0.2">
      <c r="A371" s="68"/>
    </row>
    <row r="372" spans="1:1" x14ac:dyDescent="0.2">
      <c r="A372" s="68"/>
    </row>
    <row r="373" spans="1:1" x14ac:dyDescent="0.2">
      <c r="A373" s="68"/>
    </row>
    <row r="374" spans="1:1" x14ac:dyDescent="0.2">
      <c r="A374" s="68"/>
    </row>
    <row r="375" spans="1:1" x14ac:dyDescent="0.2">
      <c r="A375" s="68"/>
    </row>
    <row r="376" spans="1:1" x14ac:dyDescent="0.2">
      <c r="A376" s="68"/>
    </row>
    <row r="377" spans="1:1" x14ac:dyDescent="0.2">
      <c r="A377" s="68"/>
    </row>
    <row r="378" spans="1:1" x14ac:dyDescent="0.2">
      <c r="A378" s="68"/>
    </row>
    <row r="379" spans="1:1" x14ac:dyDescent="0.2">
      <c r="A379" s="68"/>
    </row>
    <row r="380" spans="1:1" x14ac:dyDescent="0.2">
      <c r="A380" s="68"/>
    </row>
    <row r="381" spans="1:1" x14ac:dyDescent="0.2">
      <c r="A381" s="68"/>
    </row>
    <row r="382" spans="1:1" x14ac:dyDescent="0.2">
      <c r="A382" s="68"/>
    </row>
    <row r="383" spans="1:1" x14ac:dyDescent="0.2">
      <c r="A383" s="68"/>
    </row>
    <row r="384" spans="1:1" x14ac:dyDescent="0.2">
      <c r="A384" s="68"/>
    </row>
    <row r="385" spans="1:1" x14ac:dyDescent="0.2">
      <c r="A385" s="68"/>
    </row>
    <row r="386" spans="1:1" x14ac:dyDescent="0.2">
      <c r="A386" s="68"/>
    </row>
    <row r="387" spans="1:1" x14ac:dyDescent="0.2">
      <c r="A387" s="68"/>
    </row>
    <row r="388" spans="1:1" x14ac:dyDescent="0.2">
      <c r="A388" s="68"/>
    </row>
    <row r="389" spans="1:1" x14ac:dyDescent="0.2">
      <c r="A389" s="68"/>
    </row>
    <row r="390" spans="1:1" x14ac:dyDescent="0.2">
      <c r="A390" s="68"/>
    </row>
    <row r="391" spans="1:1" x14ac:dyDescent="0.2">
      <c r="A391" s="68"/>
    </row>
    <row r="392" spans="1:1" x14ac:dyDescent="0.2">
      <c r="A392" s="68"/>
    </row>
    <row r="393" spans="1:1" x14ac:dyDescent="0.2">
      <c r="A393" s="68"/>
    </row>
    <row r="394" spans="1:1" x14ac:dyDescent="0.2">
      <c r="A394" s="68"/>
    </row>
    <row r="395" spans="1:1" x14ac:dyDescent="0.2">
      <c r="A395" s="68"/>
    </row>
    <row r="396" spans="1:1" x14ac:dyDescent="0.2">
      <c r="A396" s="68"/>
    </row>
    <row r="397" spans="1:1" x14ac:dyDescent="0.2">
      <c r="A397" s="68"/>
    </row>
    <row r="398" spans="1:1" x14ac:dyDescent="0.2">
      <c r="A398" s="68"/>
    </row>
    <row r="399" spans="1:1" x14ac:dyDescent="0.2">
      <c r="A399" s="68"/>
    </row>
    <row r="400" spans="1:1" x14ac:dyDescent="0.2">
      <c r="A400" s="68"/>
    </row>
    <row r="401" spans="1:1" x14ac:dyDescent="0.2">
      <c r="A401" s="68"/>
    </row>
    <row r="402" spans="1:1" x14ac:dyDescent="0.2">
      <c r="A402" s="68"/>
    </row>
    <row r="403" spans="1:1" x14ac:dyDescent="0.2">
      <c r="A403" s="68"/>
    </row>
    <row r="404" spans="1:1" x14ac:dyDescent="0.2">
      <c r="A404" s="68"/>
    </row>
    <row r="405" spans="1:1" x14ac:dyDescent="0.2">
      <c r="A405" s="68"/>
    </row>
    <row r="406" spans="1:1" x14ac:dyDescent="0.2">
      <c r="A406" s="68"/>
    </row>
    <row r="407" spans="1:1" x14ac:dyDescent="0.2">
      <c r="A407" s="68"/>
    </row>
    <row r="408" spans="1:1" x14ac:dyDescent="0.2">
      <c r="A408" s="68"/>
    </row>
    <row r="409" spans="1:1" x14ac:dyDescent="0.2">
      <c r="A409" s="68"/>
    </row>
    <row r="410" spans="1:1" x14ac:dyDescent="0.2">
      <c r="A410" s="68"/>
    </row>
    <row r="411" spans="1:1" x14ac:dyDescent="0.2">
      <c r="A411" s="68"/>
    </row>
    <row r="412" spans="1:1" x14ac:dyDescent="0.2">
      <c r="A412" s="68"/>
    </row>
    <row r="413" spans="1:1" x14ac:dyDescent="0.2">
      <c r="A413" s="68"/>
    </row>
    <row r="414" spans="1:1" x14ac:dyDescent="0.2">
      <c r="A414" s="68"/>
    </row>
    <row r="415" spans="1:1" x14ac:dyDescent="0.2">
      <c r="A415" s="68"/>
    </row>
    <row r="416" spans="1:1" x14ac:dyDescent="0.2">
      <c r="A416" s="68"/>
    </row>
    <row r="417" spans="1:1" x14ac:dyDescent="0.2">
      <c r="A417" s="68"/>
    </row>
    <row r="418" spans="1:1" x14ac:dyDescent="0.2">
      <c r="A418" s="68"/>
    </row>
    <row r="419" spans="1:1" x14ac:dyDescent="0.2">
      <c r="A419" s="68"/>
    </row>
    <row r="420" spans="1:1" x14ac:dyDescent="0.2">
      <c r="A420" s="68"/>
    </row>
    <row r="421" spans="1:1" x14ac:dyDescent="0.2">
      <c r="A421" s="68"/>
    </row>
    <row r="422" spans="1:1" x14ac:dyDescent="0.2">
      <c r="A422" s="68"/>
    </row>
    <row r="423" spans="1:1" x14ac:dyDescent="0.2">
      <c r="A423" s="68"/>
    </row>
    <row r="424" spans="1:1" x14ac:dyDescent="0.2">
      <c r="A424" s="68"/>
    </row>
    <row r="425" spans="1:1" x14ac:dyDescent="0.2">
      <c r="A425" s="68"/>
    </row>
    <row r="426" spans="1:1" x14ac:dyDescent="0.2">
      <c r="A426" s="68"/>
    </row>
    <row r="427" spans="1:1" x14ac:dyDescent="0.2">
      <c r="A427" s="68"/>
    </row>
    <row r="428" spans="1:1" x14ac:dyDescent="0.2">
      <c r="A428" s="68"/>
    </row>
    <row r="429" spans="1:1" x14ac:dyDescent="0.2">
      <c r="A429" s="68"/>
    </row>
    <row r="430" spans="1:1" x14ac:dyDescent="0.2">
      <c r="A430" s="68"/>
    </row>
    <row r="431" spans="1:1" x14ac:dyDescent="0.2">
      <c r="A431" s="68"/>
    </row>
    <row r="432" spans="1:1" x14ac:dyDescent="0.2">
      <c r="A432" s="68"/>
    </row>
    <row r="433" spans="1:1" x14ac:dyDescent="0.2">
      <c r="A433" s="68"/>
    </row>
    <row r="434" spans="1:1" x14ac:dyDescent="0.2">
      <c r="A434" s="68"/>
    </row>
    <row r="435" spans="1:1" x14ac:dyDescent="0.2">
      <c r="A435" s="68"/>
    </row>
    <row r="436" spans="1:1" x14ac:dyDescent="0.2">
      <c r="A436" s="68"/>
    </row>
    <row r="437" spans="1:1" x14ac:dyDescent="0.2">
      <c r="A437" s="68"/>
    </row>
    <row r="438" spans="1:1" x14ac:dyDescent="0.2">
      <c r="A438" s="68"/>
    </row>
    <row r="439" spans="1:1" x14ac:dyDescent="0.2">
      <c r="A439" s="68"/>
    </row>
    <row r="440" spans="1:1" x14ac:dyDescent="0.2">
      <c r="A440" s="68"/>
    </row>
    <row r="441" spans="1:1" x14ac:dyDescent="0.2">
      <c r="A441" s="68"/>
    </row>
    <row r="442" spans="1:1" x14ac:dyDescent="0.2">
      <c r="A442" s="68"/>
    </row>
    <row r="443" spans="1:1" x14ac:dyDescent="0.2">
      <c r="A443" s="68"/>
    </row>
    <row r="444" spans="1:1" x14ac:dyDescent="0.2">
      <c r="A444" s="68"/>
    </row>
    <row r="445" spans="1:1" x14ac:dyDescent="0.2">
      <c r="A445" s="68"/>
    </row>
    <row r="446" spans="1:1" x14ac:dyDescent="0.2">
      <c r="A446" s="68"/>
    </row>
    <row r="447" spans="1:1" x14ac:dyDescent="0.2">
      <c r="A447" s="68"/>
    </row>
    <row r="448" spans="1:1" x14ac:dyDescent="0.2">
      <c r="A448" s="68"/>
    </row>
    <row r="449" spans="1:1" x14ac:dyDescent="0.2">
      <c r="A449" s="68"/>
    </row>
    <row r="450" spans="1:1" x14ac:dyDescent="0.2">
      <c r="A450" s="68"/>
    </row>
    <row r="451" spans="1:1" x14ac:dyDescent="0.2">
      <c r="A451" s="68"/>
    </row>
    <row r="452" spans="1:1" x14ac:dyDescent="0.2">
      <c r="A452" s="68"/>
    </row>
    <row r="453" spans="1:1" x14ac:dyDescent="0.2">
      <c r="A453" s="68"/>
    </row>
    <row r="454" spans="1:1" x14ac:dyDescent="0.2">
      <c r="A454" s="68"/>
    </row>
    <row r="455" spans="1:1" x14ac:dyDescent="0.2">
      <c r="A455" s="68"/>
    </row>
    <row r="456" spans="1:1" x14ac:dyDescent="0.2">
      <c r="A456" s="68"/>
    </row>
    <row r="457" spans="1:1" x14ac:dyDescent="0.2">
      <c r="A457" s="68"/>
    </row>
    <row r="458" spans="1:1" x14ac:dyDescent="0.2">
      <c r="A458" s="68"/>
    </row>
    <row r="459" spans="1:1" x14ac:dyDescent="0.2">
      <c r="A459" s="68"/>
    </row>
    <row r="460" spans="1:1" x14ac:dyDescent="0.2">
      <c r="A460" s="68"/>
    </row>
    <row r="461" spans="1:1" x14ac:dyDescent="0.2">
      <c r="A461" s="68"/>
    </row>
    <row r="462" spans="1:1" x14ac:dyDescent="0.2">
      <c r="A462" s="68"/>
    </row>
    <row r="463" spans="1:1" x14ac:dyDescent="0.2">
      <c r="A463" s="68"/>
    </row>
    <row r="464" spans="1:1" x14ac:dyDescent="0.2">
      <c r="A464" s="68"/>
    </row>
    <row r="465" spans="1:1" x14ac:dyDescent="0.2">
      <c r="A465" s="68"/>
    </row>
    <row r="466" spans="1:1" x14ac:dyDescent="0.2">
      <c r="A466" s="68"/>
    </row>
    <row r="467" spans="1:1" x14ac:dyDescent="0.2">
      <c r="A467" s="68"/>
    </row>
    <row r="468" spans="1:1" x14ac:dyDescent="0.2">
      <c r="A468" s="68"/>
    </row>
    <row r="469" spans="1:1" x14ac:dyDescent="0.2">
      <c r="A469" s="68"/>
    </row>
    <row r="470" spans="1:1" x14ac:dyDescent="0.2">
      <c r="A470" s="68"/>
    </row>
    <row r="471" spans="1:1" x14ac:dyDescent="0.2">
      <c r="A471" s="68"/>
    </row>
    <row r="472" spans="1:1" x14ac:dyDescent="0.2">
      <c r="A472" s="68"/>
    </row>
    <row r="473" spans="1:1" x14ac:dyDescent="0.2">
      <c r="A473" s="68"/>
    </row>
    <row r="474" spans="1:1" x14ac:dyDescent="0.2">
      <c r="A474" s="68"/>
    </row>
    <row r="475" spans="1:1" x14ac:dyDescent="0.2">
      <c r="A475" s="68"/>
    </row>
    <row r="476" spans="1:1" x14ac:dyDescent="0.2">
      <c r="A476" s="68"/>
    </row>
    <row r="477" spans="1:1" x14ac:dyDescent="0.2">
      <c r="A477" s="68"/>
    </row>
    <row r="478" spans="1:1" x14ac:dyDescent="0.2">
      <c r="A478" s="68"/>
    </row>
    <row r="479" spans="1:1" x14ac:dyDescent="0.2">
      <c r="A479" s="68"/>
    </row>
    <row r="480" spans="1:1" x14ac:dyDescent="0.2">
      <c r="A480" s="68"/>
    </row>
    <row r="481" spans="1:1" x14ac:dyDescent="0.2">
      <c r="A481" s="68"/>
    </row>
    <row r="482" spans="1:1" x14ac:dyDescent="0.2">
      <c r="A482" s="68"/>
    </row>
    <row r="483" spans="1:1" x14ac:dyDescent="0.2">
      <c r="A483" s="68"/>
    </row>
    <row r="484" spans="1:1" x14ac:dyDescent="0.2">
      <c r="A484" s="68"/>
    </row>
    <row r="485" spans="1:1" x14ac:dyDescent="0.2">
      <c r="A485" s="68"/>
    </row>
    <row r="486" spans="1:1" x14ac:dyDescent="0.2">
      <c r="A486" s="68"/>
    </row>
    <row r="487" spans="1:1" x14ac:dyDescent="0.2">
      <c r="A487" s="68"/>
    </row>
    <row r="488" spans="1:1" x14ac:dyDescent="0.2">
      <c r="A488" s="68"/>
    </row>
    <row r="489" spans="1:1" x14ac:dyDescent="0.2">
      <c r="A489" s="68"/>
    </row>
    <row r="490" spans="1:1" x14ac:dyDescent="0.2">
      <c r="A490" s="68"/>
    </row>
    <row r="491" spans="1:1" x14ac:dyDescent="0.2">
      <c r="A491" s="68"/>
    </row>
    <row r="492" spans="1:1" x14ac:dyDescent="0.2">
      <c r="A492" s="68"/>
    </row>
    <row r="493" spans="1:1" x14ac:dyDescent="0.2">
      <c r="A493" s="68"/>
    </row>
    <row r="494" spans="1:1" x14ac:dyDescent="0.2">
      <c r="A494" s="68"/>
    </row>
    <row r="495" spans="1:1" x14ac:dyDescent="0.2">
      <c r="A495" s="68"/>
    </row>
    <row r="496" spans="1:1" x14ac:dyDescent="0.2">
      <c r="A496" s="68"/>
    </row>
    <row r="497" spans="1:1" x14ac:dyDescent="0.2">
      <c r="A497" s="68"/>
    </row>
    <row r="498" spans="1:1" x14ac:dyDescent="0.2">
      <c r="A498" s="68"/>
    </row>
    <row r="499" spans="1:1" x14ac:dyDescent="0.2">
      <c r="A499" s="68"/>
    </row>
    <row r="500" spans="1:1" x14ac:dyDescent="0.2">
      <c r="A500" s="68"/>
    </row>
    <row r="501" spans="1:1" x14ac:dyDescent="0.2">
      <c r="A501" s="68"/>
    </row>
    <row r="502" spans="1:1" x14ac:dyDescent="0.2">
      <c r="A502" s="68"/>
    </row>
    <row r="503" spans="1:1" x14ac:dyDescent="0.2">
      <c r="A503" s="68"/>
    </row>
    <row r="504" spans="1:1" x14ac:dyDescent="0.2">
      <c r="A504" s="68"/>
    </row>
    <row r="505" spans="1:1" x14ac:dyDescent="0.2">
      <c r="A505" s="68"/>
    </row>
    <row r="506" spans="1:1" x14ac:dyDescent="0.2">
      <c r="A506" s="68"/>
    </row>
    <row r="507" spans="1:1" x14ac:dyDescent="0.2">
      <c r="A507" s="68"/>
    </row>
    <row r="508" spans="1:1" x14ac:dyDescent="0.2">
      <c r="A508" s="68"/>
    </row>
    <row r="509" spans="1:1" x14ac:dyDescent="0.2">
      <c r="A509" s="68"/>
    </row>
    <row r="510" spans="1:1" x14ac:dyDescent="0.2">
      <c r="A510" s="68"/>
    </row>
    <row r="511" spans="1:1" x14ac:dyDescent="0.2">
      <c r="A511" s="68"/>
    </row>
    <row r="512" spans="1:1" x14ac:dyDescent="0.2">
      <c r="A512" s="68"/>
    </row>
    <row r="513" spans="1:1" x14ac:dyDescent="0.2">
      <c r="A513" s="68"/>
    </row>
    <row r="514" spans="1:1" x14ac:dyDescent="0.2">
      <c r="A514" s="68"/>
    </row>
    <row r="515" spans="1:1" x14ac:dyDescent="0.2">
      <c r="A515" s="68"/>
    </row>
    <row r="516" spans="1:1" x14ac:dyDescent="0.2">
      <c r="A516" s="68"/>
    </row>
    <row r="517" spans="1:1" x14ac:dyDescent="0.2">
      <c r="A517" s="68"/>
    </row>
    <row r="518" spans="1:1" x14ac:dyDescent="0.2">
      <c r="A518" s="68"/>
    </row>
    <row r="519" spans="1:1" x14ac:dyDescent="0.2">
      <c r="A519" s="68"/>
    </row>
    <row r="520" spans="1:1" x14ac:dyDescent="0.2">
      <c r="A520" s="68"/>
    </row>
    <row r="521" spans="1:1" x14ac:dyDescent="0.2">
      <c r="A521" s="68"/>
    </row>
    <row r="522" spans="1:1" x14ac:dyDescent="0.2">
      <c r="A522" s="68"/>
    </row>
    <row r="523" spans="1:1" x14ac:dyDescent="0.2">
      <c r="A523" s="68"/>
    </row>
    <row r="524" spans="1:1" x14ac:dyDescent="0.2">
      <c r="A524" s="68"/>
    </row>
    <row r="525" spans="1:1" x14ac:dyDescent="0.2">
      <c r="A525" s="68"/>
    </row>
    <row r="526" spans="1:1" x14ac:dyDescent="0.2">
      <c r="A526" s="68"/>
    </row>
    <row r="527" spans="1:1" x14ac:dyDescent="0.2">
      <c r="A527" s="68"/>
    </row>
    <row r="528" spans="1:1" x14ac:dyDescent="0.2">
      <c r="A528" s="68"/>
    </row>
    <row r="529" spans="1:1" x14ac:dyDescent="0.2">
      <c r="A529" s="68"/>
    </row>
    <row r="530" spans="1:1" x14ac:dyDescent="0.2">
      <c r="A530" s="68"/>
    </row>
    <row r="531" spans="1:1" x14ac:dyDescent="0.2">
      <c r="A531" s="68"/>
    </row>
    <row r="532" spans="1:1" x14ac:dyDescent="0.2">
      <c r="A532" s="68"/>
    </row>
    <row r="533" spans="1:1" x14ac:dyDescent="0.2">
      <c r="A533" s="68"/>
    </row>
    <row r="534" spans="1:1" x14ac:dyDescent="0.2">
      <c r="A534" s="68"/>
    </row>
    <row r="535" spans="1:1" x14ac:dyDescent="0.2">
      <c r="A535" s="68"/>
    </row>
    <row r="536" spans="1:1" x14ac:dyDescent="0.2">
      <c r="A536" s="68"/>
    </row>
    <row r="537" spans="1:1" x14ac:dyDescent="0.2">
      <c r="A537" s="68"/>
    </row>
    <row r="538" spans="1:1" x14ac:dyDescent="0.2">
      <c r="A538" s="68"/>
    </row>
    <row r="539" spans="1:1" x14ac:dyDescent="0.2">
      <c r="A539" s="68"/>
    </row>
    <row r="540" spans="1:1" x14ac:dyDescent="0.2">
      <c r="A540" s="68"/>
    </row>
    <row r="541" spans="1:1" x14ac:dyDescent="0.2">
      <c r="A541" s="68"/>
    </row>
    <row r="542" spans="1:1" x14ac:dyDescent="0.2">
      <c r="A542" s="68"/>
    </row>
    <row r="543" spans="1:1" x14ac:dyDescent="0.2">
      <c r="A543" s="68"/>
    </row>
    <row r="544" spans="1:1" x14ac:dyDescent="0.2">
      <c r="A544" s="68"/>
    </row>
    <row r="545" spans="1:1" x14ac:dyDescent="0.2">
      <c r="A545" s="68"/>
    </row>
    <row r="546" spans="1:1" x14ac:dyDescent="0.2">
      <c r="A546" s="68"/>
    </row>
    <row r="547" spans="1:1" x14ac:dyDescent="0.2">
      <c r="A547" s="68"/>
    </row>
    <row r="548" spans="1:1" x14ac:dyDescent="0.2">
      <c r="A548" s="68"/>
    </row>
    <row r="549" spans="1:1" x14ac:dyDescent="0.2">
      <c r="A549" s="68"/>
    </row>
    <row r="550" spans="1:1" x14ac:dyDescent="0.2">
      <c r="A550" s="68"/>
    </row>
    <row r="551" spans="1:1" x14ac:dyDescent="0.2">
      <c r="A551" s="68"/>
    </row>
    <row r="552" spans="1:1" x14ac:dyDescent="0.2">
      <c r="A552" s="68"/>
    </row>
    <row r="553" spans="1:1" x14ac:dyDescent="0.2">
      <c r="A553" s="68"/>
    </row>
    <row r="554" spans="1:1" x14ac:dyDescent="0.2">
      <c r="A554" s="68"/>
    </row>
    <row r="555" spans="1:1" x14ac:dyDescent="0.2">
      <c r="A555" s="68"/>
    </row>
    <row r="556" spans="1:1" x14ac:dyDescent="0.2">
      <c r="A556" s="68"/>
    </row>
    <row r="557" spans="1:1" x14ac:dyDescent="0.2">
      <c r="A557" s="68"/>
    </row>
    <row r="558" spans="1:1" x14ac:dyDescent="0.2">
      <c r="A558" s="68"/>
    </row>
    <row r="559" spans="1:1" x14ac:dyDescent="0.2">
      <c r="A559" s="68"/>
    </row>
    <row r="560" spans="1:1" x14ac:dyDescent="0.2">
      <c r="A560" s="68"/>
    </row>
    <row r="561" spans="1:1" x14ac:dyDescent="0.2">
      <c r="A561" s="68"/>
    </row>
    <row r="562" spans="1:1" x14ac:dyDescent="0.2">
      <c r="A562" s="68"/>
    </row>
    <row r="563" spans="1:1" x14ac:dyDescent="0.2">
      <c r="A563" s="68"/>
    </row>
    <row r="564" spans="1:1" x14ac:dyDescent="0.2">
      <c r="A564" s="68"/>
    </row>
    <row r="565" spans="1:1" x14ac:dyDescent="0.2">
      <c r="A565" s="68"/>
    </row>
    <row r="566" spans="1:1" x14ac:dyDescent="0.2">
      <c r="A566" s="68"/>
    </row>
    <row r="567" spans="1:1" x14ac:dyDescent="0.2">
      <c r="A567" s="68"/>
    </row>
    <row r="568" spans="1:1" x14ac:dyDescent="0.2">
      <c r="A568" s="68"/>
    </row>
    <row r="569" spans="1:1" x14ac:dyDescent="0.2">
      <c r="A569" s="68"/>
    </row>
    <row r="570" spans="1:1" x14ac:dyDescent="0.2">
      <c r="A570" s="68"/>
    </row>
    <row r="571" spans="1:1" x14ac:dyDescent="0.2">
      <c r="A571" s="68"/>
    </row>
    <row r="572" spans="1:1" x14ac:dyDescent="0.2">
      <c r="A572" s="68"/>
    </row>
    <row r="573" spans="1:1" x14ac:dyDescent="0.2">
      <c r="A573" s="68"/>
    </row>
    <row r="574" spans="1:1" x14ac:dyDescent="0.2">
      <c r="A574" s="68"/>
    </row>
    <row r="575" spans="1:1" x14ac:dyDescent="0.2">
      <c r="A575" s="68"/>
    </row>
    <row r="576" spans="1:1" x14ac:dyDescent="0.2">
      <c r="A576" s="68"/>
    </row>
    <row r="577" spans="1:1" x14ac:dyDescent="0.2">
      <c r="A577" s="68"/>
    </row>
    <row r="578" spans="1:1" x14ac:dyDescent="0.2">
      <c r="A578" s="68"/>
    </row>
    <row r="579" spans="1:1" x14ac:dyDescent="0.2">
      <c r="A579" s="68"/>
    </row>
    <row r="580" spans="1:1" x14ac:dyDescent="0.2">
      <c r="A580" s="68"/>
    </row>
    <row r="581" spans="1:1" x14ac:dyDescent="0.2">
      <c r="A581" s="68"/>
    </row>
    <row r="582" spans="1:1" x14ac:dyDescent="0.2">
      <c r="A582" s="68"/>
    </row>
    <row r="583" spans="1:1" x14ac:dyDescent="0.2">
      <c r="A583" s="68"/>
    </row>
    <row r="584" spans="1:1" x14ac:dyDescent="0.2">
      <c r="A584" s="68"/>
    </row>
    <row r="585" spans="1:1" x14ac:dyDescent="0.2">
      <c r="A585" s="68"/>
    </row>
    <row r="586" spans="1:1" x14ac:dyDescent="0.2">
      <c r="A586" s="68"/>
    </row>
    <row r="587" spans="1:1" x14ac:dyDescent="0.2">
      <c r="A587" s="68"/>
    </row>
    <row r="588" spans="1:1" x14ac:dyDescent="0.2">
      <c r="A588" s="68"/>
    </row>
    <row r="589" spans="1:1" x14ac:dyDescent="0.2">
      <c r="A589" s="68"/>
    </row>
    <row r="590" spans="1:1" x14ac:dyDescent="0.2">
      <c r="A590" s="68"/>
    </row>
    <row r="591" spans="1:1" x14ac:dyDescent="0.2">
      <c r="A591" s="68"/>
    </row>
    <row r="592" spans="1:1" x14ac:dyDescent="0.2">
      <c r="A592" s="68"/>
    </row>
    <row r="593" spans="1:1" x14ac:dyDescent="0.2">
      <c r="A593" s="68"/>
    </row>
    <row r="594" spans="1:1" x14ac:dyDescent="0.2">
      <c r="A594" s="68"/>
    </row>
    <row r="595" spans="1:1" x14ac:dyDescent="0.2">
      <c r="A595" s="68"/>
    </row>
    <row r="596" spans="1:1" x14ac:dyDescent="0.2">
      <c r="A596" s="68"/>
    </row>
    <row r="597" spans="1:1" x14ac:dyDescent="0.2">
      <c r="A597" s="68"/>
    </row>
    <row r="598" spans="1:1" x14ac:dyDescent="0.2">
      <c r="A598" s="68"/>
    </row>
    <row r="599" spans="1:1" x14ac:dyDescent="0.2">
      <c r="A599" s="68"/>
    </row>
    <row r="600" spans="1:1" x14ac:dyDescent="0.2">
      <c r="A600" s="68"/>
    </row>
    <row r="601" spans="1:1" x14ac:dyDescent="0.2">
      <c r="A601" s="68"/>
    </row>
    <row r="602" spans="1:1" x14ac:dyDescent="0.2">
      <c r="A602" s="68"/>
    </row>
    <row r="603" spans="1:1" x14ac:dyDescent="0.2">
      <c r="A603" s="68"/>
    </row>
    <row r="604" spans="1:1" x14ac:dyDescent="0.2">
      <c r="A604" s="68"/>
    </row>
    <row r="605" spans="1:1" x14ac:dyDescent="0.2">
      <c r="A605" s="68"/>
    </row>
    <row r="606" spans="1:1" x14ac:dyDescent="0.2">
      <c r="A606" s="68"/>
    </row>
    <row r="607" spans="1:1" x14ac:dyDescent="0.2">
      <c r="A607" s="68"/>
    </row>
    <row r="608" spans="1:1" x14ac:dyDescent="0.2">
      <c r="A608" s="68"/>
    </row>
    <row r="609" spans="1:1" x14ac:dyDescent="0.2">
      <c r="A609" s="68"/>
    </row>
    <row r="610" spans="1:1" x14ac:dyDescent="0.2">
      <c r="A610" s="68"/>
    </row>
    <row r="611" spans="1:1" x14ac:dyDescent="0.2">
      <c r="A611" s="68"/>
    </row>
    <row r="612" spans="1:1" x14ac:dyDescent="0.2">
      <c r="A612" s="68"/>
    </row>
    <row r="613" spans="1:1" x14ac:dyDescent="0.2">
      <c r="A613" s="68"/>
    </row>
    <row r="614" spans="1:1" x14ac:dyDescent="0.2">
      <c r="A614" s="68"/>
    </row>
    <row r="615" spans="1:1" x14ac:dyDescent="0.2">
      <c r="A615" s="68"/>
    </row>
    <row r="616" spans="1:1" x14ac:dyDescent="0.2">
      <c r="A616" s="68"/>
    </row>
    <row r="617" spans="1:1" x14ac:dyDescent="0.2">
      <c r="A617" s="68"/>
    </row>
    <row r="618" spans="1:1" x14ac:dyDescent="0.2">
      <c r="A618" s="68"/>
    </row>
    <row r="619" spans="1:1" x14ac:dyDescent="0.2">
      <c r="A619" s="68"/>
    </row>
    <row r="620" spans="1:1" x14ac:dyDescent="0.2">
      <c r="A620" s="68"/>
    </row>
    <row r="621" spans="1:1" x14ac:dyDescent="0.2">
      <c r="A621" s="68"/>
    </row>
    <row r="622" spans="1:1" x14ac:dyDescent="0.2">
      <c r="A622" s="68"/>
    </row>
    <row r="623" spans="1:1" x14ac:dyDescent="0.2">
      <c r="A623" s="68"/>
    </row>
    <row r="624" spans="1:1" x14ac:dyDescent="0.2">
      <c r="A624" s="68"/>
    </row>
    <row r="625" spans="1:1" x14ac:dyDescent="0.2">
      <c r="A625" s="68"/>
    </row>
    <row r="626" spans="1:1" x14ac:dyDescent="0.2">
      <c r="A626" s="68"/>
    </row>
    <row r="627" spans="1:1" x14ac:dyDescent="0.2">
      <c r="A627" s="68"/>
    </row>
    <row r="628" spans="1:1" x14ac:dyDescent="0.2">
      <c r="A628" s="68"/>
    </row>
    <row r="629" spans="1:1" x14ac:dyDescent="0.2">
      <c r="A629" s="68"/>
    </row>
    <row r="630" spans="1:1" x14ac:dyDescent="0.2">
      <c r="A630" s="68"/>
    </row>
    <row r="631" spans="1:1" x14ac:dyDescent="0.2">
      <c r="A631" s="68"/>
    </row>
    <row r="632" spans="1:1" x14ac:dyDescent="0.2">
      <c r="A632" s="68"/>
    </row>
    <row r="633" spans="1:1" x14ac:dyDescent="0.2">
      <c r="A633" s="68"/>
    </row>
    <row r="634" spans="1:1" x14ac:dyDescent="0.2">
      <c r="A634" s="68"/>
    </row>
    <row r="635" spans="1:1" x14ac:dyDescent="0.2">
      <c r="A635" s="68"/>
    </row>
    <row r="636" spans="1:1" x14ac:dyDescent="0.2">
      <c r="A636" s="68"/>
    </row>
    <row r="637" spans="1:1" x14ac:dyDescent="0.2">
      <c r="A637" s="68"/>
    </row>
    <row r="638" spans="1:1" x14ac:dyDescent="0.2">
      <c r="A638" s="68"/>
    </row>
    <row r="639" spans="1:1" x14ac:dyDescent="0.2">
      <c r="A639" s="68"/>
    </row>
    <row r="640" spans="1:1" x14ac:dyDescent="0.2">
      <c r="A640" s="68"/>
    </row>
    <row r="641" spans="1:1" x14ac:dyDescent="0.2">
      <c r="A641" s="68"/>
    </row>
    <row r="642" spans="1:1" x14ac:dyDescent="0.2">
      <c r="A642" s="68"/>
    </row>
    <row r="643" spans="1:1" x14ac:dyDescent="0.2">
      <c r="A643" s="68"/>
    </row>
    <row r="644" spans="1:1" x14ac:dyDescent="0.2">
      <c r="A644" s="68"/>
    </row>
    <row r="645" spans="1:1" x14ac:dyDescent="0.2">
      <c r="A645" s="68"/>
    </row>
    <row r="646" spans="1:1" x14ac:dyDescent="0.2">
      <c r="A646" s="68"/>
    </row>
    <row r="647" spans="1:1" x14ac:dyDescent="0.2">
      <c r="A647" s="68"/>
    </row>
    <row r="648" spans="1:1" x14ac:dyDescent="0.2">
      <c r="A648" s="68"/>
    </row>
    <row r="649" spans="1:1" x14ac:dyDescent="0.2">
      <c r="A649" s="68"/>
    </row>
    <row r="650" spans="1:1" x14ac:dyDescent="0.2">
      <c r="A650" s="68"/>
    </row>
    <row r="651" spans="1:1" x14ac:dyDescent="0.2">
      <c r="A651" s="68"/>
    </row>
    <row r="652" spans="1:1" x14ac:dyDescent="0.2">
      <c r="A652" s="68"/>
    </row>
    <row r="653" spans="1:1" x14ac:dyDescent="0.2">
      <c r="A653" s="68"/>
    </row>
    <row r="654" spans="1:1" x14ac:dyDescent="0.2">
      <c r="A654" s="68"/>
    </row>
    <row r="655" spans="1:1" x14ac:dyDescent="0.2">
      <c r="A655" s="68"/>
    </row>
    <row r="656" spans="1:1" x14ac:dyDescent="0.2">
      <c r="A656" s="68"/>
    </row>
    <row r="657" spans="1:1" x14ac:dyDescent="0.2">
      <c r="A657" s="68"/>
    </row>
    <row r="658" spans="1:1" x14ac:dyDescent="0.2">
      <c r="A658" s="68"/>
    </row>
    <row r="659" spans="1:1" x14ac:dyDescent="0.2">
      <c r="A659" s="68"/>
    </row>
    <row r="660" spans="1:1" x14ac:dyDescent="0.2">
      <c r="A660" s="68"/>
    </row>
    <row r="661" spans="1:1" x14ac:dyDescent="0.2">
      <c r="A661" s="68"/>
    </row>
    <row r="662" spans="1:1" x14ac:dyDescent="0.2">
      <c r="A662" s="68"/>
    </row>
    <row r="663" spans="1:1" x14ac:dyDescent="0.2">
      <c r="A663" s="68"/>
    </row>
    <row r="664" spans="1:1" x14ac:dyDescent="0.2">
      <c r="A664" s="68"/>
    </row>
    <row r="665" spans="1:1" x14ac:dyDescent="0.2">
      <c r="A665" s="68"/>
    </row>
    <row r="666" spans="1:1" x14ac:dyDescent="0.2">
      <c r="A666" s="68"/>
    </row>
    <row r="667" spans="1:1" x14ac:dyDescent="0.2">
      <c r="A667" s="68"/>
    </row>
    <row r="668" spans="1:1" x14ac:dyDescent="0.2">
      <c r="A668" s="68"/>
    </row>
    <row r="669" spans="1:1" x14ac:dyDescent="0.2">
      <c r="A669" s="68"/>
    </row>
    <row r="670" spans="1:1" x14ac:dyDescent="0.2">
      <c r="A670" s="68"/>
    </row>
    <row r="671" spans="1:1" x14ac:dyDescent="0.2">
      <c r="A671" s="68"/>
    </row>
    <row r="672" spans="1:1" x14ac:dyDescent="0.2">
      <c r="A672" s="68"/>
    </row>
    <row r="673" spans="1:1" x14ac:dyDescent="0.2">
      <c r="A673" s="68"/>
    </row>
    <row r="674" spans="1:1" x14ac:dyDescent="0.2">
      <c r="A674" s="68"/>
    </row>
    <row r="675" spans="1:1" x14ac:dyDescent="0.2">
      <c r="A675" s="68"/>
    </row>
    <row r="676" spans="1:1" x14ac:dyDescent="0.2">
      <c r="A676" s="68"/>
    </row>
    <row r="677" spans="1:1" x14ac:dyDescent="0.2">
      <c r="A677" s="68"/>
    </row>
    <row r="678" spans="1:1" x14ac:dyDescent="0.2">
      <c r="A678" s="68"/>
    </row>
    <row r="679" spans="1:1" x14ac:dyDescent="0.2">
      <c r="A679" s="68"/>
    </row>
    <row r="680" spans="1:1" x14ac:dyDescent="0.2">
      <c r="A680" s="68"/>
    </row>
    <row r="681" spans="1:1" x14ac:dyDescent="0.2">
      <c r="A681" s="68"/>
    </row>
    <row r="682" spans="1:1" x14ac:dyDescent="0.2">
      <c r="A682" s="68"/>
    </row>
    <row r="683" spans="1:1" x14ac:dyDescent="0.2">
      <c r="A683" s="68"/>
    </row>
    <row r="684" spans="1:1" x14ac:dyDescent="0.2">
      <c r="A684" s="68"/>
    </row>
    <row r="685" spans="1:1" x14ac:dyDescent="0.2">
      <c r="A685" s="68"/>
    </row>
    <row r="686" spans="1:1" x14ac:dyDescent="0.2">
      <c r="A686" s="68"/>
    </row>
    <row r="687" spans="1:1" x14ac:dyDescent="0.2">
      <c r="A687" s="68"/>
    </row>
    <row r="688" spans="1:1" x14ac:dyDescent="0.2">
      <c r="A688" s="68"/>
    </row>
    <row r="689" spans="1:1" x14ac:dyDescent="0.2">
      <c r="A689" s="68"/>
    </row>
    <row r="690" spans="1:1" x14ac:dyDescent="0.2">
      <c r="A690" s="68"/>
    </row>
    <row r="691" spans="1:1" x14ac:dyDescent="0.2">
      <c r="A691" s="68"/>
    </row>
    <row r="692" spans="1:1" x14ac:dyDescent="0.2">
      <c r="A692" s="68"/>
    </row>
    <row r="693" spans="1:1" x14ac:dyDescent="0.2">
      <c r="A693" s="68"/>
    </row>
    <row r="694" spans="1:1" x14ac:dyDescent="0.2">
      <c r="A694" s="68"/>
    </row>
    <row r="695" spans="1:1" x14ac:dyDescent="0.2">
      <c r="A695" s="68"/>
    </row>
    <row r="696" spans="1:1" x14ac:dyDescent="0.2">
      <c r="A696" s="68"/>
    </row>
    <row r="697" spans="1:1" x14ac:dyDescent="0.2">
      <c r="A697" s="68"/>
    </row>
    <row r="698" spans="1:1" x14ac:dyDescent="0.2">
      <c r="A698" s="68"/>
    </row>
    <row r="699" spans="1:1" x14ac:dyDescent="0.2">
      <c r="A699" s="68"/>
    </row>
    <row r="700" spans="1:1" x14ac:dyDescent="0.2">
      <c r="A700" s="68"/>
    </row>
    <row r="701" spans="1:1" x14ac:dyDescent="0.2">
      <c r="A701" s="68"/>
    </row>
    <row r="702" spans="1:1" x14ac:dyDescent="0.2">
      <c r="A702" s="68"/>
    </row>
    <row r="703" spans="1:1" x14ac:dyDescent="0.2">
      <c r="A703" s="68"/>
    </row>
    <row r="704" spans="1:1" x14ac:dyDescent="0.2">
      <c r="A704" s="68"/>
    </row>
    <row r="705" spans="1:1" x14ac:dyDescent="0.2">
      <c r="A705" s="68"/>
    </row>
    <row r="706" spans="1:1" x14ac:dyDescent="0.2">
      <c r="A706" s="68"/>
    </row>
    <row r="707" spans="1:1" x14ac:dyDescent="0.2">
      <c r="A707" s="68"/>
    </row>
    <row r="708" spans="1:1" x14ac:dyDescent="0.2">
      <c r="A708" s="68"/>
    </row>
    <row r="709" spans="1:1" x14ac:dyDescent="0.2">
      <c r="A709" s="68"/>
    </row>
    <row r="710" spans="1:1" x14ac:dyDescent="0.2">
      <c r="A710" s="68"/>
    </row>
    <row r="711" spans="1:1" x14ac:dyDescent="0.2">
      <c r="A711" s="68"/>
    </row>
    <row r="712" spans="1:1" x14ac:dyDescent="0.2">
      <c r="A712" s="68"/>
    </row>
    <row r="713" spans="1:1" x14ac:dyDescent="0.2">
      <c r="A713" s="68"/>
    </row>
    <row r="714" spans="1:1" x14ac:dyDescent="0.2">
      <c r="A714" s="68"/>
    </row>
    <row r="715" spans="1:1" x14ac:dyDescent="0.2">
      <c r="A715" s="68"/>
    </row>
    <row r="716" spans="1:1" x14ac:dyDescent="0.2">
      <c r="A716" s="68"/>
    </row>
    <row r="717" spans="1:1" x14ac:dyDescent="0.2">
      <c r="A717" s="68"/>
    </row>
    <row r="718" spans="1:1" x14ac:dyDescent="0.2">
      <c r="A718" s="68"/>
    </row>
    <row r="719" spans="1:1" x14ac:dyDescent="0.2">
      <c r="A719" s="68"/>
    </row>
    <row r="720" spans="1:1" x14ac:dyDescent="0.2">
      <c r="A720" s="68"/>
    </row>
    <row r="721" spans="1:1" x14ac:dyDescent="0.2">
      <c r="A721" s="68"/>
    </row>
    <row r="722" spans="1:1" x14ac:dyDescent="0.2">
      <c r="A722" s="68"/>
    </row>
    <row r="723" spans="1:1" x14ac:dyDescent="0.2">
      <c r="A723" s="68"/>
    </row>
    <row r="724" spans="1:1" x14ac:dyDescent="0.2">
      <c r="A724" s="68"/>
    </row>
    <row r="725" spans="1:1" x14ac:dyDescent="0.2">
      <c r="A725" s="68"/>
    </row>
    <row r="726" spans="1:1" x14ac:dyDescent="0.2">
      <c r="A726" s="68"/>
    </row>
    <row r="727" spans="1:1" x14ac:dyDescent="0.2">
      <c r="A727" s="68"/>
    </row>
    <row r="728" spans="1:1" x14ac:dyDescent="0.2">
      <c r="A728" s="68"/>
    </row>
    <row r="729" spans="1:1" x14ac:dyDescent="0.2">
      <c r="A729" s="68"/>
    </row>
    <row r="730" spans="1:1" x14ac:dyDescent="0.2">
      <c r="A730" s="68"/>
    </row>
    <row r="731" spans="1:1" x14ac:dyDescent="0.2">
      <c r="A731" s="68"/>
    </row>
    <row r="732" spans="1:1" x14ac:dyDescent="0.2">
      <c r="A732" s="68"/>
    </row>
    <row r="733" spans="1:1" x14ac:dyDescent="0.2">
      <c r="A733" s="68"/>
    </row>
    <row r="734" spans="1:1" x14ac:dyDescent="0.2">
      <c r="A734" s="68"/>
    </row>
    <row r="735" spans="1:1" x14ac:dyDescent="0.2">
      <c r="A735" s="68"/>
    </row>
    <row r="736" spans="1:1" x14ac:dyDescent="0.2">
      <c r="A736" s="68"/>
    </row>
    <row r="737" spans="1:1" x14ac:dyDescent="0.2">
      <c r="A737" s="68"/>
    </row>
    <row r="738" spans="1:1" x14ac:dyDescent="0.2">
      <c r="A738" s="68"/>
    </row>
    <row r="739" spans="1:1" x14ac:dyDescent="0.2">
      <c r="A739" s="68"/>
    </row>
    <row r="740" spans="1:1" x14ac:dyDescent="0.2">
      <c r="A740" s="68"/>
    </row>
    <row r="741" spans="1:1" x14ac:dyDescent="0.2">
      <c r="A741" s="68"/>
    </row>
    <row r="742" spans="1:1" x14ac:dyDescent="0.2">
      <c r="A742" s="68"/>
    </row>
    <row r="743" spans="1:1" x14ac:dyDescent="0.2">
      <c r="A743" s="68"/>
    </row>
    <row r="744" spans="1:1" x14ac:dyDescent="0.2">
      <c r="A744" s="68"/>
    </row>
    <row r="745" spans="1:1" x14ac:dyDescent="0.2">
      <c r="A745" s="68"/>
    </row>
    <row r="746" spans="1:1" x14ac:dyDescent="0.2">
      <c r="A746" s="68"/>
    </row>
    <row r="747" spans="1:1" x14ac:dyDescent="0.2">
      <c r="A747" s="68"/>
    </row>
    <row r="748" spans="1:1" x14ac:dyDescent="0.2">
      <c r="A748" s="68"/>
    </row>
    <row r="749" spans="1:1" x14ac:dyDescent="0.2">
      <c r="A749" s="68"/>
    </row>
    <row r="750" spans="1:1" x14ac:dyDescent="0.2">
      <c r="A750" s="68"/>
    </row>
    <row r="751" spans="1:1" x14ac:dyDescent="0.2">
      <c r="A751" s="68"/>
    </row>
    <row r="752" spans="1:1" x14ac:dyDescent="0.2">
      <c r="A752" s="68"/>
    </row>
    <row r="753" spans="1:1" x14ac:dyDescent="0.2">
      <c r="A753" s="68"/>
    </row>
    <row r="754" spans="1:1" x14ac:dyDescent="0.2">
      <c r="A754" s="68"/>
    </row>
    <row r="755" spans="1:1" x14ac:dyDescent="0.2">
      <c r="A755" s="68"/>
    </row>
    <row r="756" spans="1:1" x14ac:dyDescent="0.2">
      <c r="A756" s="68"/>
    </row>
    <row r="757" spans="1:1" x14ac:dyDescent="0.2">
      <c r="A757" s="68"/>
    </row>
    <row r="758" spans="1:1" x14ac:dyDescent="0.2">
      <c r="A758" s="68"/>
    </row>
    <row r="759" spans="1:1" x14ac:dyDescent="0.2">
      <c r="A759" s="68"/>
    </row>
    <row r="760" spans="1:1" x14ac:dyDescent="0.2">
      <c r="A760" s="68"/>
    </row>
    <row r="761" spans="1:1" x14ac:dyDescent="0.2">
      <c r="A761" s="68"/>
    </row>
    <row r="762" spans="1:1" x14ac:dyDescent="0.2">
      <c r="A762" s="68"/>
    </row>
    <row r="763" spans="1:1" x14ac:dyDescent="0.2">
      <c r="A763" s="68"/>
    </row>
    <row r="764" spans="1:1" x14ac:dyDescent="0.2">
      <c r="A764" s="68"/>
    </row>
    <row r="765" spans="1:1" x14ac:dyDescent="0.2">
      <c r="A765" s="68"/>
    </row>
    <row r="766" spans="1:1" x14ac:dyDescent="0.2">
      <c r="A766" s="68"/>
    </row>
    <row r="767" spans="1:1" x14ac:dyDescent="0.2">
      <c r="A767" s="68"/>
    </row>
    <row r="768" spans="1:1" x14ac:dyDescent="0.2">
      <c r="A768" s="68"/>
    </row>
    <row r="769" spans="1:1" x14ac:dyDescent="0.2">
      <c r="A769" s="68"/>
    </row>
    <row r="770" spans="1:1" x14ac:dyDescent="0.2">
      <c r="A770" s="68"/>
    </row>
    <row r="771" spans="1:1" x14ac:dyDescent="0.2">
      <c r="A771" s="68"/>
    </row>
    <row r="772" spans="1:1" x14ac:dyDescent="0.2">
      <c r="A772" s="68"/>
    </row>
    <row r="773" spans="1:1" x14ac:dyDescent="0.2">
      <c r="A773" s="68"/>
    </row>
    <row r="774" spans="1:1" x14ac:dyDescent="0.2">
      <c r="A774" s="68"/>
    </row>
    <row r="775" spans="1:1" x14ac:dyDescent="0.2">
      <c r="A775" s="68"/>
    </row>
    <row r="776" spans="1:1" x14ac:dyDescent="0.2">
      <c r="A776" s="68"/>
    </row>
    <row r="777" spans="1:1" x14ac:dyDescent="0.2">
      <c r="A777" s="68"/>
    </row>
    <row r="778" spans="1:1" x14ac:dyDescent="0.2">
      <c r="A778" s="68"/>
    </row>
    <row r="779" spans="1:1" x14ac:dyDescent="0.2">
      <c r="A779" s="68"/>
    </row>
    <row r="780" spans="1:1" x14ac:dyDescent="0.2">
      <c r="A780" s="68"/>
    </row>
    <row r="781" spans="1:1" x14ac:dyDescent="0.2">
      <c r="A781" s="68"/>
    </row>
    <row r="782" spans="1:1" x14ac:dyDescent="0.2">
      <c r="A782" s="68"/>
    </row>
    <row r="783" spans="1:1" x14ac:dyDescent="0.2">
      <c r="A783" s="68"/>
    </row>
    <row r="784" spans="1:1" x14ac:dyDescent="0.2">
      <c r="A784" s="68"/>
    </row>
    <row r="785" spans="1:1" x14ac:dyDescent="0.2">
      <c r="A785" s="68"/>
    </row>
    <row r="786" spans="1:1" x14ac:dyDescent="0.2">
      <c r="A786" s="68"/>
    </row>
    <row r="787" spans="1:1" x14ac:dyDescent="0.2">
      <c r="A787" s="68"/>
    </row>
    <row r="788" spans="1:1" x14ac:dyDescent="0.2">
      <c r="A788" s="68"/>
    </row>
    <row r="789" spans="1:1" x14ac:dyDescent="0.2">
      <c r="A789" s="68"/>
    </row>
    <row r="790" spans="1:1" x14ac:dyDescent="0.2">
      <c r="A790" s="68"/>
    </row>
    <row r="791" spans="1:1" x14ac:dyDescent="0.2">
      <c r="A791" s="68"/>
    </row>
    <row r="792" spans="1:1" x14ac:dyDescent="0.2">
      <c r="A792" s="68"/>
    </row>
    <row r="793" spans="1:1" x14ac:dyDescent="0.2">
      <c r="A793" s="68"/>
    </row>
    <row r="794" spans="1:1" x14ac:dyDescent="0.2">
      <c r="A794" s="68"/>
    </row>
    <row r="795" spans="1:1" x14ac:dyDescent="0.2">
      <c r="A795" s="68"/>
    </row>
    <row r="796" spans="1:1" x14ac:dyDescent="0.2">
      <c r="A796" s="68"/>
    </row>
    <row r="797" spans="1:1" x14ac:dyDescent="0.2">
      <c r="A797" s="68"/>
    </row>
    <row r="798" spans="1:1" x14ac:dyDescent="0.2">
      <c r="A798" s="68"/>
    </row>
    <row r="799" spans="1:1" x14ac:dyDescent="0.2">
      <c r="A799" s="68"/>
    </row>
    <row r="800" spans="1:1" x14ac:dyDescent="0.2">
      <c r="A800" s="68"/>
    </row>
    <row r="801" spans="1:1" x14ac:dyDescent="0.2">
      <c r="A801" s="68"/>
    </row>
    <row r="802" spans="1:1" x14ac:dyDescent="0.2">
      <c r="A802" s="68"/>
    </row>
    <row r="803" spans="1:1" x14ac:dyDescent="0.2">
      <c r="A803" s="68"/>
    </row>
    <row r="804" spans="1:1" x14ac:dyDescent="0.2">
      <c r="A804" s="68"/>
    </row>
    <row r="805" spans="1:1" x14ac:dyDescent="0.2">
      <c r="A805" s="68"/>
    </row>
    <row r="806" spans="1:1" x14ac:dyDescent="0.2">
      <c r="A806" s="68"/>
    </row>
    <row r="807" spans="1:1" x14ac:dyDescent="0.2">
      <c r="A807" s="68"/>
    </row>
    <row r="808" spans="1:1" x14ac:dyDescent="0.2">
      <c r="A808" s="68"/>
    </row>
    <row r="809" spans="1:1" x14ac:dyDescent="0.2">
      <c r="A809" s="68"/>
    </row>
    <row r="810" spans="1:1" x14ac:dyDescent="0.2">
      <c r="A810" s="68"/>
    </row>
    <row r="811" spans="1:1" x14ac:dyDescent="0.2">
      <c r="A811" s="68"/>
    </row>
    <row r="812" spans="1:1" x14ac:dyDescent="0.2">
      <c r="A812" s="68"/>
    </row>
    <row r="813" spans="1:1" x14ac:dyDescent="0.2">
      <c r="A813" s="68"/>
    </row>
    <row r="814" spans="1:1" x14ac:dyDescent="0.2">
      <c r="A814" s="68"/>
    </row>
    <row r="815" spans="1:1" x14ac:dyDescent="0.2">
      <c r="A815" s="68"/>
    </row>
    <row r="816" spans="1:1" x14ac:dyDescent="0.2">
      <c r="A816" s="68"/>
    </row>
    <row r="817" spans="1:1" x14ac:dyDescent="0.2">
      <c r="A817" s="68"/>
    </row>
    <row r="818" spans="1:1" x14ac:dyDescent="0.2">
      <c r="A818" s="68"/>
    </row>
    <row r="819" spans="1:1" x14ac:dyDescent="0.2">
      <c r="A819" s="68"/>
    </row>
    <row r="820" spans="1:1" x14ac:dyDescent="0.2">
      <c r="A820" s="68"/>
    </row>
    <row r="821" spans="1:1" x14ac:dyDescent="0.2">
      <c r="A821" s="68"/>
    </row>
    <row r="822" spans="1:1" x14ac:dyDescent="0.2">
      <c r="A822" s="68"/>
    </row>
    <row r="823" spans="1:1" x14ac:dyDescent="0.2">
      <c r="A823" s="68"/>
    </row>
    <row r="824" spans="1:1" x14ac:dyDescent="0.2">
      <c r="A824" s="68"/>
    </row>
    <row r="825" spans="1:1" x14ac:dyDescent="0.2">
      <c r="A825" s="68"/>
    </row>
    <row r="826" spans="1:1" x14ac:dyDescent="0.2">
      <c r="A826" s="68"/>
    </row>
    <row r="827" spans="1:1" x14ac:dyDescent="0.2">
      <c r="A827" s="68"/>
    </row>
    <row r="828" spans="1:1" x14ac:dyDescent="0.2">
      <c r="A828" s="68"/>
    </row>
    <row r="829" spans="1:1" x14ac:dyDescent="0.2">
      <c r="A829" s="68"/>
    </row>
    <row r="830" spans="1:1" x14ac:dyDescent="0.2">
      <c r="A830" s="68"/>
    </row>
    <row r="831" spans="1:1" x14ac:dyDescent="0.2">
      <c r="A831" s="68"/>
    </row>
    <row r="832" spans="1:1" x14ac:dyDescent="0.2">
      <c r="A832" s="68"/>
    </row>
    <row r="833" spans="1:1" x14ac:dyDescent="0.2">
      <c r="A833" s="68"/>
    </row>
    <row r="834" spans="1:1" x14ac:dyDescent="0.2">
      <c r="A834" s="68"/>
    </row>
    <row r="835" spans="1:1" x14ac:dyDescent="0.2">
      <c r="A835" s="68"/>
    </row>
    <row r="836" spans="1:1" x14ac:dyDescent="0.2">
      <c r="A836" s="68"/>
    </row>
    <row r="837" spans="1:1" x14ac:dyDescent="0.2">
      <c r="A837" s="68"/>
    </row>
    <row r="838" spans="1:1" x14ac:dyDescent="0.2">
      <c r="A838" s="68"/>
    </row>
    <row r="839" spans="1:1" x14ac:dyDescent="0.2">
      <c r="A839" s="68"/>
    </row>
    <row r="840" spans="1:1" x14ac:dyDescent="0.2">
      <c r="A840" s="68"/>
    </row>
    <row r="841" spans="1:1" x14ac:dyDescent="0.2">
      <c r="A841" s="68"/>
    </row>
    <row r="842" spans="1:1" x14ac:dyDescent="0.2">
      <c r="A842" s="68"/>
    </row>
    <row r="843" spans="1:1" x14ac:dyDescent="0.2">
      <c r="A843" s="68"/>
    </row>
    <row r="844" spans="1:1" x14ac:dyDescent="0.2">
      <c r="A844" s="68"/>
    </row>
    <row r="845" spans="1:1" x14ac:dyDescent="0.2">
      <c r="A845" s="68"/>
    </row>
    <row r="846" spans="1:1" x14ac:dyDescent="0.2">
      <c r="A846" s="68"/>
    </row>
    <row r="847" spans="1:1" x14ac:dyDescent="0.2">
      <c r="A847" s="68"/>
    </row>
    <row r="848" spans="1:1" x14ac:dyDescent="0.2">
      <c r="A848" s="68"/>
    </row>
    <row r="849" spans="1:1" x14ac:dyDescent="0.2">
      <c r="A849" s="68"/>
    </row>
    <row r="850" spans="1:1" x14ac:dyDescent="0.2">
      <c r="A850" s="68"/>
    </row>
    <row r="851" spans="1:1" x14ac:dyDescent="0.2">
      <c r="A851" s="68"/>
    </row>
    <row r="852" spans="1:1" x14ac:dyDescent="0.2">
      <c r="A852" s="68"/>
    </row>
    <row r="853" spans="1:1" x14ac:dyDescent="0.2">
      <c r="A853" s="68"/>
    </row>
    <row r="854" spans="1:1" x14ac:dyDescent="0.2">
      <c r="A854" s="68"/>
    </row>
    <row r="855" spans="1:1" x14ac:dyDescent="0.2">
      <c r="A855" s="68"/>
    </row>
    <row r="856" spans="1:1" x14ac:dyDescent="0.2">
      <c r="A856" s="68"/>
    </row>
    <row r="857" spans="1:1" x14ac:dyDescent="0.2">
      <c r="A857" s="68"/>
    </row>
    <row r="858" spans="1:1" x14ac:dyDescent="0.2">
      <c r="A858" s="68"/>
    </row>
    <row r="859" spans="1:1" x14ac:dyDescent="0.2">
      <c r="A859" s="68"/>
    </row>
    <row r="860" spans="1:1" x14ac:dyDescent="0.2">
      <c r="A860" s="68"/>
    </row>
    <row r="861" spans="1:1" x14ac:dyDescent="0.2">
      <c r="A861" s="68"/>
    </row>
    <row r="862" spans="1:1" x14ac:dyDescent="0.2">
      <c r="A862" s="68"/>
    </row>
    <row r="863" spans="1:1" x14ac:dyDescent="0.2">
      <c r="A863" s="68"/>
    </row>
    <row r="864" spans="1:1" x14ac:dyDescent="0.2">
      <c r="A864" s="68"/>
    </row>
    <row r="865" spans="1:1" x14ac:dyDescent="0.2">
      <c r="A865" s="68"/>
    </row>
    <row r="866" spans="1:1" x14ac:dyDescent="0.2">
      <c r="A866" s="68"/>
    </row>
    <row r="867" spans="1:1" x14ac:dyDescent="0.2">
      <c r="A867" s="68"/>
    </row>
    <row r="868" spans="1:1" x14ac:dyDescent="0.2">
      <c r="A868" s="68"/>
    </row>
    <row r="869" spans="1:1" x14ac:dyDescent="0.2">
      <c r="A869" s="68"/>
    </row>
    <row r="870" spans="1:1" x14ac:dyDescent="0.2">
      <c r="A870" s="68"/>
    </row>
    <row r="871" spans="1:1" x14ac:dyDescent="0.2">
      <c r="A871" s="68"/>
    </row>
    <row r="872" spans="1:1" x14ac:dyDescent="0.2">
      <c r="A872" s="68"/>
    </row>
    <row r="873" spans="1:1" x14ac:dyDescent="0.2">
      <c r="A873" s="68"/>
    </row>
    <row r="874" spans="1:1" x14ac:dyDescent="0.2">
      <c r="A874" s="68"/>
    </row>
    <row r="875" spans="1:1" x14ac:dyDescent="0.2">
      <c r="A875" s="68"/>
    </row>
    <row r="876" spans="1:1" x14ac:dyDescent="0.2">
      <c r="A876" s="68"/>
    </row>
    <row r="877" spans="1:1" x14ac:dyDescent="0.2">
      <c r="A877" s="68"/>
    </row>
    <row r="878" spans="1:1" x14ac:dyDescent="0.2">
      <c r="A878" s="68"/>
    </row>
    <row r="879" spans="1:1" x14ac:dyDescent="0.2">
      <c r="A879" s="68"/>
    </row>
    <row r="880" spans="1:1" x14ac:dyDescent="0.2">
      <c r="A880" s="68"/>
    </row>
    <row r="881" spans="1:1" x14ac:dyDescent="0.2">
      <c r="A881" s="68"/>
    </row>
    <row r="882" spans="1:1" x14ac:dyDescent="0.2">
      <c r="A882" s="68"/>
    </row>
    <row r="883" spans="1:1" x14ac:dyDescent="0.2">
      <c r="A883" s="68"/>
    </row>
    <row r="884" spans="1:1" x14ac:dyDescent="0.2">
      <c r="A884" s="68"/>
    </row>
    <row r="885" spans="1:1" x14ac:dyDescent="0.2">
      <c r="A885" s="68"/>
    </row>
    <row r="886" spans="1:1" x14ac:dyDescent="0.2">
      <c r="A886" s="68"/>
    </row>
    <row r="887" spans="1:1" x14ac:dyDescent="0.2">
      <c r="A887" s="68"/>
    </row>
    <row r="888" spans="1:1" x14ac:dyDescent="0.2">
      <c r="A888" s="68"/>
    </row>
    <row r="889" spans="1:1" x14ac:dyDescent="0.2">
      <c r="A889" s="68"/>
    </row>
    <row r="890" spans="1:1" x14ac:dyDescent="0.2">
      <c r="A890" s="68"/>
    </row>
    <row r="891" spans="1:1" x14ac:dyDescent="0.2">
      <c r="A891" s="68"/>
    </row>
    <row r="892" spans="1:1" x14ac:dyDescent="0.2">
      <c r="A892" s="68"/>
    </row>
    <row r="893" spans="1:1" x14ac:dyDescent="0.2">
      <c r="A893" s="68"/>
    </row>
    <row r="894" spans="1:1" x14ac:dyDescent="0.2">
      <c r="A894" s="68"/>
    </row>
    <row r="895" spans="1:1" x14ac:dyDescent="0.2">
      <c r="A895" s="68"/>
    </row>
    <row r="896" spans="1:1" x14ac:dyDescent="0.2">
      <c r="A896" s="68"/>
    </row>
    <row r="897" spans="1:1" x14ac:dyDescent="0.2">
      <c r="A897" s="68"/>
    </row>
    <row r="898" spans="1:1" x14ac:dyDescent="0.2">
      <c r="A898" s="68"/>
    </row>
    <row r="899" spans="1:1" x14ac:dyDescent="0.2">
      <c r="A899" s="68"/>
    </row>
    <row r="900" spans="1:1" x14ac:dyDescent="0.2">
      <c r="A900" s="68"/>
    </row>
    <row r="901" spans="1:1" x14ac:dyDescent="0.2">
      <c r="A901" s="68"/>
    </row>
    <row r="902" spans="1:1" x14ac:dyDescent="0.2">
      <c r="A902" s="68"/>
    </row>
    <row r="903" spans="1:1" x14ac:dyDescent="0.2">
      <c r="A903" s="68"/>
    </row>
    <row r="904" spans="1:1" x14ac:dyDescent="0.2">
      <c r="A904" s="68"/>
    </row>
    <row r="905" spans="1:1" x14ac:dyDescent="0.2">
      <c r="A905" s="68"/>
    </row>
    <row r="906" spans="1:1" x14ac:dyDescent="0.2">
      <c r="A906" s="68"/>
    </row>
    <row r="907" spans="1:1" x14ac:dyDescent="0.2">
      <c r="A907" s="68"/>
    </row>
    <row r="908" spans="1:1" x14ac:dyDescent="0.2">
      <c r="A908" s="68"/>
    </row>
    <row r="909" spans="1:1" x14ac:dyDescent="0.2">
      <c r="A909" s="68"/>
    </row>
    <row r="910" spans="1:1" x14ac:dyDescent="0.2">
      <c r="A910" s="68"/>
    </row>
    <row r="911" spans="1:1" x14ac:dyDescent="0.2">
      <c r="A911" s="68"/>
    </row>
    <row r="912" spans="1:1" x14ac:dyDescent="0.2">
      <c r="A912" s="68"/>
    </row>
    <row r="913" spans="1:1" x14ac:dyDescent="0.2">
      <c r="A913" s="68"/>
    </row>
    <row r="914" spans="1:1" x14ac:dyDescent="0.2">
      <c r="A914" s="68"/>
    </row>
    <row r="915" spans="1:1" x14ac:dyDescent="0.2">
      <c r="A915" s="68"/>
    </row>
    <row r="916" spans="1:1" x14ac:dyDescent="0.2">
      <c r="A916" s="68"/>
    </row>
    <row r="917" spans="1:1" x14ac:dyDescent="0.2">
      <c r="A917" s="68"/>
    </row>
    <row r="918" spans="1:1" x14ac:dyDescent="0.2">
      <c r="A918" s="68"/>
    </row>
    <row r="919" spans="1:1" x14ac:dyDescent="0.2">
      <c r="A919" s="68"/>
    </row>
    <row r="920" spans="1:1" x14ac:dyDescent="0.2">
      <c r="A920" s="68"/>
    </row>
    <row r="921" spans="1:1" x14ac:dyDescent="0.2">
      <c r="A921" s="68"/>
    </row>
    <row r="922" spans="1:1" x14ac:dyDescent="0.2">
      <c r="A922" s="68"/>
    </row>
    <row r="923" spans="1:1" x14ac:dyDescent="0.2">
      <c r="A923" s="68"/>
    </row>
    <row r="924" spans="1:1" x14ac:dyDescent="0.2">
      <c r="A924" s="68"/>
    </row>
    <row r="925" spans="1:1" x14ac:dyDescent="0.2">
      <c r="A925" s="68"/>
    </row>
    <row r="926" spans="1:1" x14ac:dyDescent="0.2">
      <c r="A926" s="68"/>
    </row>
    <row r="927" spans="1:1" x14ac:dyDescent="0.2">
      <c r="A927" s="68"/>
    </row>
    <row r="928" spans="1:1" x14ac:dyDescent="0.2">
      <c r="A928" s="68"/>
    </row>
    <row r="929" spans="1:1" x14ac:dyDescent="0.2">
      <c r="A929" s="68"/>
    </row>
    <row r="930" spans="1:1" x14ac:dyDescent="0.2">
      <c r="A930" s="68"/>
    </row>
    <row r="931" spans="1:1" x14ac:dyDescent="0.2">
      <c r="A931" s="68"/>
    </row>
    <row r="932" spans="1:1" x14ac:dyDescent="0.2">
      <c r="A932" s="68"/>
    </row>
    <row r="933" spans="1:1" x14ac:dyDescent="0.2">
      <c r="A933" s="68"/>
    </row>
    <row r="934" spans="1:1" x14ac:dyDescent="0.2">
      <c r="A934" s="68"/>
    </row>
    <row r="935" spans="1:1" x14ac:dyDescent="0.2">
      <c r="A935" s="68"/>
    </row>
    <row r="936" spans="1:1" x14ac:dyDescent="0.2">
      <c r="A936" s="68"/>
    </row>
    <row r="937" spans="1:1" x14ac:dyDescent="0.2">
      <c r="A937" s="68"/>
    </row>
    <row r="938" spans="1:1" x14ac:dyDescent="0.2">
      <c r="A938" s="68"/>
    </row>
    <row r="939" spans="1:1" x14ac:dyDescent="0.2">
      <c r="A939" s="68"/>
    </row>
    <row r="940" spans="1:1" x14ac:dyDescent="0.2">
      <c r="A940" s="68"/>
    </row>
    <row r="941" spans="1:1" x14ac:dyDescent="0.2">
      <c r="A941" s="68"/>
    </row>
    <row r="942" spans="1:1" x14ac:dyDescent="0.2">
      <c r="A942" s="68"/>
    </row>
    <row r="943" spans="1:1" x14ac:dyDescent="0.2">
      <c r="A943" s="68"/>
    </row>
    <row r="944" spans="1:1" x14ac:dyDescent="0.2">
      <c r="A944" s="68"/>
    </row>
    <row r="945" spans="1:1" x14ac:dyDescent="0.2">
      <c r="A945" s="68"/>
    </row>
    <row r="946" spans="1:1" x14ac:dyDescent="0.2">
      <c r="A946" s="68"/>
    </row>
    <row r="947" spans="1:1" x14ac:dyDescent="0.2">
      <c r="A947" s="68"/>
    </row>
    <row r="948" spans="1:1" x14ac:dyDescent="0.2">
      <c r="A948" s="68"/>
    </row>
    <row r="949" spans="1:1" x14ac:dyDescent="0.2">
      <c r="A949" s="68"/>
    </row>
    <row r="950" spans="1:1" x14ac:dyDescent="0.2">
      <c r="A950" s="68"/>
    </row>
    <row r="951" spans="1:1" x14ac:dyDescent="0.2">
      <c r="A951" s="68"/>
    </row>
    <row r="952" spans="1:1" x14ac:dyDescent="0.2">
      <c r="A952" s="68"/>
    </row>
    <row r="953" spans="1:1" x14ac:dyDescent="0.2">
      <c r="A953" s="68"/>
    </row>
    <row r="954" spans="1:1" x14ac:dyDescent="0.2">
      <c r="A954" s="68"/>
    </row>
    <row r="955" spans="1:1" x14ac:dyDescent="0.2">
      <c r="A955" s="68"/>
    </row>
    <row r="956" spans="1:1" x14ac:dyDescent="0.2">
      <c r="A956" s="68"/>
    </row>
    <row r="957" spans="1:1" x14ac:dyDescent="0.2">
      <c r="A957" s="68"/>
    </row>
    <row r="958" spans="1:1" x14ac:dyDescent="0.2">
      <c r="A958" s="68"/>
    </row>
    <row r="959" spans="1:1" x14ac:dyDescent="0.2">
      <c r="A959" s="68"/>
    </row>
    <row r="960" spans="1:1" x14ac:dyDescent="0.2">
      <c r="A960" s="68"/>
    </row>
    <row r="961" spans="1:1" x14ac:dyDescent="0.2">
      <c r="A961" s="68"/>
    </row>
    <row r="962" spans="1:1" x14ac:dyDescent="0.2">
      <c r="A962" s="68"/>
    </row>
    <row r="963" spans="1:1" x14ac:dyDescent="0.2">
      <c r="A963" s="68"/>
    </row>
    <row r="964" spans="1:1" x14ac:dyDescent="0.2">
      <c r="A964" s="68"/>
    </row>
    <row r="965" spans="1:1" x14ac:dyDescent="0.2">
      <c r="A965" s="68"/>
    </row>
    <row r="966" spans="1:1" x14ac:dyDescent="0.2">
      <c r="A966" s="68"/>
    </row>
    <row r="967" spans="1:1" x14ac:dyDescent="0.2">
      <c r="A967" s="68"/>
    </row>
    <row r="968" spans="1:1" x14ac:dyDescent="0.2">
      <c r="A968" s="68"/>
    </row>
    <row r="969" spans="1:1" x14ac:dyDescent="0.2">
      <c r="A969" s="68"/>
    </row>
    <row r="970" spans="1:1" x14ac:dyDescent="0.2">
      <c r="A970" s="68"/>
    </row>
    <row r="971" spans="1:1" x14ac:dyDescent="0.2">
      <c r="A971" s="68"/>
    </row>
    <row r="972" spans="1:1" x14ac:dyDescent="0.2">
      <c r="A972" s="68"/>
    </row>
    <row r="973" spans="1:1" x14ac:dyDescent="0.2">
      <c r="A973" s="68"/>
    </row>
    <row r="974" spans="1:1" x14ac:dyDescent="0.2">
      <c r="A974" s="68"/>
    </row>
    <row r="975" spans="1:1" x14ac:dyDescent="0.2">
      <c r="A975" s="68"/>
    </row>
    <row r="976" spans="1:1" x14ac:dyDescent="0.2">
      <c r="A976" s="68"/>
    </row>
    <row r="977" spans="1:1" x14ac:dyDescent="0.2">
      <c r="A977" s="68"/>
    </row>
    <row r="978" spans="1:1" x14ac:dyDescent="0.2">
      <c r="A978" s="68"/>
    </row>
    <row r="979" spans="1:1" x14ac:dyDescent="0.2">
      <c r="A979" s="68"/>
    </row>
    <row r="980" spans="1:1" x14ac:dyDescent="0.2">
      <c r="A980" s="68"/>
    </row>
    <row r="981" spans="1:1" x14ac:dyDescent="0.2">
      <c r="A981" s="68"/>
    </row>
    <row r="982" spans="1:1" x14ac:dyDescent="0.2">
      <c r="A982" s="68"/>
    </row>
    <row r="983" spans="1:1" x14ac:dyDescent="0.2">
      <c r="A983" s="68"/>
    </row>
    <row r="984" spans="1:1" x14ac:dyDescent="0.2">
      <c r="A984" s="68"/>
    </row>
    <row r="985" spans="1:1" x14ac:dyDescent="0.2">
      <c r="A985" s="68"/>
    </row>
    <row r="986" spans="1:1" x14ac:dyDescent="0.2">
      <c r="A986" s="68"/>
    </row>
    <row r="987" spans="1:1" x14ac:dyDescent="0.2">
      <c r="A987" s="68"/>
    </row>
    <row r="988" spans="1:1" x14ac:dyDescent="0.2">
      <c r="A988" s="68"/>
    </row>
    <row r="989" spans="1:1" x14ac:dyDescent="0.2">
      <c r="A989" s="68"/>
    </row>
    <row r="990" spans="1:1" x14ac:dyDescent="0.2">
      <c r="A990" s="68"/>
    </row>
    <row r="991" spans="1:1" x14ac:dyDescent="0.2">
      <c r="A991" s="68"/>
    </row>
    <row r="992" spans="1:1" x14ac:dyDescent="0.2">
      <c r="A992" s="68"/>
    </row>
    <row r="993" spans="1:1" x14ac:dyDescent="0.2">
      <c r="A993" s="68"/>
    </row>
    <row r="994" spans="1:1" x14ac:dyDescent="0.2">
      <c r="A994" s="68"/>
    </row>
    <row r="995" spans="1:1" x14ac:dyDescent="0.2">
      <c r="A995" s="68"/>
    </row>
    <row r="996" spans="1:1" x14ac:dyDescent="0.2">
      <c r="A996" s="68"/>
    </row>
    <row r="997" spans="1:1" x14ac:dyDescent="0.2">
      <c r="A997" s="68"/>
    </row>
    <row r="998" spans="1:1" x14ac:dyDescent="0.2">
      <c r="A998" s="68"/>
    </row>
    <row r="999" spans="1:1" x14ac:dyDescent="0.2">
      <c r="A999" s="68"/>
    </row>
    <row r="1000" spans="1:1" x14ac:dyDescent="0.2">
      <c r="A1000" s="68"/>
    </row>
    <row r="1001" spans="1:1" x14ac:dyDescent="0.2">
      <c r="A1001" s="68"/>
    </row>
    <row r="1002" spans="1:1" x14ac:dyDescent="0.2">
      <c r="A1002" s="68"/>
    </row>
    <row r="1003" spans="1:1" x14ac:dyDescent="0.2">
      <c r="A1003" s="68"/>
    </row>
    <row r="1004" spans="1:1" x14ac:dyDescent="0.2">
      <c r="A1004" s="68"/>
    </row>
    <row r="1005" spans="1:1" x14ac:dyDescent="0.2">
      <c r="A1005" s="68"/>
    </row>
    <row r="1006" spans="1:1" x14ac:dyDescent="0.2">
      <c r="A1006" s="68"/>
    </row>
    <row r="1007" spans="1:1" x14ac:dyDescent="0.2">
      <c r="A1007" s="68"/>
    </row>
    <row r="1008" spans="1:1" x14ac:dyDescent="0.2">
      <c r="A1008" s="68"/>
    </row>
    <row r="1009" spans="1:1" x14ac:dyDescent="0.2">
      <c r="A1009" s="68"/>
    </row>
    <row r="1010" spans="1:1" x14ac:dyDescent="0.2">
      <c r="A1010" s="68"/>
    </row>
    <row r="1011" spans="1:1" x14ac:dyDescent="0.2">
      <c r="A1011" s="68"/>
    </row>
    <row r="1012" spans="1:1" x14ac:dyDescent="0.2">
      <c r="A1012" s="68"/>
    </row>
    <row r="1013" spans="1:1" x14ac:dyDescent="0.2">
      <c r="A1013" s="68"/>
    </row>
    <row r="1014" spans="1:1" x14ac:dyDescent="0.2">
      <c r="A1014" s="68"/>
    </row>
    <row r="1015" spans="1:1" x14ac:dyDescent="0.2">
      <c r="A1015" s="68"/>
    </row>
    <row r="1016" spans="1:1" x14ac:dyDescent="0.2">
      <c r="A1016" s="68"/>
    </row>
    <row r="1017" spans="1:1" x14ac:dyDescent="0.2">
      <c r="A1017" s="68"/>
    </row>
    <row r="1018" spans="1:1" x14ac:dyDescent="0.2">
      <c r="A1018" s="68"/>
    </row>
    <row r="1019" spans="1:1" x14ac:dyDescent="0.2">
      <c r="A1019" s="68"/>
    </row>
    <row r="1020" spans="1:1" x14ac:dyDescent="0.2">
      <c r="A1020" s="68"/>
    </row>
    <row r="1021" spans="1:1" x14ac:dyDescent="0.2">
      <c r="A1021" s="68"/>
    </row>
    <row r="1022" spans="1:1" x14ac:dyDescent="0.2">
      <c r="A1022" s="68"/>
    </row>
    <row r="1023" spans="1:1" x14ac:dyDescent="0.2">
      <c r="A1023" s="68"/>
    </row>
    <row r="1024" spans="1:1" x14ac:dyDescent="0.2">
      <c r="A1024" s="68"/>
    </row>
    <row r="1025" spans="1:1" x14ac:dyDescent="0.2">
      <c r="A1025" s="68"/>
    </row>
    <row r="1026" spans="1:1" x14ac:dyDescent="0.2">
      <c r="A1026" s="68"/>
    </row>
    <row r="1027" spans="1:1" x14ac:dyDescent="0.2">
      <c r="A1027" s="68"/>
    </row>
    <row r="1028" spans="1:1" x14ac:dyDescent="0.2">
      <c r="A1028" s="68"/>
    </row>
    <row r="1029" spans="1:1" x14ac:dyDescent="0.2">
      <c r="A1029" s="68"/>
    </row>
    <row r="1030" spans="1:1" x14ac:dyDescent="0.2">
      <c r="A1030" s="68"/>
    </row>
    <row r="1031" spans="1:1" x14ac:dyDescent="0.2">
      <c r="A1031" s="68"/>
    </row>
    <row r="1032" spans="1:1" x14ac:dyDescent="0.2">
      <c r="A1032" s="68"/>
    </row>
    <row r="1033" spans="1:1" x14ac:dyDescent="0.2">
      <c r="A1033" s="68"/>
    </row>
    <row r="1034" spans="1:1" x14ac:dyDescent="0.2">
      <c r="A1034" s="68"/>
    </row>
    <row r="1035" spans="1:1" x14ac:dyDescent="0.2">
      <c r="A1035" s="68"/>
    </row>
    <row r="1036" spans="1:1" x14ac:dyDescent="0.2">
      <c r="A1036" s="68"/>
    </row>
    <row r="1037" spans="1:1" x14ac:dyDescent="0.2">
      <c r="A1037" s="68"/>
    </row>
    <row r="1038" spans="1:1" x14ac:dyDescent="0.2">
      <c r="A1038" s="68"/>
    </row>
    <row r="1039" spans="1:1" x14ac:dyDescent="0.2">
      <c r="A1039" s="68"/>
    </row>
    <row r="1040" spans="1:1" x14ac:dyDescent="0.2">
      <c r="A1040" s="68"/>
    </row>
    <row r="1041" spans="1:1" x14ac:dyDescent="0.2">
      <c r="A1041" s="68"/>
    </row>
    <row r="1042" spans="1:1" x14ac:dyDescent="0.2">
      <c r="A1042" s="68"/>
    </row>
    <row r="1043" spans="1:1" x14ac:dyDescent="0.2">
      <c r="A1043" s="68"/>
    </row>
    <row r="1044" spans="1:1" x14ac:dyDescent="0.2">
      <c r="A1044" s="68"/>
    </row>
    <row r="1045" spans="1:1" x14ac:dyDescent="0.2">
      <c r="A1045" s="68"/>
    </row>
    <row r="1046" spans="1:1" x14ac:dyDescent="0.2">
      <c r="A1046" s="68"/>
    </row>
    <row r="1047" spans="1:1" x14ac:dyDescent="0.2">
      <c r="A1047" s="68"/>
    </row>
    <row r="1048" spans="1:1" x14ac:dyDescent="0.2">
      <c r="A1048" s="68"/>
    </row>
    <row r="1049" spans="1:1" x14ac:dyDescent="0.2">
      <c r="A1049" s="68"/>
    </row>
    <row r="1050" spans="1:1" x14ac:dyDescent="0.2">
      <c r="A1050" s="68"/>
    </row>
    <row r="1051" spans="1:1" x14ac:dyDescent="0.2">
      <c r="A1051" s="68"/>
    </row>
    <row r="1052" spans="1:1" x14ac:dyDescent="0.2">
      <c r="A1052" s="68"/>
    </row>
    <row r="1053" spans="1:1" x14ac:dyDescent="0.2">
      <c r="A1053" s="68"/>
    </row>
    <row r="1054" spans="1:1" x14ac:dyDescent="0.2">
      <c r="A1054" s="68"/>
    </row>
    <row r="1055" spans="1:1" x14ac:dyDescent="0.2">
      <c r="A1055" s="68"/>
    </row>
    <row r="1056" spans="1:1" x14ac:dyDescent="0.2">
      <c r="A1056" s="68"/>
    </row>
    <row r="1057" spans="1:1" x14ac:dyDescent="0.2">
      <c r="A1057" s="68"/>
    </row>
    <row r="1058" spans="1:1" x14ac:dyDescent="0.2">
      <c r="A1058" s="68"/>
    </row>
    <row r="1059" spans="1:1" x14ac:dyDescent="0.2">
      <c r="A1059" s="68"/>
    </row>
    <row r="1060" spans="1:1" x14ac:dyDescent="0.2">
      <c r="A1060" s="68"/>
    </row>
    <row r="1061" spans="1:1" x14ac:dyDescent="0.2">
      <c r="A1061" s="68"/>
    </row>
    <row r="1062" spans="1:1" x14ac:dyDescent="0.2">
      <c r="A1062" s="68"/>
    </row>
    <row r="1063" spans="1:1" x14ac:dyDescent="0.2">
      <c r="A1063" s="68"/>
    </row>
    <row r="1064" spans="1:1" x14ac:dyDescent="0.2">
      <c r="A1064" s="68"/>
    </row>
    <row r="1065" spans="1:1" x14ac:dyDescent="0.2">
      <c r="A1065" s="68"/>
    </row>
    <row r="1066" spans="1:1" x14ac:dyDescent="0.2">
      <c r="A1066" s="68"/>
    </row>
    <row r="1067" spans="1:1" x14ac:dyDescent="0.2">
      <c r="A1067" s="68"/>
    </row>
    <row r="1068" spans="1:1" x14ac:dyDescent="0.2">
      <c r="A1068" s="68"/>
    </row>
    <row r="1069" spans="1:1" x14ac:dyDescent="0.2">
      <c r="A1069" s="68"/>
    </row>
    <row r="1070" spans="1:1" x14ac:dyDescent="0.2">
      <c r="A1070" s="68"/>
    </row>
    <row r="1071" spans="1:1" x14ac:dyDescent="0.2">
      <c r="A1071" s="68"/>
    </row>
    <row r="1072" spans="1:1" x14ac:dyDescent="0.2">
      <c r="A1072" s="68"/>
    </row>
    <row r="1073" spans="1:1" x14ac:dyDescent="0.2">
      <c r="A1073" s="68"/>
    </row>
    <row r="1074" spans="1:1" x14ac:dyDescent="0.2">
      <c r="A1074" s="68"/>
    </row>
    <row r="1075" spans="1:1" x14ac:dyDescent="0.2">
      <c r="A1075" s="68"/>
    </row>
    <row r="1076" spans="1:1" x14ac:dyDescent="0.2">
      <c r="A1076" s="68"/>
    </row>
    <row r="1077" spans="1:1" x14ac:dyDescent="0.2">
      <c r="A1077" s="68"/>
    </row>
    <row r="1078" spans="1:1" x14ac:dyDescent="0.2">
      <c r="A1078" s="68"/>
    </row>
    <row r="1079" spans="1:1" x14ac:dyDescent="0.2">
      <c r="A1079" s="68"/>
    </row>
    <row r="1080" spans="1:1" x14ac:dyDescent="0.2">
      <c r="A1080" s="68"/>
    </row>
    <row r="1081" spans="1:1" x14ac:dyDescent="0.2">
      <c r="A1081" s="68"/>
    </row>
    <row r="1082" spans="1:1" x14ac:dyDescent="0.2">
      <c r="A1082" s="68"/>
    </row>
    <row r="1083" spans="1:1" x14ac:dyDescent="0.2">
      <c r="A1083" s="68"/>
    </row>
    <row r="1084" spans="1:1" x14ac:dyDescent="0.2">
      <c r="A1084" s="68"/>
    </row>
    <row r="1085" spans="1:1" x14ac:dyDescent="0.2">
      <c r="A1085" s="68"/>
    </row>
    <row r="1086" spans="1:1" x14ac:dyDescent="0.2">
      <c r="A1086" s="68"/>
    </row>
    <row r="1087" spans="1:1" x14ac:dyDescent="0.2">
      <c r="A1087" s="68"/>
    </row>
    <row r="1088" spans="1:1" x14ac:dyDescent="0.2">
      <c r="A1088" s="68"/>
    </row>
    <row r="1089" spans="1:1" x14ac:dyDescent="0.2">
      <c r="A1089" s="68"/>
    </row>
    <row r="1090" spans="1:1" x14ac:dyDescent="0.2">
      <c r="A1090" s="68"/>
    </row>
    <row r="1091" spans="1:1" x14ac:dyDescent="0.2">
      <c r="A1091" s="68"/>
    </row>
    <row r="1092" spans="1:1" x14ac:dyDescent="0.2">
      <c r="A1092" s="68"/>
    </row>
    <row r="1093" spans="1:1" x14ac:dyDescent="0.2">
      <c r="A1093" s="68"/>
    </row>
    <row r="1094" spans="1:1" x14ac:dyDescent="0.2">
      <c r="A1094" s="68"/>
    </row>
    <row r="1095" spans="1:1" x14ac:dyDescent="0.2">
      <c r="A1095" s="68"/>
    </row>
    <row r="1096" spans="1:1" x14ac:dyDescent="0.2">
      <c r="A1096" s="68"/>
    </row>
    <row r="1097" spans="1:1" x14ac:dyDescent="0.2">
      <c r="A1097" s="68"/>
    </row>
    <row r="1098" spans="1:1" x14ac:dyDescent="0.2">
      <c r="A1098" s="68"/>
    </row>
    <row r="1099" spans="1:1" x14ac:dyDescent="0.2">
      <c r="A1099" s="68"/>
    </row>
    <row r="1100" spans="1:1" x14ac:dyDescent="0.2">
      <c r="A1100" s="68"/>
    </row>
    <row r="1101" spans="1:1" x14ac:dyDescent="0.2">
      <c r="A1101" s="68"/>
    </row>
    <row r="1102" spans="1:1" x14ac:dyDescent="0.2">
      <c r="A1102" s="68"/>
    </row>
    <row r="1103" spans="1:1" x14ac:dyDescent="0.2">
      <c r="A1103" s="68"/>
    </row>
    <row r="1104" spans="1:1" x14ac:dyDescent="0.2">
      <c r="A1104" s="68"/>
    </row>
    <row r="1105" spans="1:1" x14ac:dyDescent="0.2">
      <c r="A1105" s="68"/>
    </row>
    <row r="1106" spans="1:1" x14ac:dyDescent="0.2">
      <c r="A1106" s="68"/>
    </row>
    <row r="1107" spans="1:1" x14ac:dyDescent="0.2">
      <c r="A1107" s="68"/>
    </row>
    <row r="1108" spans="1:1" x14ac:dyDescent="0.2">
      <c r="A1108" s="68"/>
    </row>
    <row r="1109" spans="1:1" x14ac:dyDescent="0.2">
      <c r="A1109" s="68"/>
    </row>
    <row r="1110" spans="1:1" x14ac:dyDescent="0.2">
      <c r="A1110" s="68"/>
    </row>
    <row r="1111" spans="1:1" x14ac:dyDescent="0.2">
      <c r="A1111" s="68"/>
    </row>
    <row r="1112" spans="1:1" x14ac:dyDescent="0.2">
      <c r="A1112" s="68"/>
    </row>
    <row r="1113" spans="1:1" x14ac:dyDescent="0.2">
      <c r="A1113" s="68"/>
    </row>
    <row r="1114" spans="1:1" x14ac:dyDescent="0.2">
      <c r="A1114" s="68"/>
    </row>
    <row r="1115" spans="1:1" x14ac:dyDescent="0.2">
      <c r="A1115" s="68"/>
    </row>
    <row r="1116" spans="1:1" x14ac:dyDescent="0.2">
      <c r="A1116" s="68"/>
    </row>
    <row r="1117" spans="1:1" x14ac:dyDescent="0.2">
      <c r="A1117" s="68"/>
    </row>
    <row r="1118" spans="1:1" x14ac:dyDescent="0.2">
      <c r="A1118" s="68"/>
    </row>
    <row r="1119" spans="1:1" x14ac:dyDescent="0.2">
      <c r="A1119" s="68"/>
    </row>
    <row r="1120" spans="1:1" x14ac:dyDescent="0.2">
      <c r="A1120" s="68"/>
    </row>
    <row r="1121" spans="1:1" x14ac:dyDescent="0.2">
      <c r="A1121" s="68"/>
    </row>
    <row r="1122" spans="1:1" x14ac:dyDescent="0.2">
      <c r="A1122" s="68"/>
    </row>
    <row r="1123" spans="1:1" x14ac:dyDescent="0.2">
      <c r="A1123" s="68"/>
    </row>
    <row r="1124" spans="1:1" x14ac:dyDescent="0.2">
      <c r="A1124" s="68"/>
    </row>
    <row r="1125" spans="1:1" x14ac:dyDescent="0.2">
      <c r="A1125" s="68"/>
    </row>
    <row r="1126" spans="1:1" x14ac:dyDescent="0.2">
      <c r="A1126" s="68"/>
    </row>
    <row r="1127" spans="1:1" x14ac:dyDescent="0.2">
      <c r="A1127" s="68"/>
    </row>
    <row r="1128" spans="1:1" x14ac:dyDescent="0.2">
      <c r="A1128" s="68"/>
    </row>
    <row r="1129" spans="1:1" x14ac:dyDescent="0.2">
      <c r="A1129" s="68"/>
    </row>
    <row r="1130" spans="1:1" x14ac:dyDescent="0.2">
      <c r="A1130" s="68"/>
    </row>
    <row r="1131" spans="1:1" x14ac:dyDescent="0.2">
      <c r="A1131" s="68"/>
    </row>
    <row r="1132" spans="1:1" x14ac:dyDescent="0.2">
      <c r="A1132" s="68"/>
    </row>
    <row r="1133" spans="1:1" x14ac:dyDescent="0.2">
      <c r="A1133" s="68"/>
    </row>
    <row r="1134" spans="1:1" x14ac:dyDescent="0.2">
      <c r="A1134" s="68"/>
    </row>
    <row r="1135" spans="1:1" x14ac:dyDescent="0.2">
      <c r="A1135" s="68"/>
    </row>
    <row r="1136" spans="1:1" x14ac:dyDescent="0.2">
      <c r="A1136" s="68"/>
    </row>
    <row r="1137" spans="1:1" x14ac:dyDescent="0.2">
      <c r="A1137" s="68"/>
    </row>
    <row r="1138" spans="1:1" x14ac:dyDescent="0.2">
      <c r="A1138" s="68"/>
    </row>
    <row r="1139" spans="1:1" x14ac:dyDescent="0.2">
      <c r="A1139" s="68"/>
    </row>
    <row r="1140" spans="1:1" x14ac:dyDescent="0.2">
      <c r="A1140" s="68"/>
    </row>
    <row r="1141" spans="1:1" x14ac:dyDescent="0.2">
      <c r="A1141" s="68"/>
    </row>
    <row r="1142" spans="1:1" x14ac:dyDescent="0.2">
      <c r="A1142" s="68"/>
    </row>
    <row r="1143" spans="1:1" x14ac:dyDescent="0.2">
      <c r="A1143" s="68"/>
    </row>
    <row r="1144" spans="1:1" x14ac:dyDescent="0.2">
      <c r="A1144" s="68"/>
    </row>
    <row r="1145" spans="1:1" x14ac:dyDescent="0.2">
      <c r="A1145" s="68"/>
    </row>
    <row r="1146" spans="1:1" x14ac:dyDescent="0.2">
      <c r="A1146" s="68"/>
    </row>
    <row r="1147" spans="1:1" x14ac:dyDescent="0.2">
      <c r="A1147" s="68"/>
    </row>
    <row r="1148" spans="1:1" x14ac:dyDescent="0.2">
      <c r="A1148" s="68"/>
    </row>
    <row r="1149" spans="1:1" x14ac:dyDescent="0.2">
      <c r="A1149" s="68"/>
    </row>
    <row r="1150" spans="1:1" x14ac:dyDescent="0.2">
      <c r="A1150" s="68"/>
    </row>
    <row r="1151" spans="1:1" x14ac:dyDescent="0.2">
      <c r="A1151" s="68"/>
    </row>
    <row r="1152" spans="1:1" x14ac:dyDescent="0.2">
      <c r="A1152" s="68"/>
    </row>
    <row r="1153" spans="1:1" x14ac:dyDescent="0.2">
      <c r="A1153" s="68"/>
    </row>
    <row r="1154" spans="1:1" x14ac:dyDescent="0.2">
      <c r="A1154" s="68"/>
    </row>
    <row r="1155" spans="1:1" x14ac:dyDescent="0.2">
      <c r="A1155" s="68"/>
    </row>
    <row r="1156" spans="1:1" x14ac:dyDescent="0.2">
      <c r="A1156" s="68"/>
    </row>
    <row r="1157" spans="1:1" x14ac:dyDescent="0.2">
      <c r="A1157" s="68"/>
    </row>
    <row r="1158" spans="1:1" x14ac:dyDescent="0.2">
      <c r="A1158" s="68"/>
    </row>
    <row r="1159" spans="1:1" x14ac:dyDescent="0.2">
      <c r="A1159" s="68"/>
    </row>
    <row r="1160" spans="1:1" x14ac:dyDescent="0.2">
      <c r="A1160" s="68"/>
    </row>
    <row r="1161" spans="1:1" x14ac:dyDescent="0.2">
      <c r="A1161" s="68"/>
    </row>
    <row r="1162" spans="1:1" x14ac:dyDescent="0.2">
      <c r="A1162" s="68"/>
    </row>
    <row r="1163" spans="1:1" x14ac:dyDescent="0.2">
      <c r="A1163" s="68"/>
    </row>
    <row r="1164" spans="1:1" x14ac:dyDescent="0.2">
      <c r="A1164" s="68"/>
    </row>
    <row r="1165" spans="1:1" x14ac:dyDescent="0.2">
      <c r="A1165" s="68"/>
    </row>
    <row r="1166" spans="1:1" x14ac:dyDescent="0.2">
      <c r="A1166" s="68"/>
    </row>
    <row r="1167" spans="1:1" x14ac:dyDescent="0.2">
      <c r="A1167" s="68"/>
    </row>
    <row r="1168" spans="1:1" x14ac:dyDescent="0.2">
      <c r="A1168" s="68"/>
    </row>
    <row r="1169" spans="1:1" x14ac:dyDescent="0.2">
      <c r="A1169" s="68"/>
    </row>
    <row r="1170" spans="1:1" x14ac:dyDescent="0.2">
      <c r="A1170" s="68"/>
    </row>
    <row r="1171" spans="1:1" x14ac:dyDescent="0.2">
      <c r="A1171" s="68"/>
    </row>
    <row r="1172" spans="1:1" x14ac:dyDescent="0.2">
      <c r="A1172" s="68"/>
    </row>
    <row r="1173" spans="1:1" x14ac:dyDescent="0.2">
      <c r="A1173" s="68"/>
    </row>
    <row r="1174" spans="1:1" x14ac:dyDescent="0.2">
      <c r="A1174" s="68"/>
    </row>
    <row r="1175" spans="1:1" x14ac:dyDescent="0.2">
      <c r="A1175" s="68"/>
    </row>
    <row r="1176" spans="1:1" x14ac:dyDescent="0.2">
      <c r="A1176" s="68"/>
    </row>
    <row r="1177" spans="1:1" x14ac:dyDescent="0.2">
      <c r="A1177" s="68"/>
    </row>
    <row r="1178" spans="1:1" x14ac:dyDescent="0.2">
      <c r="A1178" s="68"/>
    </row>
    <row r="1179" spans="1:1" x14ac:dyDescent="0.2">
      <c r="A1179" s="68"/>
    </row>
    <row r="1180" spans="1:1" x14ac:dyDescent="0.2">
      <c r="A1180" s="68"/>
    </row>
    <row r="1181" spans="1:1" x14ac:dyDescent="0.2">
      <c r="A1181" s="68"/>
    </row>
    <row r="1182" spans="1:1" x14ac:dyDescent="0.2">
      <c r="A1182" s="68"/>
    </row>
    <row r="1183" spans="1:1" x14ac:dyDescent="0.2">
      <c r="A1183" s="68"/>
    </row>
    <row r="1184" spans="1:1" x14ac:dyDescent="0.2">
      <c r="A1184" s="68"/>
    </row>
    <row r="1185" spans="1:1" x14ac:dyDescent="0.2">
      <c r="A1185" s="68"/>
    </row>
    <row r="1186" spans="1:1" x14ac:dyDescent="0.2">
      <c r="A1186" s="68"/>
    </row>
    <row r="1187" spans="1:1" x14ac:dyDescent="0.2">
      <c r="A1187" s="68"/>
    </row>
    <row r="1188" spans="1:1" x14ac:dyDescent="0.2">
      <c r="A1188" s="68"/>
    </row>
    <row r="1189" spans="1:1" x14ac:dyDescent="0.2">
      <c r="A1189" s="68"/>
    </row>
    <row r="1190" spans="1:1" x14ac:dyDescent="0.2">
      <c r="A1190" s="68"/>
    </row>
    <row r="1191" spans="1:1" x14ac:dyDescent="0.2">
      <c r="A1191" s="68"/>
    </row>
    <row r="1192" spans="1:1" x14ac:dyDescent="0.2">
      <c r="A1192" s="68"/>
    </row>
    <row r="1193" spans="1:1" x14ac:dyDescent="0.2">
      <c r="A1193" s="68"/>
    </row>
    <row r="1194" spans="1:1" x14ac:dyDescent="0.2">
      <c r="A1194" s="68"/>
    </row>
    <row r="1195" spans="1:1" x14ac:dyDescent="0.2">
      <c r="A1195" s="68"/>
    </row>
    <row r="1196" spans="1:1" x14ac:dyDescent="0.2">
      <c r="A1196" s="68"/>
    </row>
    <row r="1197" spans="1:1" x14ac:dyDescent="0.2">
      <c r="A1197" s="68"/>
    </row>
    <row r="1198" spans="1:1" x14ac:dyDescent="0.2">
      <c r="A1198" s="68"/>
    </row>
    <row r="1199" spans="1:1" x14ac:dyDescent="0.2">
      <c r="A1199" s="68"/>
    </row>
    <row r="1200" spans="1:1" x14ac:dyDescent="0.2">
      <c r="A1200" s="68"/>
    </row>
    <row r="1201" spans="1:1" x14ac:dyDescent="0.2">
      <c r="A1201" s="68"/>
    </row>
    <row r="1202" spans="1:1" x14ac:dyDescent="0.2">
      <c r="A1202" s="68"/>
    </row>
    <row r="1203" spans="1:1" x14ac:dyDescent="0.2">
      <c r="A1203" s="68"/>
    </row>
    <row r="1204" spans="1:1" x14ac:dyDescent="0.2">
      <c r="A1204" s="68"/>
    </row>
    <row r="1205" spans="1:1" x14ac:dyDescent="0.2">
      <c r="A1205" s="68"/>
    </row>
    <row r="1206" spans="1:1" x14ac:dyDescent="0.2">
      <c r="A1206" s="68"/>
    </row>
    <row r="1207" spans="1:1" x14ac:dyDescent="0.2">
      <c r="A1207" s="68"/>
    </row>
    <row r="1208" spans="1:1" x14ac:dyDescent="0.2">
      <c r="A1208" s="68"/>
    </row>
    <row r="1209" spans="1:1" x14ac:dyDescent="0.2">
      <c r="A1209" s="68"/>
    </row>
    <row r="1210" spans="1:1" x14ac:dyDescent="0.2">
      <c r="A1210" s="68"/>
    </row>
    <row r="1211" spans="1:1" x14ac:dyDescent="0.2">
      <c r="A1211" s="68"/>
    </row>
    <row r="1212" spans="1:1" x14ac:dyDescent="0.2">
      <c r="A1212" s="68"/>
    </row>
    <row r="1213" spans="1:1" x14ac:dyDescent="0.2">
      <c r="A1213" s="68"/>
    </row>
    <row r="1214" spans="1:1" x14ac:dyDescent="0.2">
      <c r="A1214" s="68"/>
    </row>
    <row r="1215" spans="1:1" x14ac:dyDescent="0.2">
      <c r="A1215" s="68"/>
    </row>
    <row r="1216" spans="1:1" x14ac:dyDescent="0.2">
      <c r="A1216" s="68"/>
    </row>
    <row r="1217" spans="1:1" x14ac:dyDescent="0.2">
      <c r="A1217" s="68"/>
    </row>
    <row r="1218" spans="1:1" x14ac:dyDescent="0.2">
      <c r="A1218" s="68"/>
    </row>
    <row r="1219" spans="1:1" x14ac:dyDescent="0.2">
      <c r="A1219" s="68"/>
    </row>
    <row r="1220" spans="1:1" x14ac:dyDescent="0.2">
      <c r="A1220" s="68"/>
    </row>
    <row r="1221" spans="1:1" x14ac:dyDescent="0.2">
      <c r="A1221" s="68"/>
    </row>
    <row r="1222" spans="1:1" x14ac:dyDescent="0.2">
      <c r="A1222" s="68"/>
    </row>
    <row r="1223" spans="1:1" x14ac:dyDescent="0.2">
      <c r="A1223" s="68"/>
    </row>
    <row r="1224" spans="1:1" x14ac:dyDescent="0.2">
      <c r="A1224" s="68"/>
    </row>
    <row r="1225" spans="1:1" x14ac:dyDescent="0.2">
      <c r="A1225" s="68"/>
    </row>
    <row r="1226" spans="1:1" x14ac:dyDescent="0.2">
      <c r="A1226" s="68"/>
    </row>
    <row r="1227" spans="1:1" x14ac:dyDescent="0.2">
      <c r="A1227" s="68"/>
    </row>
    <row r="1228" spans="1:1" x14ac:dyDescent="0.2">
      <c r="A1228" s="68"/>
    </row>
    <row r="1229" spans="1:1" x14ac:dyDescent="0.2">
      <c r="A1229" s="68"/>
    </row>
    <row r="1230" spans="1:1" x14ac:dyDescent="0.2">
      <c r="A1230" s="68"/>
    </row>
    <row r="1231" spans="1:1" x14ac:dyDescent="0.2">
      <c r="A1231" s="68"/>
    </row>
    <row r="1232" spans="1:1" x14ac:dyDescent="0.2">
      <c r="A1232" s="68"/>
    </row>
    <row r="1233" spans="1:1" x14ac:dyDescent="0.2">
      <c r="A1233" s="68"/>
    </row>
    <row r="1234" spans="1:1" x14ac:dyDescent="0.2">
      <c r="A1234" s="68"/>
    </row>
    <row r="1235" spans="1:1" x14ac:dyDescent="0.2">
      <c r="A1235" s="68"/>
    </row>
    <row r="1236" spans="1:1" x14ac:dyDescent="0.2">
      <c r="A1236" s="68"/>
    </row>
    <row r="1237" spans="1:1" x14ac:dyDescent="0.2">
      <c r="A1237" s="68"/>
    </row>
    <row r="1238" spans="1:1" x14ac:dyDescent="0.2">
      <c r="A1238" s="68"/>
    </row>
    <row r="1239" spans="1:1" x14ac:dyDescent="0.2">
      <c r="A1239" s="68"/>
    </row>
    <row r="1240" spans="1:1" x14ac:dyDescent="0.2">
      <c r="A1240" s="68"/>
    </row>
    <row r="1241" spans="1:1" x14ac:dyDescent="0.2">
      <c r="A1241" s="68"/>
    </row>
    <row r="1242" spans="1:1" x14ac:dyDescent="0.2">
      <c r="A1242" s="68"/>
    </row>
    <row r="1243" spans="1:1" x14ac:dyDescent="0.2">
      <c r="A1243" s="68"/>
    </row>
    <row r="1244" spans="1:1" x14ac:dyDescent="0.2">
      <c r="A1244" s="68"/>
    </row>
    <row r="1245" spans="1:1" x14ac:dyDescent="0.2">
      <c r="A1245" s="68"/>
    </row>
    <row r="1246" spans="1:1" x14ac:dyDescent="0.2">
      <c r="A1246" s="68"/>
    </row>
    <row r="1247" spans="1:1" x14ac:dyDescent="0.2">
      <c r="A1247" s="68"/>
    </row>
    <row r="1248" spans="1:1" x14ac:dyDescent="0.2">
      <c r="A1248" s="68"/>
    </row>
    <row r="1249" spans="1:1" x14ac:dyDescent="0.2">
      <c r="A1249" s="68"/>
    </row>
    <row r="1250" spans="1:1" x14ac:dyDescent="0.2">
      <c r="A1250" s="68"/>
    </row>
    <row r="1251" spans="1:1" x14ac:dyDescent="0.2">
      <c r="A1251" s="68"/>
    </row>
    <row r="1252" spans="1:1" x14ac:dyDescent="0.2">
      <c r="A1252" s="68"/>
    </row>
    <row r="1253" spans="1:1" x14ac:dyDescent="0.2">
      <c r="A1253" s="68"/>
    </row>
    <row r="1254" spans="1:1" x14ac:dyDescent="0.2">
      <c r="A1254" s="68"/>
    </row>
    <row r="1255" spans="1:1" x14ac:dyDescent="0.2">
      <c r="A1255" s="68"/>
    </row>
    <row r="1256" spans="1:1" x14ac:dyDescent="0.2">
      <c r="A1256" s="68"/>
    </row>
    <row r="1257" spans="1:1" x14ac:dyDescent="0.2">
      <c r="A1257" s="68"/>
    </row>
    <row r="1258" spans="1:1" x14ac:dyDescent="0.2">
      <c r="A1258" s="68"/>
    </row>
    <row r="1259" spans="1:1" x14ac:dyDescent="0.2">
      <c r="A1259" s="68"/>
    </row>
    <row r="1260" spans="1:1" x14ac:dyDescent="0.2">
      <c r="A1260" s="68"/>
    </row>
    <row r="1261" spans="1:1" x14ac:dyDescent="0.2">
      <c r="A1261" s="68"/>
    </row>
    <row r="1262" spans="1:1" x14ac:dyDescent="0.2">
      <c r="A1262" s="68"/>
    </row>
    <row r="1263" spans="1:1" x14ac:dyDescent="0.2">
      <c r="A1263" s="68"/>
    </row>
    <row r="1264" spans="1:1" x14ac:dyDescent="0.2">
      <c r="A1264" s="68"/>
    </row>
    <row r="1265" spans="1:1" x14ac:dyDescent="0.2">
      <c r="A1265" s="68"/>
    </row>
    <row r="1266" spans="1:1" x14ac:dyDescent="0.2">
      <c r="A1266" s="68"/>
    </row>
    <row r="1267" spans="1:1" x14ac:dyDescent="0.2">
      <c r="A1267" s="68"/>
    </row>
    <row r="1268" spans="1:1" x14ac:dyDescent="0.2">
      <c r="A1268" s="68"/>
    </row>
    <row r="1269" spans="1:1" x14ac:dyDescent="0.2">
      <c r="A1269" s="68"/>
    </row>
    <row r="1270" spans="1:1" x14ac:dyDescent="0.2">
      <c r="A1270" s="68"/>
    </row>
    <row r="1271" spans="1:1" x14ac:dyDescent="0.2">
      <c r="A1271" s="68"/>
    </row>
    <row r="1272" spans="1:1" x14ac:dyDescent="0.2">
      <c r="A1272" s="68"/>
    </row>
    <row r="1273" spans="1:1" x14ac:dyDescent="0.2">
      <c r="A1273" s="68"/>
    </row>
    <row r="1274" spans="1:1" x14ac:dyDescent="0.2">
      <c r="A1274" s="68"/>
    </row>
    <row r="1275" spans="1:1" x14ac:dyDescent="0.2">
      <c r="A1275" s="68"/>
    </row>
    <row r="1276" spans="1:1" x14ac:dyDescent="0.2">
      <c r="A1276" s="68"/>
    </row>
    <row r="1277" spans="1:1" x14ac:dyDescent="0.2">
      <c r="A1277" s="68"/>
    </row>
    <row r="1278" spans="1:1" x14ac:dyDescent="0.2">
      <c r="A1278" s="68"/>
    </row>
    <row r="1279" spans="1:1" x14ac:dyDescent="0.2">
      <c r="A1279" s="68"/>
    </row>
    <row r="1280" spans="1:1" x14ac:dyDescent="0.2">
      <c r="A1280" s="68"/>
    </row>
    <row r="1281" spans="1:1" x14ac:dyDescent="0.2">
      <c r="A1281" s="68"/>
    </row>
    <row r="1282" spans="1:1" x14ac:dyDescent="0.2">
      <c r="A1282" s="68"/>
    </row>
    <row r="1283" spans="1:1" x14ac:dyDescent="0.2">
      <c r="A1283" s="68"/>
    </row>
    <row r="1284" spans="1:1" x14ac:dyDescent="0.2">
      <c r="A1284" s="68"/>
    </row>
    <row r="1285" spans="1:1" x14ac:dyDescent="0.2">
      <c r="A1285" s="68"/>
    </row>
    <row r="1286" spans="1:1" x14ac:dyDescent="0.2">
      <c r="A1286" s="68"/>
    </row>
    <row r="1287" spans="1:1" x14ac:dyDescent="0.2">
      <c r="A1287" s="68"/>
    </row>
    <row r="1288" spans="1:1" x14ac:dyDescent="0.2">
      <c r="A1288" s="68"/>
    </row>
    <row r="1289" spans="1:1" x14ac:dyDescent="0.2">
      <c r="A1289" s="68"/>
    </row>
    <row r="1290" spans="1:1" x14ac:dyDescent="0.2">
      <c r="A1290" s="68"/>
    </row>
    <row r="1291" spans="1:1" x14ac:dyDescent="0.2">
      <c r="A1291" s="68"/>
    </row>
    <row r="1292" spans="1:1" x14ac:dyDescent="0.2">
      <c r="A1292" s="68"/>
    </row>
    <row r="1293" spans="1:1" x14ac:dyDescent="0.2">
      <c r="A1293" s="68"/>
    </row>
    <row r="1294" spans="1:1" x14ac:dyDescent="0.2">
      <c r="A1294" s="68"/>
    </row>
    <row r="1295" spans="1:1" x14ac:dyDescent="0.2">
      <c r="A1295" s="68"/>
    </row>
    <row r="1296" spans="1:1" x14ac:dyDescent="0.2">
      <c r="A1296" s="68"/>
    </row>
    <row r="1297" spans="1:1" x14ac:dyDescent="0.2">
      <c r="A1297" s="68"/>
    </row>
    <row r="1298" spans="1:1" x14ac:dyDescent="0.2">
      <c r="A1298" s="68"/>
    </row>
    <row r="1299" spans="1:1" x14ac:dyDescent="0.2">
      <c r="A1299" s="68"/>
    </row>
    <row r="1300" spans="1:1" x14ac:dyDescent="0.2">
      <c r="A1300" s="68"/>
    </row>
    <row r="1301" spans="1:1" x14ac:dyDescent="0.2">
      <c r="A1301" s="68"/>
    </row>
    <row r="1302" spans="1:1" x14ac:dyDescent="0.2">
      <c r="A1302" s="68"/>
    </row>
    <row r="1303" spans="1:1" x14ac:dyDescent="0.2">
      <c r="A1303" s="68"/>
    </row>
    <row r="1304" spans="1:1" x14ac:dyDescent="0.2">
      <c r="A1304" s="68"/>
    </row>
    <row r="1305" spans="1:1" x14ac:dyDescent="0.2">
      <c r="A1305" s="68"/>
    </row>
    <row r="1306" spans="1:1" x14ac:dyDescent="0.2">
      <c r="A1306" s="68"/>
    </row>
    <row r="1307" spans="1:1" x14ac:dyDescent="0.2">
      <c r="A1307" s="68"/>
    </row>
    <row r="1308" spans="1:1" x14ac:dyDescent="0.2">
      <c r="A1308" s="68"/>
    </row>
    <row r="1309" spans="1:1" x14ac:dyDescent="0.2">
      <c r="A1309" s="68"/>
    </row>
    <row r="1310" spans="1:1" x14ac:dyDescent="0.2">
      <c r="A1310" s="68"/>
    </row>
    <row r="1311" spans="1:1" x14ac:dyDescent="0.2">
      <c r="A1311" s="68"/>
    </row>
    <row r="1312" spans="1:1" x14ac:dyDescent="0.2">
      <c r="A1312" s="68"/>
    </row>
    <row r="1313" spans="1:1" x14ac:dyDescent="0.2">
      <c r="A1313" s="68"/>
    </row>
    <row r="1314" spans="1:1" x14ac:dyDescent="0.2">
      <c r="A1314" s="68"/>
    </row>
    <row r="1315" spans="1:1" x14ac:dyDescent="0.2">
      <c r="A1315" s="68"/>
    </row>
    <row r="1316" spans="1:1" x14ac:dyDescent="0.2">
      <c r="A1316" s="68"/>
    </row>
    <row r="1317" spans="1:1" x14ac:dyDescent="0.2">
      <c r="A1317" s="68"/>
    </row>
    <row r="1318" spans="1:1" x14ac:dyDescent="0.2">
      <c r="A1318" s="68"/>
    </row>
    <row r="1319" spans="1:1" x14ac:dyDescent="0.2">
      <c r="A1319" s="68"/>
    </row>
    <row r="1320" spans="1:1" x14ac:dyDescent="0.2">
      <c r="A1320" s="68"/>
    </row>
    <row r="1321" spans="1:1" x14ac:dyDescent="0.2">
      <c r="A1321" s="68"/>
    </row>
    <row r="1322" spans="1:1" x14ac:dyDescent="0.2">
      <c r="A1322" s="68"/>
    </row>
    <row r="1323" spans="1:1" x14ac:dyDescent="0.2">
      <c r="A1323" s="68"/>
    </row>
    <row r="1324" spans="1:1" x14ac:dyDescent="0.2">
      <c r="A1324" s="68"/>
    </row>
    <row r="1325" spans="1:1" x14ac:dyDescent="0.2">
      <c r="A1325" s="68"/>
    </row>
    <row r="1326" spans="1:1" x14ac:dyDescent="0.2">
      <c r="A1326" s="68"/>
    </row>
    <row r="1327" spans="1:1" x14ac:dyDescent="0.2">
      <c r="A1327" s="68"/>
    </row>
    <row r="1328" spans="1:1" x14ac:dyDescent="0.2">
      <c r="A1328" s="68"/>
    </row>
    <row r="1329" spans="1:1" x14ac:dyDescent="0.2">
      <c r="A1329" s="68"/>
    </row>
    <row r="1330" spans="1:1" x14ac:dyDescent="0.2">
      <c r="A1330" s="68"/>
    </row>
    <row r="1331" spans="1:1" x14ac:dyDescent="0.2">
      <c r="A1331" s="68"/>
    </row>
    <row r="1332" spans="1:1" x14ac:dyDescent="0.2">
      <c r="A1332" s="68"/>
    </row>
    <row r="1333" spans="1:1" x14ac:dyDescent="0.2">
      <c r="A1333" s="68"/>
    </row>
    <row r="1334" spans="1:1" x14ac:dyDescent="0.2">
      <c r="A1334" s="68"/>
    </row>
    <row r="1335" spans="1:1" x14ac:dyDescent="0.2">
      <c r="A1335" s="68"/>
    </row>
    <row r="1336" spans="1:1" x14ac:dyDescent="0.2">
      <c r="A1336" s="68"/>
    </row>
    <row r="1337" spans="1:1" x14ac:dyDescent="0.2">
      <c r="A1337" s="68"/>
    </row>
    <row r="1338" spans="1:1" x14ac:dyDescent="0.2">
      <c r="A1338" s="68"/>
    </row>
    <row r="1339" spans="1:1" x14ac:dyDescent="0.2">
      <c r="A1339" s="68"/>
    </row>
    <row r="1340" spans="1:1" x14ac:dyDescent="0.2">
      <c r="A1340" s="68"/>
    </row>
    <row r="1341" spans="1:1" x14ac:dyDescent="0.2">
      <c r="A1341" s="68"/>
    </row>
    <row r="1342" spans="1:1" x14ac:dyDescent="0.2">
      <c r="A1342" s="68"/>
    </row>
    <row r="1343" spans="1:1" x14ac:dyDescent="0.2">
      <c r="A1343" s="68"/>
    </row>
    <row r="1344" spans="1:1" x14ac:dyDescent="0.2">
      <c r="A1344" s="68"/>
    </row>
    <row r="1345" spans="1:1" x14ac:dyDescent="0.2">
      <c r="A1345" s="68"/>
    </row>
    <row r="1346" spans="1:1" x14ac:dyDescent="0.2">
      <c r="A1346" s="68"/>
    </row>
    <row r="1347" spans="1:1" x14ac:dyDescent="0.2">
      <c r="A1347" s="68"/>
    </row>
    <row r="1348" spans="1:1" x14ac:dyDescent="0.2">
      <c r="A1348" s="68"/>
    </row>
    <row r="1349" spans="1:1" x14ac:dyDescent="0.2">
      <c r="A1349" s="68"/>
    </row>
    <row r="1350" spans="1:1" x14ac:dyDescent="0.2">
      <c r="A1350" s="68"/>
    </row>
    <row r="1351" spans="1:1" x14ac:dyDescent="0.2">
      <c r="A1351" s="68"/>
    </row>
    <row r="1352" spans="1:1" x14ac:dyDescent="0.2">
      <c r="A1352" s="68"/>
    </row>
    <row r="1353" spans="1:1" x14ac:dyDescent="0.2">
      <c r="A1353" s="68"/>
    </row>
    <row r="1354" spans="1:1" x14ac:dyDescent="0.2">
      <c r="A1354" s="68"/>
    </row>
    <row r="1355" spans="1:1" x14ac:dyDescent="0.2">
      <c r="A1355" s="68"/>
    </row>
    <row r="1356" spans="1:1" x14ac:dyDescent="0.2">
      <c r="A1356" s="68"/>
    </row>
    <row r="1357" spans="1:1" x14ac:dyDescent="0.2">
      <c r="A1357" s="68"/>
    </row>
    <row r="1358" spans="1:1" x14ac:dyDescent="0.2">
      <c r="A1358" s="68"/>
    </row>
    <row r="1359" spans="1:1" x14ac:dyDescent="0.2">
      <c r="A1359" s="68"/>
    </row>
    <row r="1360" spans="1:1" x14ac:dyDescent="0.2">
      <c r="A1360" s="68"/>
    </row>
    <row r="1361" spans="1:1" x14ac:dyDescent="0.2">
      <c r="A1361" s="68"/>
    </row>
    <row r="1362" spans="1:1" x14ac:dyDescent="0.2">
      <c r="A1362" s="68"/>
    </row>
    <row r="1363" spans="1:1" x14ac:dyDescent="0.2">
      <c r="A1363" s="68"/>
    </row>
    <row r="1364" spans="1:1" x14ac:dyDescent="0.2">
      <c r="A1364" s="68"/>
    </row>
    <row r="1365" spans="1:1" x14ac:dyDescent="0.2">
      <c r="A1365" s="68"/>
    </row>
    <row r="1366" spans="1:1" x14ac:dyDescent="0.2">
      <c r="A1366" s="68"/>
    </row>
    <row r="1367" spans="1:1" x14ac:dyDescent="0.2">
      <c r="A1367" s="68"/>
    </row>
    <row r="1368" spans="1:1" x14ac:dyDescent="0.2">
      <c r="A1368" s="68"/>
    </row>
    <row r="1369" spans="1:1" x14ac:dyDescent="0.2">
      <c r="A1369" s="68"/>
    </row>
    <row r="1370" spans="1:1" x14ac:dyDescent="0.2">
      <c r="A1370" s="68"/>
    </row>
    <row r="1371" spans="1:1" x14ac:dyDescent="0.2">
      <c r="A1371" s="68"/>
    </row>
    <row r="1372" spans="1:1" x14ac:dyDescent="0.2">
      <c r="A1372" s="68"/>
    </row>
    <row r="1373" spans="1:1" x14ac:dyDescent="0.2">
      <c r="A1373" s="68"/>
    </row>
    <row r="1374" spans="1:1" x14ac:dyDescent="0.2">
      <c r="A1374" s="68"/>
    </row>
    <row r="1375" spans="1:1" x14ac:dyDescent="0.2">
      <c r="A1375" s="68"/>
    </row>
    <row r="1376" spans="1:1" x14ac:dyDescent="0.2">
      <c r="A1376" s="68"/>
    </row>
    <row r="1377" spans="1:1" x14ac:dyDescent="0.2">
      <c r="A1377" s="68"/>
    </row>
    <row r="1378" spans="1:1" x14ac:dyDescent="0.2">
      <c r="A1378" s="68"/>
    </row>
    <row r="1379" spans="1:1" x14ac:dyDescent="0.2">
      <c r="A1379" s="68"/>
    </row>
    <row r="1380" spans="1:1" x14ac:dyDescent="0.2">
      <c r="A1380" s="68"/>
    </row>
    <row r="1381" spans="1:1" x14ac:dyDescent="0.2">
      <c r="A1381" s="68"/>
    </row>
    <row r="1382" spans="1:1" x14ac:dyDescent="0.2">
      <c r="A1382" s="68"/>
    </row>
    <row r="1383" spans="1:1" x14ac:dyDescent="0.2">
      <c r="A1383" s="68"/>
    </row>
    <row r="1384" spans="1:1" x14ac:dyDescent="0.2">
      <c r="A1384" s="68"/>
    </row>
    <row r="1385" spans="1:1" x14ac:dyDescent="0.2">
      <c r="A1385" s="68"/>
    </row>
    <row r="1386" spans="1:1" x14ac:dyDescent="0.2">
      <c r="A1386" s="68"/>
    </row>
    <row r="1387" spans="1:1" x14ac:dyDescent="0.2">
      <c r="A1387" s="68"/>
    </row>
    <row r="1388" spans="1:1" x14ac:dyDescent="0.2">
      <c r="A1388" s="68"/>
    </row>
    <row r="1389" spans="1:1" x14ac:dyDescent="0.2">
      <c r="A1389" s="68"/>
    </row>
    <row r="1390" spans="1:1" x14ac:dyDescent="0.2">
      <c r="A1390" s="68"/>
    </row>
    <row r="1391" spans="1:1" x14ac:dyDescent="0.2">
      <c r="A1391" s="68"/>
    </row>
    <row r="1392" spans="1:1" x14ac:dyDescent="0.2">
      <c r="A1392" s="68"/>
    </row>
    <row r="1393" spans="1:1" x14ac:dyDescent="0.2">
      <c r="A1393" s="68"/>
    </row>
    <row r="1394" spans="1:1" x14ac:dyDescent="0.2">
      <c r="A1394" s="68"/>
    </row>
    <row r="1395" spans="1:1" x14ac:dyDescent="0.2">
      <c r="A1395" s="68"/>
    </row>
    <row r="1396" spans="1:1" x14ac:dyDescent="0.2">
      <c r="A1396" s="68"/>
    </row>
    <row r="1397" spans="1:1" x14ac:dyDescent="0.2">
      <c r="A1397" s="68"/>
    </row>
    <row r="1398" spans="1:1" x14ac:dyDescent="0.2">
      <c r="A1398" s="68"/>
    </row>
    <row r="1399" spans="1:1" x14ac:dyDescent="0.2">
      <c r="A1399" s="68"/>
    </row>
    <row r="1400" spans="1:1" x14ac:dyDescent="0.2">
      <c r="A1400" s="68"/>
    </row>
    <row r="1401" spans="1:1" x14ac:dyDescent="0.2">
      <c r="A1401" s="68"/>
    </row>
    <row r="1402" spans="1:1" x14ac:dyDescent="0.2">
      <c r="A1402" s="68"/>
    </row>
    <row r="1403" spans="1:1" x14ac:dyDescent="0.2">
      <c r="A1403" s="68"/>
    </row>
    <row r="1404" spans="1:1" x14ac:dyDescent="0.2">
      <c r="A1404" s="68"/>
    </row>
    <row r="1405" spans="1:1" x14ac:dyDescent="0.2">
      <c r="A1405" s="68"/>
    </row>
    <row r="1406" spans="1:1" x14ac:dyDescent="0.2">
      <c r="A1406" s="68"/>
    </row>
    <row r="1407" spans="1:1" x14ac:dyDescent="0.2">
      <c r="A1407" s="68"/>
    </row>
    <row r="1408" spans="1:1" x14ac:dyDescent="0.2">
      <c r="A1408" s="68"/>
    </row>
    <row r="1409" spans="1:1" x14ac:dyDescent="0.2">
      <c r="A1409" s="68"/>
    </row>
    <row r="1410" spans="1:1" x14ac:dyDescent="0.2">
      <c r="A1410" s="68"/>
    </row>
    <row r="1411" spans="1:1" x14ac:dyDescent="0.2">
      <c r="A1411" s="68"/>
    </row>
    <row r="1412" spans="1:1" x14ac:dyDescent="0.2">
      <c r="A1412" s="68"/>
    </row>
    <row r="1413" spans="1:1" x14ac:dyDescent="0.2">
      <c r="A1413" s="68"/>
    </row>
    <row r="1414" spans="1:1" x14ac:dyDescent="0.2">
      <c r="A1414" s="68"/>
    </row>
    <row r="1415" spans="1:1" x14ac:dyDescent="0.2">
      <c r="A1415" s="68"/>
    </row>
    <row r="1416" spans="1:1" x14ac:dyDescent="0.2">
      <c r="A1416" s="68"/>
    </row>
    <row r="1417" spans="1:1" x14ac:dyDescent="0.2">
      <c r="A1417" s="68"/>
    </row>
    <row r="1418" spans="1:1" x14ac:dyDescent="0.2">
      <c r="A1418" s="68"/>
    </row>
    <row r="1419" spans="1:1" x14ac:dyDescent="0.2">
      <c r="A1419" s="68"/>
    </row>
    <row r="1420" spans="1:1" x14ac:dyDescent="0.2">
      <c r="A1420" s="68"/>
    </row>
    <row r="1421" spans="1:1" x14ac:dyDescent="0.2">
      <c r="A1421" s="68"/>
    </row>
    <row r="1422" spans="1:1" x14ac:dyDescent="0.2">
      <c r="A1422" s="68"/>
    </row>
    <row r="1423" spans="1:1" x14ac:dyDescent="0.2">
      <c r="A1423" s="68"/>
    </row>
    <row r="1424" spans="1:1" x14ac:dyDescent="0.2">
      <c r="A1424" s="68"/>
    </row>
    <row r="1425" spans="1:1" x14ac:dyDescent="0.2">
      <c r="A1425" s="68"/>
    </row>
    <row r="1426" spans="1:1" x14ac:dyDescent="0.2">
      <c r="A1426" s="68"/>
    </row>
    <row r="1427" spans="1:1" x14ac:dyDescent="0.2">
      <c r="A1427" s="68"/>
    </row>
    <row r="1428" spans="1:1" x14ac:dyDescent="0.2">
      <c r="A1428" s="68"/>
    </row>
    <row r="1429" spans="1:1" x14ac:dyDescent="0.2">
      <c r="A1429" s="68"/>
    </row>
    <row r="1430" spans="1:1" x14ac:dyDescent="0.2">
      <c r="A1430" s="68"/>
    </row>
    <row r="1431" spans="1:1" x14ac:dyDescent="0.2">
      <c r="A1431" s="68"/>
    </row>
    <row r="1432" spans="1:1" x14ac:dyDescent="0.2">
      <c r="A1432" s="68"/>
    </row>
    <row r="1433" spans="1:1" x14ac:dyDescent="0.2">
      <c r="A1433" s="68"/>
    </row>
    <row r="1434" spans="1:1" x14ac:dyDescent="0.2">
      <c r="A1434" s="68"/>
    </row>
    <row r="1435" spans="1:1" x14ac:dyDescent="0.2">
      <c r="A1435" s="68"/>
    </row>
    <row r="1436" spans="1:1" x14ac:dyDescent="0.2">
      <c r="A1436" s="68"/>
    </row>
    <row r="1437" spans="1:1" x14ac:dyDescent="0.2">
      <c r="A1437" s="68"/>
    </row>
    <row r="1438" spans="1:1" x14ac:dyDescent="0.2">
      <c r="A1438" s="68"/>
    </row>
    <row r="1439" spans="1:1" x14ac:dyDescent="0.2">
      <c r="A1439" s="68"/>
    </row>
    <row r="1440" spans="1:1" x14ac:dyDescent="0.2">
      <c r="A1440" s="68"/>
    </row>
    <row r="1441" spans="1:1" x14ac:dyDescent="0.2">
      <c r="A1441" s="68"/>
    </row>
    <row r="1442" spans="1:1" x14ac:dyDescent="0.2">
      <c r="A1442" s="68"/>
    </row>
    <row r="1443" spans="1:1" x14ac:dyDescent="0.2">
      <c r="A1443" s="68"/>
    </row>
    <row r="1444" spans="1:1" x14ac:dyDescent="0.2">
      <c r="A1444" s="68"/>
    </row>
    <row r="1445" spans="1:1" x14ac:dyDescent="0.2">
      <c r="A1445" s="68"/>
    </row>
    <row r="1446" spans="1:1" x14ac:dyDescent="0.2">
      <c r="A1446" s="68"/>
    </row>
    <row r="1447" spans="1:1" x14ac:dyDescent="0.2">
      <c r="A1447" s="68"/>
    </row>
    <row r="1448" spans="1:1" x14ac:dyDescent="0.2">
      <c r="A1448" s="68"/>
    </row>
    <row r="1449" spans="1:1" x14ac:dyDescent="0.2">
      <c r="A1449" s="68"/>
    </row>
    <row r="1450" spans="1:1" x14ac:dyDescent="0.2">
      <c r="A1450" s="68"/>
    </row>
    <row r="1451" spans="1:1" x14ac:dyDescent="0.2">
      <c r="A1451" s="68"/>
    </row>
    <row r="1452" spans="1:1" x14ac:dyDescent="0.2">
      <c r="A1452" s="68"/>
    </row>
    <row r="1453" spans="1:1" x14ac:dyDescent="0.2">
      <c r="A1453" s="68"/>
    </row>
    <row r="1454" spans="1:1" x14ac:dyDescent="0.2">
      <c r="A1454" s="68"/>
    </row>
    <row r="1455" spans="1:1" x14ac:dyDescent="0.2">
      <c r="A1455" s="68"/>
    </row>
    <row r="1456" spans="1:1" x14ac:dyDescent="0.2">
      <c r="A1456" s="68"/>
    </row>
    <row r="1457" spans="1:1" x14ac:dyDescent="0.2">
      <c r="A1457" s="68"/>
    </row>
    <row r="1458" spans="1:1" x14ac:dyDescent="0.2">
      <c r="A1458" s="68"/>
    </row>
    <row r="1459" spans="1:1" x14ac:dyDescent="0.2">
      <c r="A1459" s="68"/>
    </row>
    <row r="1460" spans="1:1" x14ac:dyDescent="0.2">
      <c r="A1460" s="68"/>
    </row>
    <row r="1461" spans="1:1" x14ac:dyDescent="0.2">
      <c r="A1461" s="68"/>
    </row>
    <row r="1462" spans="1:1" x14ac:dyDescent="0.2">
      <c r="A1462" s="68"/>
    </row>
    <row r="1463" spans="1:1" x14ac:dyDescent="0.2">
      <c r="A1463" s="68"/>
    </row>
    <row r="1464" spans="1:1" x14ac:dyDescent="0.2">
      <c r="A1464" s="68"/>
    </row>
    <row r="1465" spans="1:1" x14ac:dyDescent="0.2">
      <c r="A1465" s="68"/>
    </row>
    <row r="1466" spans="1:1" x14ac:dyDescent="0.2">
      <c r="A1466" s="68"/>
    </row>
    <row r="1467" spans="1:1" x14ac:dyDescent="0.2">
      <c r="A1467" s="68"/>
    </row>
    <row r="1468" spans="1:1" x14ac:dyDescent="0.2">
      <c r="A1468" s="68"/>
    </row>
    <row r="1469" spans="1:1" x14ac:dyDescent="0.2">
      <c r="A1469" s="68"/>
    </row>
    <row r="1470" spans="1:1" x14ac:dyDescent="0.2">
      <c r="A1470" s="68"/>
    </row>
    <row r="1471" spans="1:1" x14ac:dyDescent="0.2">
      <c r="A1471" s="68"/>
    </row>
    <row r="1472" spans="1:1" x14ac:dyDescent="0.2">
      <c r="A1472" s="68"/>
    </row>
    <row r="1473" spans="1:1" x14ac:dyDescent="0.2">
      <c r="A1473" s="68"/>
    </row>
    <row r="1474" spans="1:1" x14ac:dyDescent="0.2">
      <c r="A1474" s="68"/>
    </row>
    <row r="1475" spans="1:1" x14ac:dyDescent="0.2">
      <c r="A1475" s="68"/>
    </row>
    <row r="1476" spans="1:1" x14ac:dyDescent="0.2">
      <c r="A1476" s="68"/>
    </row>
    <row r="1477" spans="1:1" x14ac:dyDescent="0.2">
      <c r="A1477" s="68"/>
    </row>
    <row r="1478" spans="1:1" x14ac:dyDescent="0.2">
      <c r="A1478" s="68"/>
    </row>
    <row r="1479" spans="1:1" x14ac:dyDescent="0.2">
      <c r="A1479" s="68"/>
    </row>
    <row r="1480" spans="1:1" x14ac:dyDescent="0.2">
      <c r="A1480" s="68"/>
    </row>
    <row r="1481" spans="1:1" x14ac:dyDescent="0.2">
      <c r="A1481" s="68"/>
    </row>
    <row r="1482" spans="1:1" x14ac:dyDescent="0.2">
      <c r="A1482" s="68"/>
    </row>
    <row r="1483" spans="1:1" x14ac:dyDescent="0.2">
      <c r="A1483" s="68"/>
    </row>
    <row r="1484" spans="1:1" x14ac:dyDescent="0.2">
      <c r="A1484" s="68"/>
    </row>
    <row r="1485" spans="1:1" x14ac:dyDescent="0.2">
      <c r="A1485" s="68"/>
    </row>
    <row r="1486" spans="1:1" x14ac:dyDescent="0.2">
      <c r="A1486" s="68"/>
    </row>
    <row r="1487" spans="1:1" x14ac:dyDescent="0.2">
      <c r="A1487" s="68"/>
    </row>
    <row r="1488" spans="1:1" x14ac:dyDescent="0.2">
      <c r="A1488" s="68"/>
    </row>
    <row r="1489" spans="1:1" x14ac:dyDescent="0.2">
      <c r="A1489" s="68"/>
    </row>
    <row r="1490" spans="1:1" x14ac:dyDescent="0.2">
      <c r="A1490" s="68"/>
    </row>
    <row r="1491" spans="1:1" x14ac:dyDescent="0.2">
      <c r="A1491" s="68"/>
    </row>
    <row r="1492" spans="1:1" x14ac:dyDescent="0.2">
      <c r="A1492" s="68"/>
    </row>
    <row r="1493" spans="1:1" x14ac:dyDescent="0.2">
      <c r="A1493" s="68"/>
    </row>
    <row r="1494" spans="1:1" x14ac:dyDescent="0.2">
      <c r="A1494" s="68"/>
    </row>
    <row r="1495" spans="1:1" x14ac:dyDescent="0.2">
      <c r="A1495" s="68"/>
    </row>
    <row r="1496" spans="1:1" x14ac:dyDescent="0.2">
      <c r="A1496" s="68"/>
    </row>
    <row r="1497" spans="1:1" x14ac:dyDescent="0.2">
      <c r="A1497" s="68"/>
    </row>
    <row r="1498" spans="1:1" x14ac:dyDescent="0.2">
      <c r="A1498" s="68"/>
    </row>
    <row r="1499" spans="1:1" x14ac:dyDescent="0.2">
      <c r="A1499" s="68"/>
    </row>
    <row r="1500" spans="1:1" x14ac:dyDescent="0.2">
      <c r="A1500" s="68"/>
    </row>
    <row r="1501" spans="1:1" x14ac:dyDescent="0.2">
      <c r="A1501" s="68"/>
    </row>
    <row r="1502" spans="1:1" x14ac:dyDescent="0.2">
      <c r="A1502" s="68"/>
    </row>
    <row r="1503" spans="1:1" x14ac:dyDescent="0.2">
      <c r="A1503" s="68"/>
    </row>
    <row r="1504" spans="1:1" x14ac:dyDescent="0.2">
      <c r="A1504" s="68"/>
    </row>
    <row r="1505" spans="1:1" x14ac:dyDescent="0.2">
      <c r="A1505" s="68"/>
    </row>
    <row r="1506" spans="1:1" x14ac:dyDescent="0.2">
      <c r="A1506" s="68"/>
    </row>
    <row r="1507" spans="1:1" x14ac:dyDescent="0.2">
      <c r="A1507" s="68"/>
    </row>
    <row r="1508" spans="1:1" x14ac:dyDescent="0.2">
      <c r="A1508" s="68"/>
    </row>
    <row r="1509" spans="1:1" x14ac:dyDescent="0.2">
      <c r="A1509" s="68"/>
    </row>
    <row r="1510" spans="1:1" x14ac:dyDescent="0.2">
      <c r="A1510" s="68"/>
    </row>
    <row r="1511" spans="1:1" x14ac:dyDescent="0.2">
      <c r="A1511" s="68"/>
    </row>
    <row r="1512" spans="1:1" x14ac:dyDescent="0.2">
      <c r="A1512" s="68"/>
    </row>
    <row r="1513" spans="1:1" x14ac:dyDescent="0.2">
      <c r="A1513" s="68"/>
    </row>
    <row r="1514" spans="1:1" x14ac:dyDescent="0.2">
      <c r="A1514" s="68"/>
    </row>
    <row r="1515" spans="1:1" x14ac:dyDescent="0.2">
      <c r="A1515" s="68"/>
    </row>
    <row r="1516" spans="1:1" x14ac:dyDescent="0.2">
      <c r="A1516" s="68"/>
    </row>
    <row r="1517" spans="1:1" x14ac:dyDescent="0.2">
      <c r="A1517" s="68"/>
    </row>
    <row r="1518" spans="1:1" x14ac:dyDescent="0.2">
      <c r="A1518" s="68"/>
    </row>
    <row r="1519" spans="1:1" x14ac:dyDescent="0.2">
      <c r="A1519" s="68"/>
    </row>
    <row r="1520" spans="1:1" x14ac:dyDescent="0.2">
      <c r="A1520" s="68"/>
    </row>
    <row r="1521" spans="1:1" x14ac:dyDescent="0.2">
      <c r="A1521" s="68"/>
    </row>
    <row r="1522" spans="1:1" x14ac:dyDescent="0.2">
      <c r="A1522" s="68"/>
    </row>
    <row r="1523" spans="1:1" x14ac:dyDescent="0.2">
      <c r="A1523" s="68"/>
    </row>
    <row r="1524" spans="1:1" x14ac:dyDescent="0.2">
      <c r="A1524" s="68"/>
    </row>
    <row r="1525" spans="1:1" x14ac:dyDescent="0.2">
      <c r="A1525" s="68"/>
    </row>
    <row r="1526" spans="1:1" x14ac:dyDescent="0.2">
      <c r="A1526" s="68"/>
    </row>
    <row r="1527" spans="1:1" x14ac:dyDescent="0.2">
      <c r="A1527" s="68"/>
    </row>
    <row r="1528" spans="1:1" x14ac:dyDescent="0.2">
      <c r="A1528" s="68"/>
    </row>
    <row r="1529" spans="1:1" x14ac:dyDescent="0.2">
      <c r="A1529" s="68"/>
    </row>
    <row r="1530" spans="1:1" x14ac:dyDescent="0.2">
      <c r="A1530" s="68"/>
    </row>
    <row r="1531" spans="1:1" x14ac:dyDescent="0.2">
      <c r="A1531" s="68"/>
    </row>
    <row r="1532" spans="1:1" x14ac:dyDescent="0.2">
      <c r="A1532" s="68"/>
    </row>
    <row r="1533" spans="1:1" x14ac:dyDescent="0.2">
      <c r="A1533" s="68"/>
    </row>
    <row r="1534" spans="1:1" x14ac:dyDescent="0.2">
      <c r="A1534" s="68"/>
    </row>
    <row r="1535" spans="1:1" x14ac:dyDescent="0.2">
      <c r="A1535" s="68"/>
    </row>
    <row r="1536" spans="1:1" x14ac:dyDescent="0.2">
      <c r="A1536" s="68"/>
    </row>
    <row r="1537" spans="1:1" x14ac:dyDescent="0.2">
      <c r="A1537" s="68"/>
    </row>
    <row r="1538" spans="1:1" x14ac:dyDescent="0.2">
      <c r="A1538" s="68"/>
    </row>
    <row r="1539" spans="1:1" x14ac:dyDescent="0.2">
      <c r="A1539" s="68"/>
    </row>
    <row r="1540" spans="1:1" x14ac:dyDescent="0.2">
      <c r="A1540" s="68"/>
    </row>
    <row r="1541" spans="1:1" x14ac:dyDescent="0.2">
      <c r="A1541" s="68"/>
    </row>
    <row r="1542" spans="1:1" x14ac:dyDescent="0.2">
      <c r="A1542" s="68"/>
    </row>
    <row r="1543" spans="1:1" x14ac:dyDescent="0.2">
      <c r="A1543" s="68"/>
    </row>
    <row r="1544" spans="1:1" x14ac:dyDescent="0.2">
      <c r="A1544" s="68"/>
    </row>
    <row r="1545" spans="1:1" x14ac:dyDescent="0.2">
      <c r="A1545" s="68"/>
    </row>
    <row r="1546" spans="1:1" x14ac:dyDescent="0.2">
      <c r="A1546" s="68"/>
    </row>
    <row r="1547" spans="1:1" x14ac:dyDescent="0.2">
      <c r="A1547" s="68"/>
    </row>
    <row r="1548" spans="1:1" x14ac:dyDescent="0.2">
      <c r="A1548" s="68"/>
    </row>
    <row r="1549" spans="1:1" x14ac:dyDescent="0.2">
      <c r="A1549" s="68"/>
    </row>
    <row r="1550" spans="1:1" x14ac:dyDescent="0.2">
      <c r="A1550" s="68"/>
    </row>
    <row r="1551" spans="1:1" x14ac:dyDescent="0.2">
      <c r="A1551" s="68"/>
    </row>
    <row r="1552" spans="1:1" x14ac:dyDescent="0.2">
      <c r="A1552" s="68"/>
    </row>
    <row r="1553" spans="1:1" x14ac:dyDescent="0.2">
      <c r="A1553" s="68"/>
    </row>
    <row r="1554" spans="1:1" x14ac:dyDescent="0.2">
      <c r="A1554" s="68"/>
    </row>
    <row r="1555" spans="1:1" x14ac:dyDescent="0.2">
      <c r="A1555" s="68"/>
    </row>
    <row r="1556" spans="1:1" x14ac:dyDescent="0.2">
      <c r="A1556" s="68"/>
    </row>
    <row r="1557" spans="1:1" x14ac:dyDescent="0.2">
      <c r="A1557" s="68"/>
    </row>
    <row r="1558" spans="1:1" x14ac:dyDescent="0.2">
      <c r="A1558" s="68"/>
    </row>
    <row r="1559" spans="1:1" x14ac:dyDescent="0.2">
      <c r="A1559" s="68"/>
    </row>
    <row r="1560" spans="1:1" x14ac:dyDescent="0.2">
      <c r="A1560" s="68"/>
    </row>
    <row r="1561" spans="1:1" x14ac:dyDescent="0.2">
      <c r="A1561" s="68"/>
    </row>
    <row r="1562" spans="1:1" x14ac:dyDescent="0.2">
      <c r="A1562" s="68"/>
    </row>
    <row r="1563" spans="1:1" x14ac:dyDescent="0.2">
      <c r="A1563" s="68"/>
    </row>
    <row r="1564" spans="1:1" x14ac:dyDescent="0.2">
      <c r="A1564" s="68"/>
    </row>
    <row r="1565" spans="1:1" x14ac:dyDescent="0.2">
      <c r="A1565" s="68"/>
    </row>
    <row r="1566" spans="1:1" x14ac:dyDescent="0.2">
      <c r="A1566" s="68"/>
    </row>
    <row r="1567" spans="1:1" x14ac:dyDescent="0.2">
      <c r="A1567" s="68"/>
    </row>
    <row r="1568" spans="1:1" x14ac:dyDescent="0.2">
      <c r="A1568" s="68"/>
    </row>
    <row r="1569" spans="1:1" x14ac:dyDescent="0.2">
      <c r="A1569" s="68"/>
    </row>
    <row r="1570" spans="1:1" x14ac:dyDescent="0.2">
      <c r="A1570" s="68"/>
    </row>
    <row r="1571" spans="1:1" x14ac:dyDescent="0.2">
      <c r="A1571" s="68"/>
    </row>
    <row r="1572" spans="1:1" x14ac:dyDescent="0.2">
      <c r="A1572" s="68"/>
    </row>
    <row r="1573" spans="1:1" x14ac:dyDescent="0.2">
      <c r="A1573" s="68"/>
    </row>
    <row r="1574" spans="1:1" x14ac:dyDescent="0.2">
      <c r="A1574" s="68"/>
    </row>
    <row r="1575" spans="1:1" x14ac:dyDescent="0.2">
      <c r="A1575" s="68"/>
    </row>
    <row r="1576" spans="1:1" x14ac:dyDescent="0.2">
      <c r="A1576" s="68"/>
    </row>
    <row r="1577" spans="1:1" x14ac:dyDescent="0.2">
      <c r="A1577" s="68"/>
    </row>
    <row r="1578" spans="1:1" x14ac:dyDescent="0.2">
      <c r="A1578" s="68"/>
    </row>
    <row r="1579" spans="1:1" x14ac:dyDescent="0.2">
      <c r="A1579" s="68"/>
    </row>
    <row r="1580" spans="1:1" x14ac:dyDescent="0.2">
      <c r="A1580" s="68"/>
    </row>
    <row r="1581" spans="1:1" x14ac:dyDescent="0.2">
      <c r="A1581" s="68"/>
    </row>
    <row r="1582" spans="1:1" x14ac:dyDescent="0.2">
      <c r="A1582" s="68"/>
    </row>
    <row r="1583" spans="1:1" x14ac:dyDescent="0.2">
      <c r="A1583" s="68"/>
    </row>
    <row r="1584" spans="1:1" x14ac:dyDescent="0.2">
      <c r="A1584" s="68"/>
    </row>
    <row r="1585" spans="1:1" x14ac:dyDescent="0.2">
      <c r="A1585" s="68"/>
    </row>
    <row r="1586" spans="1:1" x14ac:dyDescent="0.2">
      <c r="A1586" s="68"/>
    </row>
    <row r="1587" spans="1:1" x14ac:dyDescent="0.2">
      <c r="A1587" s="68"/>
    </row>
    <row r="1588" spans="1:1" x14ac:dyDescent="0.2">
      <c r="A1588" s="68"/>
    </row>
    <row r="1589" spans="1:1" x14ac:dyDescent="0.2">
      <c r="A1589" s="68"/>
    </row>
    <row r="1590" spans="1:1" x14ac:dyDescent="0.2">
      <c r="A1590" s="68"/>
    </row>
    <row r="1591" spans="1:1" x14ac:dyDescent="0.2">
      <c r="A1591" s="68"/>
    </row>
    <row r="1592" spans="1:1" x14ac:dyDescent="0.2">
      <c r="A1592" s="68"/>
    </row>
    <row r="1593" spans="1:1" x14ac:dyDescent="0.2">
      <c r="A1593" s="68"/>
    </row>
    <row r="1594" spans="1:1" x14ac:dyDescent="0.2">
      <c r="A1594" s="68"/>
    </row>
    <row r="1595" spans="1:1" x14ac:dyDescent="0.2">
      <c r="A1595" s="68"/>
    </row>
    <row r="1596" spans="1:1" x14ac:dyDescent="0.2">
      <c r="A1596" s="68"/>
    </row>
    <row r="1597" spans="1:1" x14ac:dyDescent="0.2">
      <c r="A1597" s="68"/>
    </row>
    <row r="1598" spans="1:1" x14ac:dyDescent="0.2">
      <c r="A1598" s="68"/>
    </row>
    <row r="1599" spans="1:1" x14ac:dyDescent="0.2">
      <c r="A1599" s="68"/>
    </row>
    <row r="1600" spans="1:1" x14ac:dyDescent="0.2">
      <c r="A1600" s="68"/>
    </row>
    <row r="1601" spans="1:1" x14ac:dyDescent="0.2">
      <c r="A1601" s="68"/>
    </row>
    <row r="1602" spans="1:1" x14ac:dyDescent="0.2">
      <c r="A1602" s="68"/>
    </row>
    <row r="1603" spans="1:1" x14ac:dyDescent="0.2">
      <c r="A1603" s="68"/>
    </row>
    <row r="1604" spans="1:1" x14ac:dyDescent="0.2">
      <c r="A1604" s="68"/>
    </row>
    <row r="1605" spans="1:1" x14ac:dyDescent="0.2">
      <c r="A1605" s="68"/>
    </row>
    <row r="1606" spans="1:1" x14ac:dyDescent="0.2">
      <c r="A1606" s="68"/>
    </row>
    <row r="1607" spans="1:1" x14ac:dyDescent="0.2">
      <c r="A1607" s="68"/>
    </row>
    <row r="1608" spans="1:1" x14ac:dyDescent="0.2">
      <c r="A1608" s="68"/>
    </row>
    <row r="1609" spans="1:1" x14ac:dyDescent="0.2">
      <c r="A1609" s="68"/>
    </row>
    <row r="1610" spans="1:1" x14ac:dyDescent="0.2">
      <c r="A1610" s="68"/>
    </row>
    <row r="1611" spans="1:1" x14ac:dyDescent="0.2">
      <c r="A1611" s="68"/>
    </row>
    <row r="1612" spans="1:1" x14ac:dyDescent="0.2">
      <c r="A1612" s="68"/>
    </row>
    <row r="1613" spans="1:1" x14ac:dyDescent="0.2">
      <c r="A1613" s="68"/>
    </row>
    <row r="1614" spans="1:1" x14ac:dyDescent="0.2">
      <c r="A1614" s="68"/>
    </row>
    <row r="1615" spans="1:1" x14ac:dyDescent="0.2">
      <c r="A1615" s="68"/>
    </row>
    <row r="1616" spans="1:1" x14ac:dyDescent="0.2">
      <c r="A1616" s="68"/>
    </row>
    <row r="1617" spans="1:1" x14ac:dyDescent="0.2">
      <c r="A1617" s="68"/>
    </row>
    <row r="1618" spans="1:1" x14ac:dyDescent="0.2">
      <c r="A1618" s="68"/>
    </row>
    <row r="1619" spans="1:1" x14ac:dyDescent="0.2">
      <c r="A1619" s="68"/>
    </row>
    <row r="1620" spans="1:1" x14ac:dyDescent="0.2">
      <c r="A1620" s="68"/>
    </row>
    <row r="1621" spans="1:1" x14ac:dyDescent="0.2">
      <c r="A1621" s="68"/>
    </row>
    <row r="1622" spans="1:1" x14ac:dyDescent="0.2">
      <c r="A1622" s="68"/>
    </row>
    <row r="1623" spans="1:1" x14ac:dyDescent="0.2">
      <c r="A1623" s="68"/>
    </row>
    <row r="1624" spans="1:1" x14ac:dyDescent="0.2">
      <c r="A1624" s="68"/>
    </row>
    <row r="1625" spans="1:1" x14ac:dyDescent="0.2">
      <c r="A1625" s="68"/>
    </row>
    <row r="1626" spans="1:1" x14ac:dyDescent="0.2">
      <c r="A1626" s="68"/>
    </row>
    <row r="1627" spans="1:1" x14ac:dyDescent="0.2">
      <c r="A1627" s="68"/>
    </row>
    <row r="1628" spans="1:1" x14ac:dyDescent="0.2">
      <c r="A1628" s="68"/>
    </row>
    <row r="1629" spans="1:1" x14ac:dyDescent="0.2">
      <c r="A1629" s="68"/>
    </row>
    <row r="1630" spans="1:1" x14ac:dyDescent="0.2">
      <c r="A1630" s="68"/>
    </row>
    <row r="1631" spans="1:1" x14ac:dyDescent="0.2">
      <c r="A1631" s="68"/>
    </row>
    <row r="1632" spans="1:1" x14ac:dyDescent="0.2">
      <c r="A1632" s="68"/>
    </row>
    <row r="1633" spans="1:1" x14ac:dyDescent="0.2">
      <c r="A1633" s="68"/>
    </row>
    <row r="1634" spans="1:1" x14ac:dyDescent="0.2">
      <c r="A1634" s="68"/>
    </row>
    <row r="1635" spans="1:1" x14ac:dyDescent="0.2">
      <c r="A1635" s="68"/>
    </row>
    <row r="1636" spans="1:1" x14ac:dyDescent="0.2">
      <c r="A1636" s="68"/>
    </row>
    <row r="1637" spans="1:1" x14ac:dyDescent="0.2">
      <c r="A1637" s="68"/>
    </row>
    <row r="1638" spans="1:1" x14ac:dyDescent="0.2">
      <c r="A1638" s="68"/>
    </row>
    <row r="1639" spans="1:1" x14ac:dyDescent="0.2">
      <c r="A1639" s="68"/>
    </row>
    <row r="1640" spans="1:1" x14ac:dyDescent="0.2">
      <c r="A1640" s="68"/>
    </row>
    <row r="1641" spans="1:1" x14ac:dyDescent="0.2">
      <c r="A1641" s="68"/>
    </row>
    <row r="1642" spans="1:1" x14ac:dyDescent="0.2">
      <c r="A1642" s="68"/>
    </row>
    <row r="1643" spans="1:1" x14ac:dyDescent="0.2">
      <c r="A1643" s="68"/>
    </row>
    <row r="1644" spans="1:1" x14ac:dyDescent="0.2">
      <c r="A1644" s="68"/>
    </row>
    <row r="1645" spans="1:1" x14ac:dyDescent="0.2">
      <c r="A1645" s="68"/>
    </row>
    <row r="1646" spans="1:1" x14ac:dyDescent="0.2">
      <c r="A1646" s="68"/>
    </row>
    <row r="1647" spans="1:1" x14ac:dyDescent="0.2">
      <c r="A1647" s="68"/>
    </row>
    <row r="1648" spans="1:1" x14ac:dyDescent="0.2">
      <c r="A1648" s="68"/>
    </row>
    <row r="1649" spans="1:1" x14ac:dyDescent="0.2">
      <c r="A1649" s="68"/>
    </row>
    <row r="1650" spans="1:1" x14ac:dyDescent="0.2">
      <c r="A1650" s="68"/>
    </row>
    <row r="1651" spans="1:1" x14ac:dyDescent="0.2">
      <c r="A1651" s="68"/>
    </row>
    <row r="1652" spans="1:1" x14ac:dyDescent="0.2">
      <c r="A1652" s="68"/>
    </row>
    <row r="1653" spans="1:1" x14ac:dyDescent="0.2">
      <c r="A1653" s="68"/>
    </row>
    <row r="1654" spans="1:1" x14ac:dyDescent="0.2">
      <c r="A1654" s="68"/>
    </row>
    <row r="1655" spans="1:1" x14ac:dyDescent="0.2">
      <c r="A1655" s="68"/>
    </row>
    <row r="1656" spans="1:1" x14ac:dyDescent="0.2">
      <c r="A1656" s="68"/>
    </row>
    <row r="1657" spans="1:1" x14ac:dyDescent="0.2">
      <c r="A1657" s="68"/>
    </row>
    <row r="1658" spans="1:1" x14ac:dyDescent="0.2">
      <c r="A1658" s="68"/>
    </row>
    <row r="1659" spans="1:1" x14ac:dyDescent="0.2">
      <c r="A1659" s="68"/>
    </row>
    <row r="1660" spans="1:1" x14ac:dyDescent="0.2">
      <c r="A1660" s="68"/>
    </row>
    <row r="1661" spans="1:1" x14ac:dyDescent="0.2">
      <c r="A1661" s="68"/>
    </row>
    <row r="1662" spans="1:1" x14ac:dyDescent="0.2">
      <c r="A1662" s="68"/>
    </row>
    <row r="1663" spans="1:1" x14ac:dyDescent="0.2">
      <c r="A1663" s="68"/>
    </row>
    <row r="1664" spans="1:1" x14ac:dyDescent="0.2">
      <c r="A1664" s="68"/>
    </row>
    <row r="1665" spans="1:1" x14ac:dyDescent="0.2">
      <c r="A1665" s="68"/>
    </row>
    <row r="1666" spans="1:1" x14ac:dyDescent="0.2">
      <c r="A1666" s="68"/>
    </row>
    <row r="1667" spans="1:1" x14ac:dyDescent="0.2">
      <c r="A1667" s="68"/>
    </row>
    <row r="1668" spans="1:1" x14ac:dyDescent="0.2">
      <c r="A1668" s="68"/>
    </row>
    <row r="1669" spans="1:1" x14ac:dyDescent="0.2">
      <c r="A1669" s="68"/>
    </row>
    <row r="1670" spans="1:1" x14ac:dyDescent="0.2">
      <c r="A1670" s="68"/>
    </row>
    <row r="1671" spans="1:1" x14ac:dyDescent="0.2">
      <c r="A1671" s="68"/>
    </row>
    <row r="1672" spans="1:1" x14ac:dyDescent="0.2">
      <c r="A1672" s="68"/>
    </row>
    <row r="1673" spans="1:1" x14ac:dyDescent="0.2">
      <c r="A1673" s="68"/>
    </row>
    <row r="1674" spans="1:1" x14ac:dyDescent="0.2">
      <c r="A1674" s="68"/>
    </row>
    <row r="1675" spans="1:1" x14ac:dyDescent="0.2">
      <c r="A1675" s="68"/>
    </row>
    <row r="1676" spans="1:1" x14ac:dyDescent="0.2">
      <c r="A1676" s="68"/>
    </row>
    <row r="1677" spans="1:1" x14ac:dyDescent="0.2">
      <c r="A1677" s="68"/>
    </row>
    <row r="1678" spans="1:1" x14ac:dyDescent="0.2">
      <c r="A1678" s="68"/>
    </row>
    <row r="1679" spans="1:1" x14ac:dyDescent="0.2">
      <c r="A1679" s="68"/>
    </row>
    <row r="1680" spans="1:1" x14ac:dyDescent="0.2">
      <c r="A1680" s="68"/>
    </row>
    <row r="1681" spans="1:1" x14ac:dyDescent="0.2">
      <c r="A1681" s="68"/>
    </row>
    <row r="1682" spans="1:1" x14ac:dyDescent="0.2">
      <c r="A1682" s="68"/>
    </row>
    <row r="1683" spans="1:1" x14ac:dyDescent="0.2">
      <c r="A1683" s="68"/>
    </row>
    <row r="1684" spans="1:1" x14ac:dyDescent="0.2">
      <c r="A1684" s="68"/>
    </row>
    <row r="1685" spans="1:1" x14ac:dyDescent="0.2">
      <c r="A1685" s="68"/>
    </row>
    <row r="1686" spans="1:1" x14ac:dyDescent="0.2">
      <c r="A1686" s="68"/>
    </row>
    <row r="1687" spans="1:1" x14ac:dyDescent="0.2">
      <c r="A1687" s="68"/>
    </row>
    <row r="1688" spans="1:1" x14ac:dyDescent="0.2">
      <c r="A1688" s="68"/>
    </row>
    <row r="1689" spans="1:1" x14ac:dyDescent="0.2">
      <c r="A1689" s="68"/>
    </row>
    <row r="1690" spans="1:1" x14ac:dyDescent="0.2">
      <c r="A1690" s="68"/>
    </row>
    <row r="1691" spans="1:1" x14ac:dyDescent="0.2">
      <c r="A1691" s="68"/>
    </row>
    <row r="1692" spans="1:1" x14ac:dyDescent="0.2">
      <c r="A1692" s="68"/>
    </row>
    <row r="1693" spans="1:1" x14ac:dyDescent="0.2">
      <c r="A1693" s="68"/>
    </row>
    <row r="1694" spans="1:1" x14ac:dyDescent="0.2">
      <c r="A1694" s="68"/>
    </row>
    <row r="1695" spans="1:1" x14ac:dyDescent="0.2">
      <c r="A1695" s="68"/>
    </row>
    <row r="1696" spans="1:1" x14ac:dyDescent="0.2">
      <c r="A1696" s="68"/>
    </row>
    <row r="1697" spans="1:1" x14ac:dyDescent="0.2">
      <c r="A1697" s="68"/>
    </row>
    <row r="1698" spans="1:1" x14ac:dyDescent="0.2">
      <c r="A1698" s="68"/>
    </row>
    <row r="1699" spans="1:1" x14ac:dyDescent="0.2">
      <c r="A1699" s="68"/>
    </row>
    <row r="1700" spans="1:1" x14ac:dyDescent="0.2">
      <c r="A1700" s="68"/>
    </row>
    <row r="1701" spans="1:1" x14ac:dyDescent="0.2">
      <c r="A1701" s="68"/>
    </row>
    <row r="1702" spans="1:1" x14ac:dyDescent="0.2">
      <c r="A1702" s="68"/>
    </row>
    <row r="1703" spans="1:1" x14ac:dyDescent="0.2">
      <c r="A1703" s="68"/>
    </row>
    <row r="1704" spans="1:1" x14ac:dyDescent="0.2">
      <c r="A1704" s="68"/>
    </row>
    <row r="1705" spans="1:1" x14ac:dyDescent="0.2">
      <c r="A1705" s="68"/>
    </row>
    <row r="1706" spans="1:1" x14ac:dyDescent="0.2">
      <c r="A1706" s="68"/>
    </row>
    <row r="1707" spans="1:1" x14ac:dyDescent="0.2">
      <c r="A1707" s="68"/>
    </row>
    <row r="1708" spans="1:1" x14ac:dyDescent="0.2">
      <c r="A1708" s="68"/>
    </row>
    <row r="1709" spans="1:1" x14ac:dyDescent="0.2">
      <c r="A1709" s="68"/>
    </row>
    <row r="1710" spans="1:1" x14ac:dyDescent="0.2">
      <c r="A1710" s="68"/>
    </row>
    <row r="1711" spans="1:1" x14ac:dyDescent="0.2">
      <c r="A1711" s="68"/>
    </row>
    <row r="1712" spans="1:1" x14ac:dyDescent="0.2">
      <c r="A1712" s="68"/>
    </row>
    <row r="1713" spans="1:1" x14ac:dyDescent="0.2">
      <c r="A1713" s="68"/>
    </row>
    <row r="1714" spans="1:1" x14ac:dyDescent="0.2">
      <c r="A1714" s="68"/>
    </row>
    <row r="1715" spans="1:1" x14ac:dyDescent="0.2">
      <c r="A1715" s="68"/>
    </row>
    <row r="1716" spans="1:1" x14ac:dyDescent="0.2">
      <c r="A1716" s="68"/>
    </row>
    <row r="1717" spans="1:1" x14ac:dyDescent="0.2">
      <c r="A1717" s="68"/>
    </row>
    <row r="1718" spans="1:1" x14ac:dyDescent="0.2">
      <c r="A1718" s="68"/>
    </row>
    <row r="1719" spans="1:1" x14ac:dyDescent="0.2">
      <c r="A1719" s="68"/>
    </row>
    <row r="1720" spans="1:1" x14ac:dyDescent="0.2">
      <c r="A1720" s="68"/>
    </row>
    <row r="1721" spans="1:1" x14ac:dyDescent="0.2">
      <c r="A1721" s="68"/>
    </row>
    <row r="1722" spans="1:1" x14ac:dyDescent="0.2">
      <c r="A1722" s="68"/>
    </row>
    <row r="1723" spans="1:1" x14ac:dyDescent="0.2">
      <c r="A1723" s="68"/>
    </row>
    <row r="1724" spans="1:1" x14ac:dyDescent="0.2">
      <c r="A1724" s="68"/>
    </row>
    <row r="1725" spans="1:1" x14ac:dyDescent="0.2">
      <c r="A1725" s="68"/>
    </row>
    <row r="1726" spans="1:1" x14ac:dyDescent="0.2">
      <c r="A1726" s="68"/>
    </row>
    <row r="1727" spans="1:1" x14ac:dyDescent="0.2">
      <c r="A1727" s="68"/>
    </row>
    <row r="1728" spans="1:1" x14ac:dyDescent="0.2">
      <c r="A1728" s="68"/>
    </row>
    <row r="1729" spans="1:1" x14ac:dyDescent="0.2">
      <c r="A1729" s="68"/>
    </row>
    <row r="1730" spans="1:1" x14ac:dyDescent="0.2">
      <c r="A1730" s="68"/>
    </row>
    <row r="1731" spans="1:1" x14ac:dyDescent="0.2">
      <c r="A1731" s="68"/>
    </row>
    <row r="1732" spans="1:1" x14ac:dyDescent="0.2">
      <c r="A1732" s="68"/>
    </row>
    <row r="1733" spans="1:1" x14ac:dyDescent="0.2">
      <c r="A1733" s="68"/>
    </row>
    <row r="1734" spans="1:1" x14ac:dyDescent="0.2">
      <c r="A1734" s="68"/>
    </row>
    <row r="1735" spans="1:1" x14ac:dyDescent="0.2">
      <c r="A1735" s="68"/>
    </row>
    <row r="1736" spans="1:1" x14ac:dyDescent="0.2">
      <c r="A1736" s="68"/>
    </row>
    <row r="1737" spans="1:1" x14ac:dyDescent="0.2">
      <c r="A1737" s="68"/>
    </row>
    <row r="1738" spans="1:1" x14ac:dyDescent="0.2">
      <c r="A1738" s="68"/>
    </row>
    <row r="1739" spans="1:1" x14ac:dyDescent="0.2">
      <c r="A1739" s="68"/>
    </row>
    <row r="1740" spans="1:1" x14ac:dyDescent="0.2">
      <c r="A1740" s="68"/>
    </row>
    <row r="1741" spans="1:1" x14ac:dyDescent="0.2">
      <c r="A1741" s="68"/>
    </row>
    <row r="1742" spans="1:1" x14ac:dyDescent="0.2">
      <c r="A1742" s="68"/>
    </row>
    <row r="1743" spans="1:1" x14ac:dyDescent="0.2">
      <c r="A1743" s="68"/>
    </row>
    <row r="1744" spans="1:1" x14ac:dyDescent="0.2">
      <c r="A1744" s="68"/>
    </row>
    <row r="1745" spans="1:1" x14ac:dyDescent="0.2">
      <c r="A1745" s="68"/>
    </row>
    <row r="1746" spans="1:1" x14ac:dyDescent="0.2">
      <c r="A1746" s="68"/>
    </row>
    <row r="1747" spans="1:1" x14ac:dyDescent="0.2">
      <c r="A1747" s="68"/>
    </row>
    <row r="1748" spans="1:1" x14ac:dyDescent="0.2">
      <c r="A1748" s="68"/>
    </row>
    <row r="1749" spans="1:1" x14ac:dyDescent="0.2">
      <c r="A1749" s="68"/>
    </row>
    <row r="1750" spans="1:1" x14ac:dyDescent="0.2">
      <c r="A1750" s="68"/>
    </row>
    <row r="1751" spans="1:1" x14ac:dyDescent="0.2">
      <c r="A1751" s="68"/>
    </row>
    <row r="1752" spans="1:1" x14ac:dyDescent="0.2">
      <c r="A1752" s="68"/>
    </row>
    <row r="1753" spans="1:1" x14ac:dyDescent="0.2">
      <c r="A1753" s="68"/>
    </row>
    <row r="1754" spans="1:1" x14ac:dyDescent="0.2">
      <c r="A1754" s="68"/>
    </row>
    <row r="1755" spans="1:1" x14ac:dyDescent="0.2">
      <c r="A1755" s="68"/>
    </row>
    <row r="1756" spans="1:1" x14ac:dyDescent="0.2">
      <c r="A1756" s="68"/>
    </row>
    <row r="1757" spans="1:1" x14ac:dyDescent="0.2">
      <c r="A1757" s="68"/>
    </row>
    <row r="1758" spans="1:1" x14ac:dyDescent="0.2">
      <c r="A1758" s="68"/>
    </row>
    <row r="1759" spans="1:1" x14ac:dyDescent="0.2">
      <c r="A1759" s="68"/>
    </row>
    <row r="1760" spans="1:1" x14ac:dyDescent="0.2">
      <c r="A1760" s="68"/>
    </row>
    <row r="1761" spans="1:1" x14ac:dyDescent="0.2">
      <c r="A1761" s="68"/>
    </row>
    <row r="1762" spans="1:1" x14ac:dyDescent="0.2">
      <c r="A1762" s="68"/>
    </row>
    <row r="1763" spans="1:1" x14ac:dyDescent="0.2">
      <c r="A1763" s="68"/>
    </row>
    <row r="1764" spans="1:1" x14ac:dyDescent="0.2">
      <c r="A1764" s="68"/>
    </row>
    <row r="1765" spans="1:1" x14ac:dyDescent="0.2">
      <c r="A1765" s="68"/>
    </row>
    <row r="1766" spans="1:1" x14ac:dyDescent="0.2">
      <c r="A1766" s="68"/>
    </row>
    <row r="1767" spans="1:1" x14ac:dyDescent="0.2">
      <c r="A1767" s="68"/>
    </row>
    <row r="1768" spans="1:1" x14ac:dyDescent="0.2">
      <c r="A1768" s="68"/>
    </row>
    <row r="1769" spans="1:1" x14ac:dyDescent="0.2">
      <c r="A1769" s="68"/>
    </row>
    <row r="1770" spans="1:1" x14ac:dyDescent="0.2">
      <c r="A1770" s="68"/>
    </row>
    <row r="1771" spans="1:1" x14ac:dyDescent="0.2">
      <c r="A1771" s="68"/>
    </row>
    <row r="1772" spans="1:1" x14ac:dyDescent="0.2">
      <c r="A1772" s="68"/>
    </row>
    <row r="1773" spans="1:1" x14ac:dyDescent="0.2">
      <c r="A1773" s="68"/>
    </row>
    <row r="1774" spans="1:1" x14ac:dyDescent="0.2">
      <c r="A1774" s="68"/>
    </row>
    <row r="1775" spans="1:1" x14ac:dyDescent="0.2">
      <c r="A1775" s="68"/>
    </row>
    <row r="1776" spans="1:1" x14ac:dyDescent="0.2">
      <c r="A1776" s="68"/>
    </row>
    <row r="1777" spans="1:1" x14ac:dyDescent="0.2">
      <c r="A1777" s="68"/>
    </row>
    <row r="1778" spans="1:1" x14ac:dyDescent="0.2">
      <c r="A1778" s="68"/>
    </row>
    <row r="1779" spans="1:1" x14ac:dyDescent="0.2">
      <c r="A1779" s="68"/>
    </row>
    <row r="1780" spans="1:1" x14ac:dyDescent="0.2">
      <c r="A1780" s="68"/>
    </row>
    <row r="1781" spans="1:1" x14ac:dyDescent="0.2">
      <c r="A1781" s="68"/>
    </row>
    <row r="1782" spans="1:1" x14ac:dyDescent="0.2">
      <c r="A1782" s="68"/>
    </row>
    <row r="1783" spans="1:1" x14ac:dyDescent="0.2">
      <c r="A1783" s="68"/>
    </row>
    <row r="1784" spans="1:1" x14ac:dyDescent="0.2">
      <c r="A1784" s="68"/>
    </row>
    <row r="1785" spans="1:1" x14ac:dyDescent="0.2">
      <c r="A1785" s="68"/>
    </row>
    <row r="1786" spans="1:1" x14ac:dyDescent="0.2">
      <c r="A1786" s="68"/>
    </row>
    <row r="1787" spans="1:1" x14ac:dyDescent="0.2">
      <c r="A1787" s="68"/>
    </row>
    <row r="1788" spans="1:1" x14ac:dyDescent="0.2">
      <c r="A1788" s="68"/>
    </row>
    <row r="1789" spans="1:1" x14ac:dyDescent="0.2">
      <c r="A1789" s="68"/>
    </row>
    <row r="1790" spans="1:1" x14ac:dyDescent="0.2">
      <c r="A1790" s="68"/>
    </row>
    <row r="1791" spans="1:1" x14ac:dyDescent="0.2">
      <c r="A1791" s="68"/>
    </row>
    <row r="1792" spans="1:1" x14ac:dyDescent="0.2">
      <c r="A1792" s="68"/>
    </row>
    <row r="1793" spans="1:1" x14ac:dyDescent="0.2">
      <c r="A1793" s="68"/>
    </row>
    <row r="1794" spans="1:1" x14ac:dyDescent="0.2">
      <c r="A1794" s="68"/>
    </row>
    <row r="1795" spans="1:1" x14ac:dyDescent="0.2">
      <c r="A1795" s="68"/>
    </row>
    <row r="1796" spans="1:1" x14ac:dyDescent="0.2">
      <c r="A1796" s="68"/>
    </row>
    <row r="1797" spans="1:1" x14ac:dyDescent="0.2">
      <c r="A1797" s="68"/>
    </row>
    <row r="1798" spans="1:1" x14ac:dyDescent="0.2">
      <c r="A1798" s="68"/>
    </row>
    <row r="1799" spans="1:1" x14ac:dyDescent="0.2">
      <c r="A1799" s="68"/>
    </row>
    <row r="1800" spans="1:1" x14ac:dyDescent="0.2">
      <c r="A1800" s="68"/>
    </row>
    <row r="1801" spans="1:1" x14ac:dyDescent="0.2">
      <c r="A1801" s="68"/>
    </row>
    <row r="1802" spans="1:1" x14ac:dyDescent="0.2">
      <c r="A1802" s="68"/>
    </row>
    <row r="1803" spans="1:1" x14ac:dyDescent="0.2">
      <c r="A1803" s="68"/>
    </row>
    <row r="1804" spans="1:1" x14ac:dyDescent="0.2">
      <c r="A1804" s="68"/>
    </row>
    <row r="1805" spans="1:1" x14ac:dyDescent="0.2">
      <c r="A1805" s="68"/>
    </row>
    <row r="1806" spans="1:1" x14ac:dyDescent="0.2">
      <c r="A1806" s="68"/>
    </row>
    <row r="1807" spans="1:1" x14ac:dyDescent="0.2">
      <c r="A1807" s="68"/>
    </row>
    <row r="1808" spans="1:1" x14ac:dyDescent="0.2">
      <c r="A1808" s="68"/>
    </row>
    <row r="1809" spans="1:1" x14ac:dyDescent="0.2">
      <c r="A1809" s="68"/>
    </row>
    <row r="1810" spans="1:1" x14ac:dyDescent="0.2">
      <c r="A1810" s="68"/>
    </row>
    <row r="1811" spans="1:1" x14ac:dyDescent="0.2">
      <c r="A1811" s="68"/>
    </row>
    <row r="1812" spans="1:1" x14ac:dyDescent="0.2">
      <c r="A1812" s="68"/>
    </row>
    <row r="1813" spans="1:1" x14ac:dyDescent="0.2">
      <c r="A1813" s="68"/>
    </row>
    <row r="1814" spans="1:1" x14ac:dyDescent="0.2">
      <c r="A1814" s="68"/>
    </row>
    <row r="1815" spans="1:1" x14ac:dyDescent="0.2">
      <c r="A1815" s="68"/>
    </row>
    <row r="1816" spans="1:1" x14ac:dyDescent="0.2">
      <c r="A1816" s="68"/>
    </row>
    <row r="1817" spans="1:1" x14ac:dyDescent="0.2">
      <c r="A1817" s="68"/>
    </row>
    <row r="1818" spans="1:1" x14ac:dyDescent="0.2">
      <c r="A1818" s="68"/>
    </row>
    <row r="1819" spans="1:1" x14ac:dyDescent="0.2">
      <c r="A1819" s="68"/>
    </row>
    <row r="1820" spans="1:1" x14ac:dyDescent="0.2">
      <c r="A1820" s="68"/>
    </row>
    <row r="1821" spans="1:1" x14ac:dyDescent="0.2">
      <c r="A1821" s="68"/>
    </row>
    <row r="1822" spans="1:1" x14ac:dyDescent="0.2">
      <c r="A1822" s="68"/>
    </row>
    <row r="1823" spans="1:1" x14ac:dyDescent="0.2">
      <c r="A1823" s="68"/>
    </row>
    <row r="1824" spans="1:1" x14ac:dyDescent="0.2">
      <c r="A1824" s="68"/>
    </row>
    <row r="1825" spans="1:1" x14ac:dyDescent="0.2">
      <c r="A1825" s="68"/>
    </row>
    <row r="1826" spans="1:1" x14ac:dyDescent="0.2">
      <c r="A1826" s="68"/>
    </row>
    <row r="1827" spans="1:1" x14ac:dyDescent="0.2">
      <c r="A1827" s="68"/>
    </row>
    <row r="1828" spans="1:1" x14ac:dyDescent="0.2">
      <c r="A1828" s="68"/>
    </row>
    <row r="1829" spans="1:1" x14ac:dyDescent="0.2">
      <c r="A1829" s="68"/>
    </row>
    <row r="1830" spans="1:1" x14ac:dyDescent="0.2">
      <c r="A1830" s="68"/>
    </row>
    <row r="1831" spans="1:1" x14ac:dyDescent="0.2">
      <c r="A1831" s="68"/>
    </row>
    <row r="1832" spans="1:1" x14ac:dyDescent="0.2">
      <c r="A1832" s="68"/>
    </row>
    <row r="1833" spans="1:1" x14ac:dyDescent="0.2">
      <c r="A1833" s="68"/>
    </row>
    <row r="1834" spans="1:1" x14ac:dyDescent="0.2">
      <c r="A1834" s="68"/>
    </row>
    <row r="1835" spans="1:1" x14ac:dyDescent="0.2">
      <c r="A1835" s="68"/>
    </row>
    <row r="1836" spans="1:1" x14ac:dyDescent="0.2">
      <c r="A1836" s="68"/>
    </row>
    <row r="1837" spans="1:1" x14ac:dyDescent="0.2">
      <c r="A1837" s="68"/>
    </row>
    <row r="1838" spans="1:1" x14ac:dyDescent="0.2">
      <c r="A1838" s="68"/>
    </row>
    <row r="1839" spans="1:1" x14ac:dyDescent="0.2">
      <c r="A1839" s="68"/>
    </row>
    <row r="1840" spans="1:1" x14ac:dyDescent="0.2">
      <c r="A1840" s="68"/>
    </row>
    <row r="1841" spans="1:1" x14ac:dyDescent="0.2">
      <c r="A1841" s="68"/>
    </row>
    <row r="1842" spans="1:1" x14ac:dyDescent="0.2">
      <c r="A1842" s="68"/>
    </row>
    <row r="1843" spans="1:1" x14ac:dyDescent="0.2">
      <c r="A1843" s="68"/>
    </row>
    <row r="1844" spans="1:1" x14ac:dyDescent="0.2">
      <c r="A1844" s="68"/>
    </row>
    <row r="1845" spans="1:1" x14ac:dyDescent="0.2">
      <c r="A1845" s="68"/>
    </row>
    <row r="1846" spans="1:1" x14ac:dyDescent="0.2">
      <c r="A1846" s="68"/>
    </row>
    <row r="1847" spans="1:1" x14ac:dyDescent="0.2">
      <c r="A1847" s="68"/>
    </row>
    <row r="1848" spans="1:1" x14ac:dyDescent="0.2">
      <c r="A1848" s="68"/>
    </row>
    <row r="1849" spans="1:1" x14ac:dyDescent="0.2">
      <c r="A1849" s="68"/>
    </row>
    <row r="1850" spans="1:1" x14ac:dyDescent="0.2">
      <c r="A1850" s="68"/>
    </row>
    <row r="1851" spans="1:1" x14ac:dyDescent="0.2">
      <c r="A1851" s="68"/>
    </row>
    <row r="1852" spans="1:1" x14ac:dyDescent="0.2">
      <c r="A1852" s="68"/>
    </row>
    <row r="1853" spans="1:1" x14ac:dyDescent="0.2">
      <c r="A1853" s="68"/>
    </row>
    <row r="1854" spans="1:1" x14ac:dyDescent="0.2">
      <c r="A1854" s="68"/>
    </row>
    <row r="1855" spans="1:1" x14ac:dyDescent="0.2">
      <c r="A1855" s="68"/>
    </row>
    <row r="1856" spans="1:1" x14ac:dyDescent="0.2">
      <c r="A1856" s="68"/>
    </row>
    <row r="1857" spans="1:1" x14ac:dyDescent="0.2">
      <c r="A1857" s="68"/>
    </row>
    <row r="1858" spans="1:1" x14ac:dyDescent="0.2">
      <c r="A1858" s="68"/>
    </row>
    <row r="1859" spans="1:1" x14ac:dyDescent="0.2">
      <c r="A1859" s="68"/>
    </row>
    <row r="1860" spans="1:1" x14ac:dyDescent="0.2">
      <c r="A1860" s="68"/>
    </row>
    <row r="1861" spans="1:1" x14ac:dyDescent="0.2">
      <c r="A1861" s="68"/>
    </row>
    <row r="1862" spans="1:1" x14ac:dyDescent="0.2">
      <c r="A1862" s="68"/>
    </row>
    <row r="1863" spans="1:1" x14ac:dyDescent="0.2">
      <c r="A1863" s="68"/>
    </row>
    <row r="1864" spans="1:1" x14ac:dyDescent="0.2">
      <c r="A1864" s="68"/>
    </row>
    <row r="1865" spans="1:1" x14ac:dyDescent="0.2">
      <c r="A1865" s="68"/>
    </row>
    <row r="1866" spans="1:1" x14ac:dyDescent="0.2">
      <c r="A1866" s="68"/>
    </row>
    <row r="1867" spans="1:1" x14ac:dyDescent="0.2">
      <c r="A1867" s="68"/>
    </row>
    <row r="1868" spans="1:1" x14ac:dyDescent="0.2">
      <c r="A1868" s="68"/>
    </row>
    <row r="1869" spans="1:1" x14ac:dyDescent="0.2">
      <c r="A1869" s="68"/>
    </row>
    <row r="1870" spans="1:1" x14ac:dyDescent="0.2">
      <c r="A1870" s="68"/>
    </row>
    <row r="1871" spans="1:1" x14ac:dyDescent="0.2">
      <c r="A1871" s="68"/>
    </row>
    <row r="1872" spans="1:1" x14ac:dyDescent="0.2">
      <c r="A1872" s="68"/>
    </row>
    <row r="1873" spans="1:1" x14ac:dyDescent="0.2">
      <c r="A1873" s="68"/>
    </row>
    <row r="1874" spans="1:1" x14ac:dyDescent="0.2">
      <c r="A1874" s="68"/>
    </row>
    <row r="1875" spans="1:1" x14ac:dyDescent="0.2">
      <c r="A1875" s="68"/>
    </row>
    <row r="1876" spans="1:1" x14ac:dyDescent="0.2">
      <c r="A1876" s="68"/>
    </row>
    <row r="1877" spans="1:1" x14ac:dyDescent="0.2">
      <c r="A1877" s="68"/>
    </row>
    <row r="1878" spans="1:1" x14ac:dyDescent="0.2">
      <c r="A1878" s="68"/>
    </row>
    <row r="1879" spans="1:1" x14ac:dyDescent="0.2">
      <c r="A1879" s="68"/>
    </row>
    <row r="1880" spans="1:1" x14ac:dyDescent="0.2">
      <c r="A1880" s="68"/>
    </row>
    <row r="1881" spans="1:1" x14ac:dyDescent="0.2">
      <c r="A1881" s="68"/>
    </row>
    <row r="1882" spans="1:1" x14ac:dyDescent="0.2">
      <c r="A1882" s="68"/>
    </row>
    <row r="1883" spans="1:1" x14ac:dyDescent="0.2">
      <c r="A1883" s="68"/>
    </row>
    <row r="1884" spans="1:1" x14ac:dyDescent="0.2">
      <c r="A1884" s="68"/>
    </row>
    <row r="1885" spans="1:1" x14ac:dyDescent="0.2">
      <c r="A1885" s="68"/>
    </row>
    <row r="1886" spans="1:1" x14ac:dyDescent="0.2">
      <c r="A1886" s="68"/>
    </row>
    <row r="1887" spans="1:1" x14ac:dyDescent="0.2">
      <c r="A1887" s="68"/>
    </row>
    <row r="1888" spans="1:1" x14ac:dyDescent="0.2">
      <c r="A1888" s="68"/>
    </row>
    <row r="1889" spans="1:1" x14ac:dyDescent="0.2">
      <c r="A1889" s="68"/>
    </row>
    <row r="1890" spans="1:1" x14ac:dyDescent="0.2">
      <c r="A1890" s="68"/>
    </row>
    <row r="1891" spans="1:1" x14ac:dyDescent="0.2">
      <c r="A1891" s="68"/>
    </row>
    <row r="1892" spans="1:1" x14ac:dyDescent="0.2">
      <c r="A1892" s="68"/>
    </row>
    <row r="1893" spans="1:1" x14ac:dyDescent="0.2">
      <c r="A1893" s="68"/>
    </row>
    <row r="1894" spans="1:1" x14ac:dyDescent="0.2">
      <c r="A1894" s="68"/>
    </row>
    <row r="1895" spans="1:1" x14ac:dyDescent="0.2">
      <c r="A1895" s="68"/>
    </row>
    <row r="1896" spans="1:1" x14ac:dyDescent="0.2">
      <c r="A1896" s="68"/>
    </row>
    <row r="1897" spans="1:1" x14ac:dyDescent="0.2">
      <c r="A1897" s="68"/>
    </row>
    <row r="1898" spans="1:1" x14ac:dyDescent="0.2">
      <c r="A1898" s="68"/>
    </row>
    <row r="1899" spans="1:1" x14ac:dyDescent="0.2">
      <c r="A1899" s="68"/>
    </row>
    <row r="1900" spans="1:1" x14ac:dyDescent="0.2">
      <c r="A1900" s="68"/>
    </row>
    <row r="1901" spans="1:1" x14ac:dyDescent="0.2">
      <c r="A1901" s="68"/>
    </row>
    <row r="1902" spans="1:1" x14ac:dyDescent="0.2">
      <c r="A1902" s="68"/>
    </row>
    <row r="1903" spans="1:1" x14ac:dyDescent="0.2">
      <c r="A1903" s="68"/>
    </row>
    <row r="1904" spans="1:1" x14ac:dyDescent="0.2">
      <c r="A1904" s="68"/>
    </row>
    <row r="1905" spans="1:1" x14ac:dyDescent="0.2">
      <c r="A1905" s="68"/>
    </row>
    <row r="1906" spans="1:1" x14ac:dyDescent="0.2">
      <c r="A1906" s="68"/>
    </row>
    <row r="1907" spans="1:1" x14ac:dyDescent="0.2">
      <c r="A1907" s="68"/>
    </row>
    <row r="1908" spans="1:1" x14ac:dyDescent="0.2">
      <c r="A1908" s="68"/>
    </row>
    <row r="1909" spans="1:1" x14ac:dyDescent="0.2">
      <c r="A1909" s="68"/>
    </row>
    <row r="1910" spans="1:1" x14ac:dyDescent="0.2">
      <c r="A1910" s="68"/>
    </row>
    <row r="1911" spans="1:1" x14ac:dyDescent="0.2">
      <c r="A1911" s="68"/>
    </row>
    <row r="1912" spans="1:1" x14ac:dyDescent="0.2">
      <c r="A1912" s="68"/>
    </row>
    <row r="1913" spans="1:1" x14ac:dyDescent="0.2">
      <c r="A1913" s="68"/>
    </row>
    <row r="1914" spans="1:1" x14ac:dyDescent="0.2">
      <c r="A1914" s="68"/>
    </row>
    <row r="1915" spans="1:1" x14ac:dyDescent="0.2">
      <c r="A1915" s="68"/>
    </row>
    <row r="1916" spans="1:1" x14ac:dyDescent="0.2">
      <c r="A1916" s="68"/>
    </row>
    <row r="1917" spans="1:1" x14ac:dyDescent="0.2">
      <c r="A1917" s="68"/>
    </row>
    <row r="1918" spans="1:1" x14ac:dyDescent="0.2">
      <c r="A1918" s="68"/>
    </row>
    <row r="1919" spans="1:1" x14ac:dyDescent="0.2">
      <c r="A1919" s="68"/>
    </row>
    <row r="1920" spans="1:1" x14ac:dyDescent="0.2">
      <c r="A1920" s="68"/>
    </row>
    <row r="1921" spans="1:1" x14ac:dyDescent="0.2">
      <c r="A1921" s="68"/>
    </row>
    <row r="1922" spans="1:1" x14ac:dyDescent="0.2">
      <c r="A1922" s="68"/>
    </row>
    <row r="1923" spans="1:1" x14ac:dyDescent="0.2">
      <c r="A1923" s="68"/>
    </row>
    <row r="1924" spans="1:1" x14ac:dyDescent="0.2">
      <c r="A1924" s="68"/>
    </row>
    <row r="1925" spans="1:1" x14ac:dyDescent="0.2">
      <c r="A1925" s="68"/>
    </row>
    <row r="1926" spans="1:1" x14ac:dyDescent="0.2">
      <c r="A1926" s="68"/>
    </row>
    <row r="1927" spans="1:1" x14ac:dyDescent="0.2">
      <c r="A1927" s="68"/>
    </row>
    <row r="1928" spans="1:1" x14ac:dyDescent="0.2">
      <c r="A1928" s="68"/>
    </row>
    <row r="1929" spans="1:1" x14ac:dyDescent="0.2">
      <c r="A1929" s="68"/>
    </row>
    <row r="1930" spans="1:1" x14ac:dyDescent="0.2">
      <c r="A1930" s="68"/>
    </row>
    <row r="1931" spans="1:1" x14ac:dyDescent="0.2">
      <c r="A1931" s="68"/>
    </row>
    <row r="1932" spans="1:1" x14ac:dyDescent="0.2">
      <c r="A1932" s="68"/>
    </row>
    <row r="1933" spans="1:1" x14ac:dyDescent="0.2">
      <c r="A1933" s="68"/>
    </row>
    <row r="1934" spans="1:1" x14ac:dyDescent="0.2">
      <c r="A1934" s="68"/>
    </row>
    <row r="1935" spans="1:1" x14ac:dyDescent="0.2">
      <c r="A1935" s="68"/>
    </row>
    <row r="1936" spans="1:1" x14ac:dyDescent="0.2">
      <c r="A1936" s="68"/>
    </row>
    <row r="1937" spans="1:1" x14ac:dyDescent="0.2">
      <c r="A1937" s="68"/>
    </row>
    <row r="1938" spans="1:1" x14ac:dyDescent="0.2">
      <c r="A1938" s="68"/>
    </row>
    <row r="1939" spans="1:1" x14ac:dyDescent="0.2">
      <c r="A1939" s="68"/>
    </row>
    <row r="1940" spans="1:1" x14ac:dyDescent="0.2">
      <c r="A1940" s="68"/>
    </row>
    <row r="1941" spans="1:1" x14ac:dyDescent="0.2">
      <c r="A1941" s="68"/>
    </row>
    <row r="1942" spans="1:1" x14ac:dyDescent="0.2">
      <c r="A1942" s="68"/>
    </row>
    <row r="1943" spans="1:1" x14ac:dyDescent="0.2">
      <c r="A1943" s="68"/>
    </row>
    <row r="1944" spans="1:1" x14ac:dyDescent="0.2">
      <c r="A1944" s="68"/>
    </row>
    <row r="1945" spans="1:1" x14ac:dyDescent="0.2">
      <c r="A1945" s="68"/>
    </row>
    <row r="1946" spans="1:1" x14ac:dyDescent="0.2">
      <c r="A1946" s="68"/>
    </row>
    <row r="1947" spans="1:1" x14ac:dyDescent="0.2">
      <c r="A1947" s="68"/>
    </row>
    <row r="1948" spans="1:1" x14ac:dyDescent="0.2">
      <c r="A1948" s="68"/>
    </row>
    <row r="1949" spans="1:1" x14ac:dyDescent="0.2">
      <c r="A1949" s="68"/>
    </row>
    <row r="1950" spans="1:1" x14ac:dyDescent="0.2">
      <c r="A1950" s="68"/>
    </row>
    <row r="1951" spans="1:1" x14ac:dyDescent="0.2">
      <c r="A1951" s="68"/>
    </row>
    <row r="1952" spans="1:1" x14ac:dyDescent="0.2">
      <c r="A1952" s="68"/>
    </row>
    <row r="1953" spans="1:1" x14ac:dyDescent="0.2">
      <c r="A1953" s="68"/>
    </row>
    <row r="1954" spans="1:1" x14ac:dyDescent="0.2">
      <c r="A1954" s="68"/>
    </row>
    <row r="1955" spans="1:1" x14ac:dyDescent="0.2">
      <c r="A1955" s="68"/>
    </row>
    <row r="1956" spans="1:1" x14ac:dyDescent="0.2">
      <c r="A1956" s="68"/>
    </row>
    <row r="1957" spans="1:1" x14ac:dyDescent="0.2">
      <c r="A1957" s="68"/>
    </row>
    <row r="1958" spans="1:1" x14ac:dyDescent="0.2">
      <c r="A1958" s="68"/>
    </row>
    <row r="1959" spans="1:1" x14ac:dyDescent="0.2">
      <c r="A1959" s="68"/>
    </row>
    <row r="1960" spans="1:1" x14ac:dyDescent="0.2">
      <c r="A1960" s="68"/>
    </row>
    <row r="1961" spans="1:1" x14ac:dyDescent="0.2">
      <c r="A1961" s="68"/>
    </row>
    <row r="1962" spans="1:1" x14ac:dyDescent="0.2">
      <c r="A1962" s="68"/>
    </row>
    <row r="1963" spans="1:1" x14ac:dyDescent="0.2">
      <c r="A1963" s="68"/>
    </row>
    <row r="1964" spans="1:1" x14ac:dyDescent="0.2">
      <c r="A1964" s="68"/>
    </row>
    <row r="1965" spans="1:1" x14ac:dyDescent="0.2">
      <c r="A1965" s="68"/>
    </row>
    <row r="1966" spans="1:1" x14ac:dyDescent="0.2">
      <c r="A1966" s="68"/>
    </row>
    <row r="1967" spans="1:1" x14ac:dyDescent="0.2">
      <c r="A1967" s="68"/>
    </row>
    <row r="1968" spans="1:1" x14ac:dyDescent="0.2">
      <c r="A1968" s="68"/>
    </row>
    <row r="1969" spans="1:1" x14ac:dyDescent="0.2">
      <c r="A1969" s="68"/>
    </row>
    <row r="1970" spans="1:1" x14ac:dyDescent="0.2">
      <c r="A1970" s="68"/>
    </row>
    <row r="1971" spans="1:1" x14ac:dyDescent="0.2">
      <c r="A1971" s="68"/>
    </row>
    <row r="1972" spans="1:1" x14ac:dyDescent="0.2">
      <c r="A1972" s="68"/>
    </row>
    <row r="1973" spans="1:1" x14ac:dyDescent="0.2">
      <c r="A1973" s="68"/>
    </row>
    <row r="1974" spans="1:1" x14ac:dyDescent="0.2">
      <c r="A1974" s="68"/>
    </row>
    <row r="1975" spans="1:1" x14ac:dyDescent="0.2">
      <c r="A1975" s="68"/>
    </row>
    <row r="1976" spans="1:1" x14ac:dyDescent="0.2">
      <c r="A1976" s="68"/>
    </row>
    <row r="1977" spans="1:1" x14ac:dyDescent="0.2">
      <c r="A1977" s="68"/>
    </row>
    <row r="1978" spans="1:1" x14ac:dyDescent="0.2">
      <c r="A1978" s="68"/>
    </row>
    <row r="1979" spans="1:1" x14ac:dyDescent="0.2">
      <c r="A1979" s="68"/>
    </row>
    <row r="1980" spans="1:1" x14ac:dyDescent="0.2">
      <c r="A1980" s="68"/>
    </row>
    <row r="1981" spans="1:1" x14ac:dyDescent="0.2">
      <c r="A1981" s="68"/>
    </row>
    <row r="1982" spans="1:1" x14ac:dyDescent="0.2">
      <c r="A1982" s="68"/>
    </row>
    <row r="1983" spans="1:1" x14ac:dyDescent="0.2">
      <c r="A1983" s="68"/>
    </row>
    <row r="1984" spans="1:1" x14ac:dyDescent="0.2">
      <c r="A1984" s="68"/>
    </row>
    <row r="1985" spans="1:1" x14ac:dyDescent="0.2">
      <c r="A1985" s="68"/>
    </row>
    <row r="1986" spans="1:1" x14ac:dyDescent="0.2">
      <c r="A1986" s="68"/>
    </row>
    <row r="1987" spans="1:1" x14ac:dyDescent="0.2">
      <c r="A1987" s="68"/>
    </row>
    <row r="1988" spans="1:1" x14ac:dyDescent="0.2">
      <c r="A1988" s="68"/>
    </row>
    <row r="1989" spans="1:1" x14ac:dyDescent="0.2">
      <c r="A1989" s="68"/>
    </row>
    <row r="1990" spans="1:1" x14ac:dyDescent="0.2">
      <c r="A1990" s="68"/>
    </row>
    <row r="1991" spans="1:1" x14ac:dyDescent="0.2">
      <c r="A1991" s="68"/>
    </row>
    <row r="1992" spans="1:1" x14ac:dyDescent="0.2">
      <c r="A1992" s="68"/>
    </row>
    <row r="1993" spans="1:1" x14ac:dyDescent="0.2">
      <c r="A1993" s="68"/>
    </row>
    <row r="1994" spans="1:1" x14ac:dyDescent="0.2">
      <c r="A1994" s="68"/>
    </row>
    <row r="1995" spans="1:1" x14ac:dyDescent="0.2">
      <c r="A1995" s="68"/>
    </row>
    <row r="1996" spans="1:1" x14ac:dyDescent="0.2">
      <c r="A1996" s="68"/>
    </row>
    <row r="1997" spans="1:1" x14ac:dyDescent="0.2">
      <c r="A1997" s="68"/>
    </row>
    <row r="1998" spans="1:1" x14ac:dyDescent="0.2">
      <c r="A1998" s="68"/>
    </row>
    <row r="1999" spans="1:1" x14ac:dyDescent="0.2">
      <c r="A1999" s="68"/>
    </row>
    <row r="2000" spans="1:1" x14ac:dyDescent="0.2">
      <c r="A2000" s="68"/>
    </row>
    <row r="2001" spans="1:1" x14ac:dyDescent="0.2">
      <c r="A2001" s="68"/>
    </row>
    <row r="2002" spans="1:1" x14ac:dyDescent="0.2">
      <c r="A2002" s="68"/>
    </row>
    <row r="2003" spans="1:1" x14ac:dyDescent="0.2">
      <c r="A2003" s="68"/>
    </row>
    <row r="2004" spans="1:1" x14ac:dyDescent="0.2">
      <c r="A2004" s="68"/>
    </row>
    <row r="2005" spans="1:1" x14ac:dyDescent="0.2">
      <c r="A2005" s="68"/>
    </row>
    <row r="2006" spans="1:1" x14ac:dyDescent="0.2">
      <c r="A2006" s="68"/>
    </row>
    <row r="2007" spans="1:1" x14ac:dyDescent="0.2">
      <c r="A2007" s="68"/>
    </row>
    <row r="2008" spans="1:1" x14ac:dyDescent="0.2">
      <c r="A2008" s="68"/>
    </row>
    <row r="2009" spans="1:1" x14ac:dyDescent="0.2">
      <c r="A2009" s="68"/>
    </row>
    <row r="2010" spans="1:1" x14ac:dyDescent="0.2">
      <c r="A2010" s="68"/>
    </row>
    <row r="2011" spans="1:1" x14ac:dyDescent="0.2">
      <c r="A2011" s="68"/>
    </row>
    <row r="2012" spans="1:1" x14ac:dyDescent="0.2">
      <c r="A2012" s="68"/>
    </row>
    <row r="2013" spans="1:1" x14ac:dyDescent="0.2">
      <c r="A2013" s="68"/>
    </row>
    <row r="2014" spans="1:1" x14ac:dyDescent="0.2">
      <c r="A2014" s="68"/>
    </row>
    <row r="2015" spans="1:1" x14ac:dyDescent="0.2">
      <c r="A2015" s="68"/>
    </row>
    <row r="2016" spans="1:1" x14ac:dyDescent="0.2">
      <c r="A2016" s="68"/>
    </row>
    <row r="2017" spans="1:1" x14ac:dyDescent="0.2">
      <c r="A2017" s="68"/>
    </row>
    <row r="2018" spans="1:1" x14ac:dyDescent="0.2">
      <c r="A2018" s="68"/>
    </row>
    <row r="2019" spans="1:1" x14ac:dyDescent="0.2">
      <c r="A2019" s="68"/>
    </row>
    <row r="2020" spans="1:1" x14ac:dyDescent="0.2">
      <c r="A2020" s="68"/>
    </row>
    <row r="2021" spans="1:1" x14ac:dyDescent="0.2">
      <c r="A2021" s="68"/>
    </row>
    <row r="2022" spans="1:1" x14ac:dyDescent="0.2">
      <c r="A2022" s="68"/>
    </row>
    <row r="2023" spans="1:1" x14ac:dyDescent="0.2">
      <c r="A2023" s="68"/>
    </row>
    <row r="2024" spans="1:1" x14ac:dyDescent="0.2">
      <c r="A2024" s="68"/>
    </row>
    <row r="2025" spans="1:1" x14ac:dyDescent="0.2">
      <c r="A2025" s="68"/>
    </row>
    <row r="2026" spans="1:1" x14ac:dyDescent="0.2">
      <c r="A2026" s="68"/>
    </row>
    <row r="2027" spans="1:1" x14ac:dyDescent="0.2">
      <c r="A2027" s="68"/>
    </row>
    <row r="2028" spans="1:1" x14ac:dyDescent="0.2">
      <c r="A2028" s="68"/>
    </row>
    <row r="2029" spans="1:1" x14ac:dyDescent="0.2">
      <c r="A2029" s="68"/>
    </row>
    <row r="2030" spans="1:1" x14ac:dyDescent="0.2">
      <c r="A2030" s="68"/>
    </row>
    <row r="2031" spans="1:1" x14ac:dyDescent="0.2">
      <c r="A2031" s="68"/>
    </row>
    <row r="2032" spans="1:1" x14ac:dyDescent="0.2">
      <c r="A2032" s="68"/>
    </row>
    <row r="2033" spans="1:1" x14ac:dyDescent="0.2">
      <c r="A2033" s="68"/>
    </row>
    <row r="2034" spans="1:1" x14ac:dyDescent="0.2">
      <c r="A2034" s="68"/>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rgb="FF009900"/>
  </sheetPr>
  <dimension ref="A1:L19"/>
  <sheetViews>
    <sheetView showGridLines="0" workbookViewId="0">
      <selection activeCell="A2" sqref="A2:G1888"/>
    </sheetView>
  </sheetViews>
  <sheetFormatPr baseColWidth="10" defaultColWidth="11.42578125" defaultRowHeight="12.75" x14ac:dyDescent="0.2"/>
  <cols>
    <col min="1" max="1" width="10.7109375" bestFit="1" customWidth="1"/>
    <col min="2" max="2" width="17.7109375" customWidth="1"/>
    <col min="3" max="3" width="12.7109375" bestFit="1" customWidth="1"/>
    <col min="4" max="4" width="17.140625" customWidth="1"/>
    <col min="5" max="5" width="17.28515625" customWidth="1"/>
    <col min="6" max="7" width="11.42578125" style="68"/>
    <col min="9" max="9" width="10.7109375" customWidth="1"/>
    <col min="10" max="10" width="30.28515625" customWidth="1"/>
    <col min="11" max="11" width="12.7109375" customWidth="1"/>
    <col min="12" max="12" width="39.85546875" customWidth="1"/>
  </cols>
  <sheetData>
    <row r="1" spans="1:12" x14ac:dyDescent="0.2">
      <c r="A1" t="s">
        <v>3</v>
      </c>
      <c r="B1" t="s">
        <v>54</v>
      </c>
      <c r="C1" s="1" t="s">
        <v>575</v>
      </c>
      <c r="D1" s="1" t="s">
        <v>585</v>
      </c>
      <c r="E1" s="1" t="s">
        <v>586</v>
      </c>
      <c r="F1" s="1" t="s">
        <v>587</v>
      </c>
      <c r="G1" s="1" t="s">
        <v>55</v>
      </c>
      <c r="I1" t="s">
        <v>3</v>
      </c>
      <c r="J1" t="s">
        <v>57</v>
      </c>
      <c r="K1" t="s">
        <v>38</v>
      </c>
      <c r="L1" s="1" t="s">
        <v>55</v>
      </c>
    </row>
    <row r="2" spans="1:12" x14ac:dyDescent="0.2">
      <c r="A2" s="68"/>
      <c r="B2" s="68"/>
      <c r="C2" s="68"/>
      <c r="D2" s="88"/>
      <c r="E2" s="88"/>
      <c r="G2" s="13"/>
      <c r="I2" s="68"/>
      <c r="J2" s="68"/>
      <c r="K2" s="14"/>
      <c r="L2" s="13"/>
    </row>
    <row r="19" spans="8:9" x14ac:dyDescent="0.2">
      <c r="H19" s="1"/>
      <c r="I19" s="1"/>
    </row>
  </sheetData>
  <pageMargins left="0.7" right="0.7" top="0.75" bottom="0.75" header="0.3" footer="0.3"/>
  <tableParts count="2">
    <tablePart r:id="rId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rgb="FF009900"/>
  </sheetPr>
  <dimension ref="A1:C2"/>
  <sheetViews>
    <sheetView showGridLines="0" workbookViewId="0">
      <selection activeCell="A2" sqref="A2:C2"/>
    </sheetView>
  </sheetViews>
  <sheetFormatPr baseColWidth="10" defaultColWidth="11.42578125" defaultRowHeight="12.75" x14ac:dyDescent="0.2"/>
  <cols>
    <col min="1" max="1" width="17.28515625" bestFit="1" customWidth="1"/>
    <col min="2" max="2" width="17.7109375" customWidth="1"/>
    <col min="3" max="3" width="22" customWidth="1"/>
    <col min="4" max="4" width="9.140625" bestFit="1" customWidth="1"/>
    <col min="5" max="6" width="16.140625" bestFit="1" customWidth="1"/>
    <col min="7" max="7" width="11.28515625" customWidth="1"/>
    <col min="8" max="8" width="24.5703125" customWidth="1"/>
    <col min="9" max="9" width="15.140625" customWidth="1"/>
    <col min="10" max="10" width="22.140625" customWidth="1"/>
    <col min="11" max="11" width="11.85546875" customWidth="1"/>
    <col min="12" max="12" width="18.85546875" customWidth="1"/>
    <col min="13" max="13" width="9.140625" customWidth="1"/>
    <col min="14" max="14" width="16.140625" customWidth="1"/>
    <col min="15" max="15" width="11.28515625" customWidth="1"/>
    <col min="16" max="16" width="9.140625" customWidth="1"/>
    <col min="17" max="17" width="16.140625" customWidth="1"/>
    <col min="18" max="18" width="11.28515625" customWidth="1"/>
    <col min="19" max="19" width="9.140625" customWidth="1"/>
    <col min="20" max="20" width="16.140625" customWidth="1"/>
  </cols>
  <sheetData>
    <row r="1" spans="1:3" x14ac:dyDescent="0.2">
      <c r="A1" s="1" t="s">
        <v>63</v>
      </c>
      <c r="B1" s="1" t="s">
        <v>3</v>
      </c>
      <c r="C1" s="1" t="s">
        <v>38</v>
      </c>
    </row>
    <row r="2" spans="1:3" x14ac:dyDescent="0.2">
      <c r="A2" s="68"/>
      <c r="B2" s="1"/>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rgb="FF009900"/>
  </sheetPr>
  <dimension ref="A1:C2"/>
  <sheetViews>
    <sheetView showGridLines="0" workbookViewId="0">
      <selection activeCell="A2" sqref="A2:C104"/>
    </sheetView>
  </sheetViews>
  <sheetFormatPr baseColWidth="10" defaultColWidth="11.42578125" defaultRowHeight="12.75" x14ac:dyDescent="0.2"/>
  <cols>
    <col min="1" max="1" width="20" customWidth="1"/>
    <col min="2" max="2" width="24.140625" customWidth="1"/>
  </cols>
  <sheetData>
    <row r="1" spans="1:3" x14ac:dyDescent="0.2">
      <c r="A1" s="1" t="s">
        <v>63</v>
      </c>
      <c r="B1" s="1" t="s">
        <v>3</v>
      </c>
      <c r="C1" t="s">
        <v>38</v>
      </c>
    </row>
    <row r="2" spans="1:3" x14ac:dyDescent="0.2">
      <c r="A2" s="13"/>
      <c r="B2" s="13"/>
      <c r="C2" s="13"/>
    </row>
  </sheetData>
  <pageMargins left="0.7" right="0.7" top="0.75" bottom="0.75" header="0.3" footer="0.3"/>
  <pageSetup orientation="portrait" r:id="rId1"/>
  <tableParts count="1">
    <tablePart r:id="rId2"/>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tabColor rgb="FF009900"/>
  </sheetPr>
  <dimension ref="A1:H2"/>
  <sheetViews>
    <sheetView showGridLines="0" workbookViewId="0">
      <selection activeCell="F9" sqref="F9"/>
    </sheetView>
  </sheetViews>
  <sheetFormatPr baseColWidth="10" defaultColWidth="11.42578125" defaultRowHeight="12.75" x14ac:dyDescent="0.2"/>
  <cols>
    <col min="1" max="1" width="10.7109375" bestFit="1" customWidth="1"/>
    <col min="2" max="2" width="13.42578125" bestFit="1" customWidth="1"/>
    <col min="3" max="3" width="15.140625" customWidth="1"/>
    <col min="4" max="4" width="11.85546875" bestFit="1" customWidth="1"/>
    <col min="5" max="5" width="12" bestFit="1" customWidth="1"/>
    <col min="6" max="6" width="12.7109375" customWidth="1"/>
    <col min="7" max="7" width="11.85546875" customWidth="1"/>
    <col min="8" max="8" width="13" customWidth="1"/>
    <col min="9" max="9" width="10.7109375" customWidth="1"/>
    <col min="10" max="10" width="14.28515625" customWidth="1"/>
    <col min="11" max="11" width="11.5703125" bestFit="1" customWidth="1"/>
    <col min="12" max="12" width="12" bestFit="1" customWidth="1"/>
  </cols>
  <sheetData>
    <row r="1" spans="1:8" x14ac:dyDescent="0.2">
      <c r="A1" t="s">
        <v>3</v>
      </c>
      <c r="B1" t="s">
        <v>166</v>
      </c>
      <c r="D1" t="s">
        <v>3</v>
      </c>
      <c r="E1" t="s">
        <v>132</v>
      </c>
      <c r="G1" t="s">
        <v>3</v>
      </c>
      <c r="H1" t="s">
        <v>132</v>
      </c>
    </row>
    <row r="2" spans="1:8" x14ac:dyDescent="0.2">
      <c r="A2" s="68"/>
      <c r="B2" s="68"/>
      <c r="D2" s="68"/>
      <c r="E2" s="68"/>
      <c r="G2" s="68"/>
      <c r="H2" s="68"/>
    </row>
  </sheetData>
  <pageMargins left="0.7" right="0.7" top="0.75" bottom="0.75" header="0.3" footer="0.3"/>
  <pageSetup orientation="portrait" r:id="rId1"/>
  <tableParts count="3">
    <tablePart r:id="rId2"/>
    <tablePart r:id="rId3"/>
    <tablePart r:id="rId4"/>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tabColor rgb="FF009900"/>
  </sheetPr>
  <dimension ref="A1:I2"/>
  <sheetViews>
    <sheetView showGridLines="0" zoomScale="85" zoomScaleNormal="85" workbookViewId="0">
      <selection activeCell="A2" sqref="A2:C22"/>
    </sheetView>
  </sheetViews>
  <sheetFormatPr baseColWidth="10" defaultColWidth="11.42578125" defaultRowHeight="12.75" x14ac:dyDescent="0.2"/>
  <cols>
    <col min="1" max="1" width="12.140625" bestFit="1" customWidth="1"/>
    <col min="2" max="2" width="35.42578125" bestFit="1" customWidth="1"/>
    <col min="3" max="3" width="16.140625" bestFit="1" customWidth="1"/>
    <col min="4" max="4" width="8.42578125" bestFit="1" customWidth="1"/>
    <col min="5" max="5" width="24.28515625" customWidth="1"/>
    <col min="6" max="6" width="48.140625" customWidth="1"/>
    <col min="7" max="7" width="10.140625" bestFit="1" customWidth="1"/>
    <col min="8" max="8" width="28.42578125" customWidth="1"/>
    <col min="9" max="9" width="52.7109375" customWidth="1"/>
  </cols>
  <sheetData>
    <row r="1" spans="1:9" x14ac:dyDescent="0.2">
      <c r="A1" t="s">
        <v>31</v>
      </c>
      <c r="B1" t="s">
        <v>48</v>
      </c>
      <c r="C1" t="s">
        <v>109</v>
      </c>
      <c r="E1" t="s">
        <v>128</v>
      </c>
      <c r="F1" t="s">
        <v>129</v>
      </c>
      <c r="H1" t="s">
        <v>128</v>
      </c>
      <c r="I1" t="s">
        <v>129</v>
      </c>
    </row>
    <row r="2" spans="1:9" x14ac:dyDescent="0.2">
      <c r="A2" s="68"/>
      <c r="B2" s="68"/>
      <c r="C2" s="68"/>
      <c r="E2" s="68"/>
      <c r="F2" s="68"/>
      <c r="H2" s="68"/>
      <c r="I2" s="68"/>
    </row>
  </sheetData>
  <pageMargins left="0.7" right="0.7" top="0.75" bottom="0.75" header="0.3" footer="0.3"/>
  <pageSetup orientation="portrait" r:id="rId1"/>
  <tableParts count="3">
    <tablePart r:id="rId2"/>
    <tablePart r:id="rId3"/>
    <tablePart r:id="rId4"/>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tabColor rgb="FF009900"/>
  </sheetPr>
  <dimension ref="A1:F3"/>
  <sheetViews>
    <sheetView showGridLines="0" workbookViewId="0">
      <selection activeCell="A2" sqref="A2:B4661"/>
    </sheetView>
  </sheetViews>
  <sheetFormatPr baseColWidth="10" defaultColWidth="11.42578125" defaultRowHeight="12.75" x14ac:dyDescent="0.2"/>
  <cols>
    <col min="1" max="1" width="25.42578125" bestFit="1" customWidth="1"/>
    <col min="6" max="6" width="20.42578125" bestFit="1" customWidth="1"/>
    <col min="7" max="7" width="10.140625" customWidth="1"/>
  </cols>
  <sheetData>
    <row r="1" spans="1:6" ht="13.5" thickBot="1" x14ac:dyDescent="0.25">
      <c r="A1" s="25" t="s">
        <v>540</v>
      </c>
      <c r="B1" s="26" t="s">
        <v>98</v>
      </c>
      <c r="E1" t="s">
        <v>3</v>
      </c>
      <c r="F1" t="s">
        <v>98</v>
      </c>
    </row>
    <row r="2" spans="1:6" ht="13.5" thickTop="1" x14ac:dyDescent="0.2">
      <c r="A2" s="51"/>
      <c r="B2" s="88"/>
      <c r="E2" s="13">
        <v>1</v>
      </c>
      <c r="F2" s="12"/>
    </row>
    <row r="3" spans="1:6" x14ac:dyDescent="0.2">
      <c r="E3" s="19"/>
    </row>
  </sheetData>
  <pageMargins left="0.7" right="0.7" top="0.75" bottom="0.75" header="0.3" footer="0.3"/>
  <pageSetup orientation="portrait" r:id="rId1"/>
  <tableParts count="2">
    <tablePart r:id="rId2"/>
    <tablePart r:id="rId3"/>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tabColor rgb="FF009900"/>
  </sheetPr>
  <dimension ref="A1:D2"/>
  <sheetViews>
    <sheetView showGridLines="0" workbookViewId="0">
      <selection activeCell="A2" sqref="A2:D2"/>
    </sheetView>
  </sheetViews>
  <sheetFormatPr baseColWidth="10" defaultColWidth="11.42578125" defaultRowHeight="12.75" x14ac:dyDescent="0.2"/>
  <cols>
    <col min="1" max="1" width="29.42578125" bestFit="1" customWidth="1"/>
    <col min="2" max="2" width="20.42578125" bestFit="1" customWidth="1"/>
    <col min="5" max="5" width="15.140625" bestFit="1" customWidth="1"/>
    <col min="6" max="6" width="11.28515625" customWidth="1"/>
    <col min="7" max="7" width="15" customWidth="1"/>
    <col min="8" max="8" width="14.42578125" customWidth="1"/>
    <col min="9" max="10" width="10.140625" customWidth="1"/>
    <col min="11" max="11" width="10.5703125" customWidth="1"/>
    <col min="12" max="12" width="14" customWidth="1"/>
    <col min="13" max="13" width="16.85546875" customWidth="1"/>
    <col min="14" max="14" width="13.28515625" customWidth="1"/>
    <col min="15" max="15" width="12.140625" customWidth="1"/>
    <col min="16" max="16" width="13" customWidth="1"/>
    <col min="17" max="17" width="13.85546875" customWidth="1"/>
    <col min="18" max="18" width="13.5703125" customWidth="1"/>
    <col min="19" max="19" width="12.140625" customWidth="1"/>
    <col min="20" max="20" width="12.7109375" customWidth="1"/>
    <col min="21" max="21" width="40.7109375" customWidth="1"/>
    <col min="22" max="22" width="36.85546875" customWidth="1"/>
    <col min="23" max="23" width="15.7109375" customWidth="1"/>
  </cols>
  <sheetData>
    <row r="1" spans="1:4" x14ac:dyDescent="0.2">
      <c r="A1" s="1" t="s">
        <v>540</v>
      </c>
      <c r="B1" s="1" t="s">
        <v>78</v>
      </c>
      <c r="C1" s="14" t="s">
        <v>409</v>
      </c>
      <c r="D1" s="14" t="s">
        <v>410</v>
      </c>
    </row>
    <row r="2" spans="1:4" x14ac:dyDescent="0.2">
      <c r="A2" s="13"/>
      <c r="C2" s="88"/>
      <c r="D2" s="88"/>
    </row>
  </sheetData>
  <pageMargins left="0.7" right="0.7" top="0.75" bottom="0.75" header="0.3" footer="0.3"/>
  <pageSetup paperSize="9" orientation="portrait"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tabColor rgb="FF009900"/>
  </sheetPr>
  <dimension ref="A1:A22"/>
  <sheetViews>
    <sheetView showGridLines="0" workbookViewId="0">
      <selection activeCell="A10" sqref="A10"/>
    </sheetView>
  </sheetViews>
  <sheetFormatPr baseColWidth="10" defaultColWidth="11.42578125" defaultRowHeight="12.75" x14ac:dyDescent="0.2"/>
  <cols>
    <col min="1" max="1" width="57" bestFit="1" customWidth="1"/>
  </cols>
  <sheetData>
    <row r="1" spans="1:1" x14ac:dyDescent="0.2">
      <c r="A1" t="s">
        <v>231</v>
      </c>
    </row>
    <row r="2" spans="1:1" x14ac:dyDescent="0.2">
      <c r="A2" s="68" t="s">
        <v>411</v>
      </c>
    </row>
    <row r="3" spans="1:1" x14ac:dyDescent="0.2">
      <c r="A3" s="68" t="s">
        <v>265</v>
      </c>
    </row>
    <row r="4" spans="1:1" x14ac:dyDescent="0.2">
      <c r="A4" s="68" t="s">
        <v>362</v>
      </c>
    </row>
    <row r="5" spans="1:1" x14ac:dyDescent="0.2">
      <c r="A5" s="68" t="s">
        <v>363</v>
      </c>
    </row>
    <row r="6" spans="1:1" x14ac:dyDescent="0.2">
      <c r="A6" s="68" t="s">
        <v>406</v>
      </c>
    </row>
    <row r="7" spans="1:1" x14ac:dyDescent="0.2">
      <c r="A7" s="68" t="s">
        <v>407</v>
      </c>
    </row>
    <row r="8" spans="1:1" x14ac:dyDescent="0.2">
      <c r="A8" s="68" t="s">
        <v>388</v>
      </c>
    </row>
    <row r="9" spans="1:1" x14ac:dyDescent="0.2">
      <c r="A9" s="68" t="s">
        <v>364</v>
      </c>
    </row>
    <row r="10" spans="1:1" x14ac:dyDescent="0.2">
      <c r="A10" s="68" t="s">
        <v>412</v>
      </c>
    </row>
    <row r="11" spans="1:1" x14ac:dyDescent="0.2">
      <c r="A11" s="68" t="s">
        <v>413</v>
      </c>
    </row>
    <row r="12" spans="1:1" x14ac:dyDescent="0.2">
      <c r="A12" s="68" t="s">
        <v>269</v>
      </c>
    </row>
    <row r="13" spans="1:1" x14ac:dyDescent="0.2">
      <c r="A13" s="68" t="s">
        <v>414</v>
      </c>
    </row>
    <row r="14" spans="1:1" x14ac:dyDescent="0.2">
      <c r="A14" s="68" t="s">
        <v>232</v>
      </c>
    </row>
    <row r="15" spans="1:1" x14ac:dyDescent="0.2">
      <c r="A15" s="68" t="s">
        <v>270</v>
      </c>
    </row>
    <row r="16" spans="1:1" x14ac:dyDescent="0.2">
      <c r="A16" s="68" t="s">
        <v>415</v>
      </c>
    </row>
    <row r="17" spans="1:1" x14ac:dyDescent="0.2">
      <c r="A17" s="68" t="s">
        <v>365</v>
      </c>
    </row>
    <row r="18" spans="1:1" x14ac:dyDescent="0.2">
      <c r="A18" s="68" t="s">
        <v>366</v>
      </c>
    </row>
    <row r="19" spans="1:1" x14ac:dyDescent="0.2">
      <c r="A19" s="68" t="s">
        <v>367</v>
      </c>
    </row>
    <row r="20" spans="1:1" x14ac:dyDescent="0.2">
      <c r="A20" s="68" t="s">
        <v>268</v>
      </c>
    </row>
    <row r="21" spans="1:1" x14ac:dyDescent="0.2">
      <c r="A21" s="68" t="s">
        <v>271</v>
      </c>
    </row>
    <row r="22" spans="1:1" x14ac:dyDescent="0.2">
      <c r="A22" s="68" t="s">
        <v>920</v>
      </c>
    </row>
  </sheetData>
  <pageMargins left="0.7" right="0.7" top="0.75" bottom="0.75" header="0.3" footer="0.3"/>
  <tableParts count="1">
    <tablePart r:id="rId1"/>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3">
    <tabColor rgb="FF009900"/>
  </sheetPr>
  <dimension ref="A1:B2"/>
  <sheetViews>
    <sheetView showGridLines="0" workbookViewId="0">
      <selection activeCell="A2" sqref="A2:B2535"/>
    </sheetView>
  </sheetViews>
  <sheetFormatPr baseColWidth="10" defaultColWidth="11.42578125" defaultRowHeight="12.75" x14ac:dyDescent="0.2"/>
  <cols>
    <col min="1" max="1" width="17.28515625" bestFit="1" customWidth="1"/>
    <col min="3" max="3" width="12.7109375" customWidth="1"/>
  </cols>
  <sheetData>
    <row r="1" spans="1:2" x14ac:dyDescent="0.2">
      <c r="A1" s="68" t="s">
        <v>544</v>
      </c>
      <c r="B1" s="68" t="s">
        <v>257</v>
      </c>
    </row>
    <row r="2" spans="1:2" x14ac:dyDescent="0.2">
      <c r="A2" s="68"/>
      <c r="B2" s="68"/>
    </row>
  </sheetData>
  <pageMargins left="0.7" right="0.7" top="0.75" bottom="0.75" header="0.3" footer="0.3"/>
  <pageSetup orientation="portrait" r:id="rId1"/>
  <tableParts count="1">
    <tablePart r:id="rId2"/>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tabColor rgb="FF009900"/>
  </sheetPr>
  <dimension ref="A1:A238"/>
  <sheetViews>
    <sheetView showGridLines="0" workbookViewId="0">
      <selection activeCell="A2" sqref="A2:A238"/>
    </sheetView>
  </sheetViews>
  <sheetFormatPr baseColWidth="10" defaultColWidth="11.42578125" defaultRowHeight="12.75" x14ac:dyDescent="0.2"/>
  <cols>
    <col min="1" max="1" width="13.5703125" customWidth="1"/>
  </cols>
  <sheetData>
    <row r="1" spans="1:1" x14ac:dyDescent="0.2">
      <c r="A1" t="s">
        <v>114</v>
      </c>
    </row>
    <row r="2" spans="1:1" ht="54" thickBot="1" x14ac:dyDescent="0.25">
      <c r="A2" s="239" t="s">
        <v>1397</v>
      </c>
    </row>
    <row r="3" spans="1:1" ht="53.25" x14ac:dyDescent="0.2">
      <c r="A3" s="240" t="s">
        <v>1398</v>
      </c>
    </row>
    <row r="4" spans="1:1" ht="53.25" x14ac:dyDescent="0.2">
      <c r="A4" s="240" t="s">
        <v>1399</v>
      </c>
    </row>
    <row r="5" spans="1:1" ht="53.25" x14ac:dyDescent="0.2">
      <c r="A5" s="240" t="s">
        <v>1400</v>
      </c>
    </row>
    <row r="6" spans="1:1" ht="53.25" x14ac:dyDescent="0.2">
      <c r="A6" s="240" t="s">
        <v>1401</v>
      </c>
    </row>
    <row r="7" spans="1:1" ht="53.25" x14ac:dyDescent="0.2">
      <c r="A7" s="240" t="s">
        <v>1402</v>
      </c>
    </row>
    <row r="8" spans="1:1" ht="53.25" x14ac:dyDescent="0.2">
      <c r="A8" s="240" t="s">
        <v>1403</v>
      </c>
    </row>
    <row r="9" spans="1:1" ht="53.25" x14ac:dyDescent="0.2">
      <c r="A9" s="240" t="s">
        <v>1404</v>
      </c>
    </row>
    <row r="10" spans="1:1" ht="53.25" x14ac:dyDescent="0.2">
      <c r="A10" s="240" t="s">
        <v>1405</v>
      </c>
    </row>
    <row r="11" spans="1:1" ht="53.25" x14ac:dyDescent="0.2">
      <c r="A11" s="240" t="s">
        <v>1406</v>
      </c>
    </row>
    <row r="12" spans="1:1" ht="53.25" x14ac:dyDescent="0.2">
      <c r="A12" s="240" t="s">
        <v>1407</v>
      </c>
    </row>
    <row r="13" spans="1:1" ht="53.25" x14ac:dyDescent="0.2">
      <c r="A13" s="240" t="s">
        <v>1408</v>
      </c>
    </row>
    <row r="14" spans="1:1" ht="53.25" x14ac:dyDescent="0.2">
      <c r="A14" s="240" t="s">
        <v>1409</v>
      </c>
    </row>
    <row r="15" spans="1:1" ht="53.25" x14ac:dyDescent="0.2">
      <c r="A15" s="240" t="s">
        <v>1410</v>
      </c>
    </row>
    <row r="16" spans="1:1" ht="53.25" x14ac:dyDescent="0.2">
      <c r="A16" s="240" t="s">
        <v>1411</v>
      </c>
    </row>
    <row r="17" spans="1:1" ht="53.25" x14ac:dyDescent="0.2">
      <c r="A17" s="240" t="s">
        <v>1412</v>
      </c>
    </row>
    <row r="18" spans="1:1" ht="53.25" x14ac:dyDescent="0.2">
      <c r="A18" s="240" t="s">
        <v>1413</v>
      </c>
    </row>
    <row r="19" spans="1:1" ht="53.25" x14ac:dyDescent="0.2">
      <c r="A19" s="240" t="s">
        <v>1414</v>
      </c>
    </row>
    <row r="20" spans="1:1" ht="53.25" x14ac:dyDescent="0.2">
      <c r="A20" s="240" t="s">
        <v>1415</v>
      </c>
    </row>
    <row r="21" spans="1:1" ht="53.25" x14ac:dyDescent="0.2">
      <c r="A21" s="240" t="s">
        <v>1416</v>
      </c>
    </row>
    <row r="22" spans="1:1" ht="53.25" x14ac:dyDescent="0.2">
      <c r="A22" s="240" t="s">
        <v>1417</v>
      </c>
    </row>
    <row r="23" spans="1:1" ht="53.25" x14ac:dyDescent="0.2">
      <c r="A23" s="240" t="s">
        <v>1418</v>
      </c>
    </row>
    <row r="24" spans="1:1" ht="53.25" x14ac:dyDescent="0.2">
      <c r="A24" s="240" t="s">
        <v>1419</v>
      </c>
    </row>
    <row r="25" spans="1:1" ht="53.25" x14ac:dyDescent="0.2">
      <c r="A25" s="240" t="s">
        <v>1420</v>
      </c>
    </row>
    <row r="26" spans="1:1" ht="53.25" x14ac:dyDescent="0.2">
      <c r="A26" s="240" t="s">
        <v>1421</v>
      </c>
    </row>
    <row r="27" spans="1:1" ht="53.25" x14ac:dyDescent="0.2">
      <c r="A27" s="240" t="s">
        <v>1422</v>
      </c>
    </row>
    <row r="28" spans="1:1" ht="53.25" x14ac:dyDescent="0.2">
      <c r="A28" s="240" t="s">
        <v>1423</v>
      </c>
    </row>
    <row r="29" spans="1:1" ht="53.25" x14ac:dyDescent="0.2">
      <c r="A29" s="240" t="s">
        <v>1424</v>
      </c>
    </row>
    <row r="30" spans="1:1" ht="53.25" x14ac:dyDescent="0.2">
      <c r="A30" s="240" t="s">
        <v>1425</v>
      </c>
    </row>
    <row r="31" spans="1:1" ht="53.25" x14ac:dyDescent="0.2">
      <c r="A31" s="240" t="s">
        <v>1426</v>
      </c>
    </row>
    <row r="32" spans="1:1" ht="53.25" x14ac:dyDescent="0.2">
      <c r="A32" s="240" t="s">
        <v>1427</v>
      </c>
    </row>
    <row r="33" spans="1:1" ht="53.25" x14ac:dyDescent="0.2">
      <c r="A33" s="240" t="s">
        <v>1428</v>
      </c>
    </row>
    <row r="34" spans="1:1" ht="53.25" x14ac:dyDescent="0.2">
      <c r="A34" s="240" t="s">
        <v>1429</v>
      </c>
    </row>
    <row r="35" spans="1:1" ht="53.25" x14ac:dyDescent="0.2">
      <c r="A35" s="240" t="s">
        <v>1430</v>
      </c>
    </row>
    <row r="36" spans="1:1" ht="53.25" x14ac:dyDescent="0.2">
      <c r="A36" s="240" t="s">
        <v>1431</v>
      </c>
    </row>
    <row r="37" spans="1:1" ht="53.25" x14ac:dyDescent="0.2">
      <c r="A37" s="240" t="s">
        <v>1432</v>
      </c>
    </row>
    <row r="38" spans="1:1" ht="53.25" x14ac:dyDescent="0.2">
      <c r="A38" s="240" t="s">
        <v>1433</v>
      </c>
    </row>
    <row r="39" spans="1:1" ht="53.25" x14ac:dyDescent="0.2">
      <c r="A39" s="240" t="s">
        <v>1434</v>
      </c>
    </row>
    <row r="40" spans="1:1" ht="53.25" x14ac:dyDescent="0.2">
      <c r="A40" s="240" t="s">
        <v>1435</v>
      </c>
    </row>
    <row r="41" spans="1:1" ht="53.25" x14ac:dyDescent="0.2">
      <c r="A41" s="240" t="s">
        <v>1436</v>
      </c>
    </row>
    <row r="42" spans="1:1" ht="53.25" x14ac:dyDescent="0.2">
      <c r="A42" s="240" t="s">
        <v>1437</v>
      </c>
    </row>
    <row r="43" spans="1:1" ht="53.25" x14ac:dyDescent="0.2">
      <c r="A43" s="240" t="s">
        <v>1438</v>
      </c>
    </row>
    <row r="44" spans="1:1" ht="53.25" x14ac:dyDescent="0.2">
      <c r="A44" s="240" t="s">
        <v>1439</v>
      </c>
    </row>
    <row r="45" spans="1:1" ht="53.25" x14ac:dyDescent="0.2">
      <c r="A45" s="240" t="s">
        <v>1440</v>
      </c>
    </row>
    <row r="46" spans="1:1" ht="53.25" x14ac:dyDescent="0.2">
      <c r="A46" s="240" t="s">
        <v>1441</v>
      </c>
    </row>
    <row r="47" spans="1:1" ht="53.25" x14ac:dyDescent="0.2">
      <c r="A47" s="240" t="s">
        <v>1442</v>
      </c>
    </row>
    <row r="48" spans="1:1" ht="53.25" x14ac:dyDescent="0.2">
      <c r="A48" s="240" t="s">
        <v>1443</v>
      </c>
    </row>
    <row r="49" spans="1:1" ht="53.25" x14ac:dyDescent="0.2">
      <c r="A49" s="240" t="s">
        <v>1444</v>
      </c>
    </row>
    <row r="50" spans="1:1" ht="53.25" x14ac:dyDescent="0.2">
      <c r="A50" s="240" t="s">
        <v>1445</v>
      </c>
    </row>
    <row r="51" spans="1:1" ht="53.25" x14ac:dyDescent="0.2">
      <c r="A51" s="240" t="s">
        <v>1446</v>
      </c>
    </row>
    <row r="52" spans="1:1" ht="53.25" x14ac:dyDescent="0.2">
      <c r="A52" s="240" t="s">
        <v>1447</v>
      </c>
    </row>
    <row r="53" spans="1:1" ht="53.25" x14ac:dyDescent="0.2">
      <c r="A53" s="240" t="s">
        <v>1448</v>
      </c>
    </row>
    <row r="54" spans="1:1" ht="53.25" x14ac:dyDescent="0.2">
      <c r="A54" s="240" t="s">
        <v>1449</v>
      </c>
    </row>
    <row r="55" spans="1:1" ht="53.25" x14ac:dyDescent="0.2">
      <c r="A55" s="240" t="s">
        <v>1450</v>
      </c>
    </row>
    <row r="56" spans="1:1" ht="53.25" x14ac:dyDescent="0.2">
      <c r="A56" s="240" t="s">
        <v>1451</v>
      </c>
    </row>
    <row r="57" spans="1:1" ht="53.25" x14ac:dyDescent="0.2">
      <c r="A57" s="240" t="s">
        <v>1452</v>
      </c>
    </row>
    <row r="58" spans="1:1" ht="53.25" x14ac:dyDescent="0.2">
      <c r="A58" s="240" t="s">
        <v>1453</v>
      </c>
    </row>
    <row r="59" spans="1:1" ht="53.25" x14ac:dyDescent="0.2">
      <c r="A59" s="240" t="s">
        <v>1454</v>
      </c>
    </row>
    <row r="60" spans="1:1" ht="53.25" x14ac:dyDescent="0.2">
      <c r="A60" s="240" t="s">
        <v>1455</v>
      </c>
    </row>
    <row r="61" spans="1:1" ht="53.25" x14ac:dyDescent="0.2">
      <c r="A61" s="240" t="s">
        <v>1456</v>
      </c>
    </row>
    <row r="62" spans="1:1" ht="53.25" x14ac:dyDescent="0.2">
      <c r="A62" s="240" t="s">
        <v>1457</v>
      </c>
    </row>
    <row r="63" spans="1:1" ht="53.25" x14ac:dyDescent="0.2">
      <c r="A63" s="240" t="s">
        <v>962</v>
      </c>
    </row>
    <row r="64" spans="1:1" ht="53.25" x14ac:dyDescent="0.2">
      <c r="A64" s="240" t="s">
        <v>656</v>
      </c>
    </row>
    <row r="65" spans="1:1" ht="53.25" x14ac:dyDescent="0.2">
      <c r="A65" s="240" t="s">
        <v>657</v>
      </c>
    </row>
    <row r="66" spans="1:1" ht="53.25" x14ac:dyDescent="0.2">
      <c r="A66" s="240" t="s">
        <v>658</v>
      </c>
    </row>
    <row r="67" spans="1:1" ht="53.25" x14ac:dyDescent="0.2">
      <c r="A67" s="240" t="s">
        <v>659</v>
      </c>
    </row>
    <row r="68" spans="1:1" ht="53.25" x14ac:dyDescent="0.2">
      <c r="A68" s="240" t="s">
        <v>660</v>
      </c>
    </row>
    <row r="69" spans="1:1" ht="53.25" x14ac:dyDescent="0.2">
      <c r="A69" s="240" t="s">
        <v>1135</v>
      </c>
    </row>
    <row r="70" spans="1:1" ht="53.25" x14ac:dyDescent="0.2">
      <c r="A70" s="240" t="s">
        <v>1151</v>
      </c>
    </row>
    <row r="71" spans="1:1" ht="53.25" x14ac:dyDescent="0.2">
      <c r="A71" s="240" t="s">
        <v>661</v>
      </c>
    </row>
    <row r="72" spans="1:1" ht="53.25" x14ac:dyDescent="0.2">
      <c r="A72" s="240" t="s">
        <v>662</v>
      </c>
    </row>
    <row r="73" spans="1:1" ht="53.25" x14ac:dyDescent="0.2">
      <c r="A73" s="240" t="s">
        <v>663</v>
      </c>
    </row>
    <row r="74" spans="1:1" ht="53.25" x14ac:dyDescent="0.2">
      <c r="A74" s="240" t="s">
        <v>664</v>
      </c>
    </row>
    <row r="75" spans="1:1" ht="53.25" x14ac:dyDescent="0.2">
      <c r="A75" s="240" t="s">
        <v>665</v>
      </c>
    </row>
    <row r="76" spans="1:1" ht="53.25" x14ac:dyDescent="0.2">
      <c r="A76" s="240" t="s">
        <v>1152</v>
      </c>
    </row>
    <row r="77" spans="1:1" ht="53.25" x14ac:dyDescent="0.2">
      <c r="A77" s="240" t="s">
        <v>1153</v>
      </c>
    </row>
    <row r="78" spans="1:1" ht="53.25" x14ac:dyDescent="0.2">
      <c r="A78" s="240" t="s">
        <v>666</v>
      </c>
    </row>
    <row r="79" spans="1:1" ht="53.25" x14ac:dyDescent="0.2">
      <c r="A79" s="240" t="s">
        <v>667</v>
      </c>
    </row>
    <row r="80" spans="1:1" ht="53.25" x14ac:dyDescent="0.2">
      <c r="A80" s="240" t="s">
        <v>668</v>
      </c>
    </row>
    <row r="81" spans="1:1" ht="53.25" x14ac:dyDescent="0.2">
      <c r="A81" s="240" t="s">
        <v>669</v>
      </c>
    </row>
    <row r="82" spans="1:1" ht="53.25" x14ac:dyDescent="0.2">
      <c r="A82" s="240" t="s">
        <v>670</v>
      </c>
    </row>
    <row r="83" spans="1:1" ht="53.25" x14ac:dyDescent="0.2">
      <c r="A83" s="240" t="s">
        <v>1154</v>
      </c>
    </row>
    <row r="84" spans="1:1" ht="53.25" x14ac:dyDescent="0.2">
      <c r="A84" s="240" t="s">
        <v>1155</v>
      </c>
    </row>
    <row r="85" spans="1:1" ht="53.25" x14ac:dyDescent="0.2">
      <c r="A85" s="240" t="s">
        <v>671</v>
      </c>
    </row>
    <row r="86" spans="1:1" ht="53.25" x14ac:dyDescent="0.2">
      <c r="A86" s="240" t="s">
        <v>672</v>
      </c>
    </row>
    <row r="87" spans="1:1" ht="53.25" x14ac:dyDescent="0.2">
      <c r="A87" s="240" t="s">
        <v>673</v>
      </c>
    </row>
    <row r="88" spans="1:1" ht="53.25" x14ac:dyDescent="0.2">
      <c r="A88" s="240" t="s">
        <v>674</v>
      </c>
    </row>
    <row r="89" spans="1:1" ht="53.25" x14ac:dyDescent="0.2">
      <c r="A89" s="240" t="s">
        <v>675</v>
      </c>
    </row>
    <row r="90" spans="1:1" ht="53.25" x14ac:dyDescent="0.2">
      <c r="A90" s="240" t="s">
        <v>1320</v>
      </c>
    </row>
    <row r="91" spans="1:1" ht="53.25" x14ac:dyDescent="0.2">
      <c r="A91" s="240" t="s">
        <v>1321</v>
      </c>
    </row>
    <row r="92" spans="1:1" ht="53.25" x14ac:dyDescent="0.2">
      <c r="A92" s="240" t="s">
        <v>676</v>
      </c>
    </row>
    <row r="93" spans="1:1" ht="53.25" x14ac:dyDescent="0.2">
      <c r="A93" s="240" t="s">
        <v>677</v>
      </c>
    </row>
    <row r="94" spans="1:1" ht="53.25" x14ac:dyDescent="0.2">
      <c r="A94" s="240" t="s">
        <v>678</v>
      </c>
    </row>
    <row r="95" spans="1:1" ht="53.25" x14ac:dyDescent="0.2">
      <c r="A95" s="240" t="s">
        <v>679</v>
      </c>
    </row>
    <row r="96" spans="1:1" ht="53.25" x14ac:dyDescent="0.2">
      <c r="A96" s="240" t="s">
        <v>680</v>
      </c>
    </row>
    <row r="97" spans="1:1" ht="53.25" x14ac:dyDescent="0.2">
      <c r="A97" s="240" t="s">
        <v>1159</v>
      </c>
    </row>
    <row r="98" spans="1:1" ht="53.25" x14ac:dyDescent="0.2">
      <c r="A98" s="240" t="s">
        <v>681</v>
      </c>
    </row>
    <row r="99" spans="1:1" ht="53.25" x14ac:dyDescent="0.2">
      <c r="A99" s="240" t="s">
        <v>682</v>
      </c>
    </row>
    <row r="100" spans="1:1" ht="53.25" x14ac:dyDescent="0.2">
      <c r="A100" s="240" t="s">
        <v>683</v>
      </c>
    </row>
    <row r="101" spans="1:1" ht="53.25" x14ac:dyDescent="0.2">
      <c r="A101" s="240" t="s">
        <v>684</v>
      </c>
    </row>
    <row r="102" spans="1:1" ht="53.25" x14ac:dyDescent="0.2">
      <c r="A102" s="240" t="s">
        <v>686</v>
      </c>
    </row>
    <row r="103" spans="1:1" ht="53.25" x14ac:dyDescent="0.2">
      <c r="A103" s="240" t="s">
        <v>1322</v>
      </c>
    </row>
    <row r="104" spans="1:1" ht="53.25" x14ac:dyDescent="0.2">
      <c r="A104" s="240" t="s">
        <v>1323</v>
      </c>
    </row>
    <row r="105" spans="1:1" ht="53.25" x14ac:dyDescent="0.2">
      <c r="A105" s="240" t="s">
        <v>687</v>
      </c>
    </row>
    <row r="106" spans="1:1" ht="53.25" x14ac:dyDescent="0.2">
      <c r="A106" s="240" t="s">
        <v>688</v>
      </c>
    </row>
    <row r="107" spans="1:1" ht="53.25" x14ac:dyDescent="0.2">
      <c r="A107" s="240" t="s">
        <v>689</v>
      </c>
    </row>
    <row r="108" spans="1:1" ht="53.25" x14ac:dyDescent="0.2">
      <c r="A108" s="240" t="s">
        <v>690</v>
      </c>
    </row>
    <row r="109" spans="1:1" ht="53.25" x14ac:dyDescent="0.2">
      <c r="A109" s="240" t="s">
        <v>691</v>
      </c>
    </row>
    <row r="110" spans="1:1" ht="53.25" x14ac:dyDescent="0.2">
      <c r="A110" s="240" t="s">
        <v>3580</v>
      </c>
    </row>
    <row r="111" spans="1:1" ht="53.25" x14ac:dyDescent="0.2">
      <c r="A111" s="240" t="s">
        <v>692</v>
      </c>
    </row>
    <row r="112" spans="1:1" ht="53.25" x14ac:dyDescent="0.2">
      <c r="A112" s="240" t="s">
        <v>693</v>
      </c>
    </row>
    <row r="113" spans="1:1" ht="53.25" x14ac:dyDescent="0.2">
      <c r="A113" s="240" t="s">
        <v>694</v>
      </c>
    </row>
    <row r="114" spans="1:1" ht="53.25" x14ac:dyDescent="0.2">
      <c r="A114" s="240" t="s">
        <v>695</v>
      </c>
    </row>
    <row r="115" spans="1:1" ht="53.25" x14ac:dyDescent="0.2">
      <c r="A115" s="240" t="s">
        <v>696</v>
      </c>
    </row>
    <row r="116" spans="1:1" ht="53.25" x14ac:dyDescent="0.2">
      <c r="A116" s="240" t="s">
        <v>697</v>
      </c>
    </row>
    <row r="117" spans="1:1" ht="53.25" x14ac:dyDescent="0.2">
      <c r="A117" s="240" t="s">
        <v>698</v>
      </c>
    </row>
    <row r="118" spans="1:1" ht="53.25" x14ac:dyDescent="0.2">
      <c r="A118" s="240" t="s">
        <v>699</v>
      </c>
    </row>
    <row r="119" spans="1:1" ht="53.25" x14ac:dyDescent="0.2">
      <c r="A119" s="240" t="s">
        <v>700</v>
      </c>
    </row>
    <row r="120" spans="1:1" ht="53.25" x14ac:dyDescent="0.2">
      <c r="A120" s="240" t="s">
        <v>701</v>
      </c>
    </row>
    <row r="121" spans="1:1" ht="53.25" x14ac:dyDescent="0.2">
      <c r="A121" s="240" t="s">
        <v>702</v>
      </c>
    </row>
    <row r="122" spans="1:1" ht="53.25" x14ac:dyDescent="0.2">
      <c r="A122" s="240" t="s">
        <v>703</v>
      </c>
    </row>
    <row r="123" spans="1:1" ht="53.25" x14ac:dyDescent="0.2">
      <c r="A123" s="240" t="s">
        <v>704</v>
      </c>
    </row>
    <row r="124" spans="1:1" ht="53.25" x14ac:dyDescent="0.2">
      <c r="A124" s="240" t="s">
        <v>705</v>
      </c>
    </row>
    <row r="125" spans="1:1" ht="53.25" x14ac:dyDescent="0.2">
      <c r="A125" s="240" t="s">
        <v>706</v>
      </c>
    </row>
    <row r="126" spans="1:1" ht="53.25" x14ac:dyDescent="0.2">
      <c r="A126" s="240" t="s">
        <v>707</v>
      </c>
    </row>
    <row r="127" spans="1:1" ht="53.25" x14ac:dyDescent="0.2">
      <c r="A127" s="240" t="s">
        <v>708</v>
      </c>
    </row>
    <row r="128" spans="1:1" ht="53.25" x14ac:dyDescent="0.2">
      <c r="A128" s="240" t="s">
        <v>709</v>
      </c>
    </row>
    <row r="129" spans="1:1" ht="53.25" x14ac:dyDescent="0.2">
      <c r="A129" s="240" t="s">
        <v>710</v>
      </c>
    </row>
    <row r="130" spans="1:1" ht="53.25" x14ac:dyDescent="0.2">
      <c r="A130" s="240" t="s">
        <v>711</v>
      </c>
    </row>
    <row r="131" spans="1:1" ht="53.25" x14ac:dyDescent="0.2">
      <c r="A131" s="240" t="s">
        <v>712</v>
      </c>
    </row>
    <row r="132" spans="1:1" ht="53.25" x14ac:dyDescent="0.2">
      <c r="A132" s="240" t="s">
        <v>713</v>
      </c>
    </row>
    <row r="133" spans="1:1" ht="53.25" x14ac:dyDescent="0.2">
      <c r="A133" s="240" t="s">
        <v>714</v>
      </c>
    </row>
    <row r="134" spans="1:1" ht="53.25" x14ac:dyDescent="0.2">
      <c r="A134" s="240" t="s">
        <v>715</v>
      </c>
    </row>
    <row r="135" spans="1:1" ht="53.25" x14ac:dyDescent="0.2">
      <c r="A135" s="240" t="s">
        <v>725</v>
      </c>
    </row>
    <row r="136" spans="1:1" ht="53.25" x14ac:dyDescent="0.2">
      <c r="A136" s="240" t="s">
        <v>726</v>
      </c>
    </row>
    <row r="137" spans="1:1" ht="53.25" x14ac:dyDescent="0.2">
      <c r="A137" s="240" t="s">
        <v>727</v>
      </c>
    </row>
    <row r="138" spans="1:1" ht="53.25" x14ac:dyDescent="0.2">
      <c r="A138" s="240" t="s">
        <v>728</v>
      </c>
    </row>
    <row r="139" spans="1:1" ht="53.25" x14ac:dyDescent="0.2">
      <c r="A139" s="240" t="s">
        <v>729</v>
      </c>
    </row>
    <row r="140" spans="1:1" ht="53.25" x14ac:dyDescent="0.2">
      <c r="A140" s="240" t="s">
        <v>730</v>
      </c>
    </row>
    <row r="141" spans="1:1" ht="53.25" x14ac:dyDescent="0.2">
      <c r="A141" s="240" t="s">
        <v>731</v>
      </c>
    </row>
    <row r="142" spans="1:1" ht="53.25" x14ac:dyDescent="0.2">
      <c r="A142" s="240" t="s">
        <v>732</v>
      </c>
    </row>
    <row r="143" spans="1:1" ht="53.25" x14ac:dyDescent="0.2">
      <c r="A143" s="240" t="s">
        <v>733</v>
      </c>
    </row>
    <row r="144" spans="1:1" ht="53.25" x14ac:dyDescent="0.2">
      <c r="A144" s="240" t="s">
        <v>1136</v>
      </c>
    </row>
    <row r="145" spans="1:1" ht="53.25" x14ac:dyDescent="0.2">
      <c r="A145" s="240" t="s">
        <v>1137</v>
      </c>
    </row>
    <row r="146" spans="1:1" ht="53.25" x14ac:dyDescent="0.2">
      <c r="A146" s="240" t="s">
        <v>1138</v>
      </c>
    </row>
    <row r="147" spans="1:1" ht="53.25" x14ac:dyDescent="0.2">
      <c r="A147" s="240" t="s">
        <v>1458</v>
      </c>
    </row>
    <row r="148" spans="1:1" ht="53.25" x14ac:dyDescent="0.2">
      <c r="A148" s="240" t="s">
        <v>1459</v>
      </c>
    </row>
    <row r="149" spans="1:1" ht="53.25" x14ac:dyDescent="0.2">
      <c r="A149" s="240" t="s">
        <v>1460</v>
      </c>
    </row>
    <row r="150" spans="1:1" ht="53.25" x14ac:dyDescent="0.2">
      <c r="A150" s="240" t="s">
        <v>1461</v>
      </c>
    </row>
    <row r="151" spans="1:1" ht="53.25" x14ac:dyDescent="0.2">
      <c r="A151" s="240" t="s">
        <v>1462</v>
      </c>
    </row>
    <row r="152" spans="1:1" ht="53.25" x14ac:dyDescent="0.2">
      <c r="A152" s="240" t="s">
        <v>1463</v>
      </c>
    </row>
    <row r="153" spans="1:1" ht="53.25" x14ac:dyDescent="0.2">
      <c r="A153" s="240" t="s">
        <v>1464</v>
      </c>
    </row>
    <row r="154" spans="1:1" ht="53.25" x14ac:dyDescent="0.2">
      <c r="A154" s="240" t="s">
        <v>1465</v>
      </c>
    </row>
    <row r="155" spans="1:1" ht="53.25" x14ac:dyDescent="0.2">
      <c r="A155" s="240" t="s">
        <v>1466</v>
      </c>
    </row>
    <row r="156" spans="1:1" ht="53.25" x14ac:dyDescent="0.2">
      <c r="A156" s="240" t="s">
        <v>1467</v>
      </c>
    </row>
    <row r="157" spans="1:1" ht="53.25" x14ac:dyDescent="0.2">
      <c r="A157" s="240" t="s">
        <v>1468</v>
      </c>
    </row>
    <row r="158" spans="1:1" ht="53.25" x14ac:dyDescent="0.2">
      <c r="A158" s="240" t="s">
        <v>1469</v>
      </c>
    </row>
    <row r="159" spans="1:1" ht="53.25" x14ac:dyDescent="0.2">
      <c r="A159" s="240" t="s">
        <v>1470</v>
      </c>
    </row>
    <row r="160" spans="1:1" ht="53.25" x14ac:dyDescent="0.2">
      <c r="A160" s="240" t="s">
        <v>1471</v>
      </c>
    </row>
    <row r="161" spans="1:1" ht="53.25" x14ac:dyDescent="0.2">
      <c r="A161" s="240" t="s">
        <v>1472</v>
      </c>
    </row>
    <row r="162" spans="1:1" ht="53.25" x14ac:dyDescent="0.2">
      <c r="A162" s="240" t="s">
        <v>1473</v>
      </c>
    </row>
    <row r="163" spans="1:1" ht="53.25" x14ac:dyDescent="0.2">
      <c r="A163" s="240" t="s">
        <v>1474</v>
      </c>
    </row>
    <row r="164" spans="1:1" ht="53.25" x14ac:dyDescent="0.2">
      <c r="A164" s="240" t="s">
        <v>1475</v>
      </c>
    </row>
    <row r="165" spans="1:1" ht="53.25" x14ac:dyDescent="0.2">
      <c r="A165" s="240" t="s">
        <v>1476</v>
      </c>
    </row>
    <row r="166" spans="1:1" ht="53.25" x14ac:dyDescent="0.2">
      <c r="A166" s="240" t="s">
        <v>1477</v>
      </c>
    </row>
    <row r="167" spans="1:1" ht="53.25" x14ac:dyDescent="0.2">
      <c r="A167" s="240" t="s">
        <v>1478</v>
      </c>
    </row>
    <row r="168" spans="1:1" ht="53.25" x14ac:dyDescent="0.2">
      <c r="A168" s="240" t="s">
        <v>1479</v>
      </c>
    </row>
    <row r="169" spans="1:1" ht="53.25" x14ac:dyDescent="0.2">
      <c r="A169" s="240" t="s">
        <v>1480</v>
      </c>
    </row>
    <row r="170" spans="1:1" ht="53.25" x14ac:dyDescent="0.2">
      <c r="A170" s="240" t="s">
        <v>1481</v>
      </c>
    </row>
    <row r="171" spans="1:1" ht="53.25" x14ac:dyDescent="0.2">
      <c r="A171" s="240" t="s">
        <v>1482</v>
      </c>
    </row>
    <row r="172" spans="1:1" ht="53.25" x14ac:dyDescent="0.2">
      <c r="A172" s="240" t="s">
        <v>1483</v>
      </c>
    </row>
    <row r="173" spans="1:1" ht="53.25" x14ac:dyDescent="0.2">
      <c r="A173" s="240" t="s">
        <v>1484</v>
      </c>
    </row>
    <row r="174" spans="1:1" ht="53.25" x14ac:dyDescent="0.2">
      <c r="A174" s="240" t="s">
        <v>1485</v>
      </c>
    </row>
    <row r="175" spans="1:1" ht="53.25" x14ac:dyDescent="0.2">
      <c r="A175" s="240" t="s">
        <v>1486</v>
      </c>
    </row>
    <row r="176" spans="1:1" ht="53.25" x14ac:dyDescent="0.2">
      <c r="A176" s="240" t="s">
        <v>1487</v>
      </c>
    </row>
    <row r="177" spans="1:1" ht="53.25" x14ac:dyDescent="0.2">
      <c r="A177" s="240" t="s">
        <v>1488</v>
      </c>
    </row>
    <row r="178" spans="1:1" ht="53.25" x14ac:dyDescent="0.2">
      <c r="A178" s="240" t="s">
        <v>1489</v>
      </c>
    </row>
    <row r="179" spans="1:1" ht="53.25" x14ac:dyDescent="0.2">
      <c r="A179" s="240" t="s">
        <v>1490</v>
      </c>
    </row>
    <row r="180" spans="1:1" ht="53.25" x14ac:dyDescent="0.2">
      <c r="A180" s="240" t="s">
        <v>1491</v>
      </c>
    </row>
    <row r="181" spans="1:1" ht="53.25" x14ac:dyDescent="0.2">
      <c r="A181" s="240" t="s">
        <v>1492</v>
      </c>
    </row>
    <row r="182" spans="1:1" ht="53.25" x14ac:dyDescent="0.2">
      <c r="A182" s="240" t="s">
        <v>1493</v>
      </c>
    </row>
    <row r="183" spans="1:1" ht="53.25" x14ac:dyDescent="0.2">
      <c r="A183" s="240" t="s">
        <v>1494</v>
      </c>
    </row>
    <row r="184" spans="1:1" ht="53.25" x14ac:dyDescent="0.2">
      <c r="A184" s="240" t="s">
        <v>1495</v>
      </c>
    </row>
    <row r="185" spans="1:1" ht="53.25" x14ac:dyDescent="0.2">
      <c r="A185" s="240" t="s">
        <v>1496</v>
      </c>
    </row>
    <row r="186" spans="1:1" ht="53.25" x14ac:dyDescent="0.2">
      <c r="A186" s="240" t="s">
        <v>1497</v>
      </c>
    </row>
    <row r="187" spans="1:1" ht="53.25" x14ac:dyDescent="0.2">
      <c r="A187" s="240" t="s">
        <v>1498</v>
      </c>
    </row>
    <row r="188" spans="1:1" ht="53.25" x14ac:dyDescent="0.2">
      <c r="A188" s="240" t="s">
        <v>1499</v>
      </c>
    </row>
    <row r="189" spans="1:1" ht="53.25" x14ac:dyDescent="0.2">
      <c r="A189" s="240" t="s">
        <v>1500</v>
      </c>
    </row>
    <row r="190" spans="1:1" ht="53.25" x14ac:dyDescent="0.2">
      <c r="A190" s="240" t="s">
        <v>1501</v>
      </c>
    </row>
    <row r="191" spans="1:1" ht="53.25" x14ac:dyDescent="0.2">
      <c r="A191" s="240" t="s">
        <v>1502</v>
      </c>
    </row>
    <row r="192" spans="1:1" ht="53.25" x14ac:dyDescent="0.2">
      <c r="A192" s="240" t="s">
        <v>1503</v>
      </c>
    </row>
    <row r="193" spans="1:1" ht="53.25" x14ac:dyDescent="0.2">
      <c r="A193" s="240" t="s">
        <v>1504</v>
      </c>
    </row>
    <row r="194" spans="1:1" ht="53.25" x14ac:dyDescent="0.2">
      <c r="A194" s="240" t="s">
        <v>1505</v>
      </c>
    </row>
    <row r="195" spans="1:1" ht="53.25" x14ac:dyDescent="0.2">
      <c r="A195" s="240" t="s">
        <v>1506</v>
      </c>
    </row>
    <row r="196" spans="1:1" ht="53.25" x14ac:dyDescent="0.2">
      <c r="A196" s="240" t="s">
        <v>1507</v>
      </c>
    </row>
    <row r="197" spans="1:1" ht="53.25" x14ac:dyDescent="0.2">
      <c r="A197" s="240" t="s">
        <v>1508</v>
      </c>
    </row>
    <row r="198" spans="1:1" ht="53.25" x14ac:dyDescent="0.2">
      <c r="A198" s="240" t="s">
        <v>1509</v>
      </c>
    </row>
    <row r="199" spans="1:1" ht="53.25" x14ac:dyDescent="0.2">
      <c r="A199" s="240" t="s">
        <v>1510</v>
      </c>
    </row>
    <row r="200" spans="1:1" ht="53.25" x14ac:dyDescent="0.2">
      <c r="A200" s="240" t="s">
        <v>1511</v>
      </c>
    </row>
    <row r="201" spans="1:1" ht="53.25" x14ac:dyDescent="0.2">
      <c r="A201" s="240" t="s">
        <v>1512</v>
      </c>
    </row>
    <row r="202" spans="1:1" ht="53.25" x14ac:dyDescent="0.2">
      <c r="A202" s="240" t="s">
        <v>1513</v>
      </c>
    </row>
    <row r="203" spans="1:1" ht="53.25" x14ac:dyDescent="0.2">
      <c r="A203" s="240" t="s">
        <v>1514</v>
      </c>
    </row>
    <row r="204" spans="1:1" ht="53.25" x14ac:dyDescent="0.2">
      <c r="A204" s="240" t="s">
        <v>1515</v>
      </c>
    </row>
    <row r="205" spans="1:1" ht="53.25" x14ac:dyDescent="0.2">
      <c r="A205" s="240" t="s">
        <v>1516</v>
      </c>
    </row>
    <row r="206" spans="1:1" ht="53.25" x14ac:dyDescent="0.2">
      <c r="A206" s="240" t="s">
        <v>1517</v>
      </c>
    </row>
    <row r="207" spans="1:1" ht="53.25" x14ac:dyDescent="0.2">
      <c r="A207" s="240" t="s">
        <v>1518</v>
      </c>
    </row>
    <row r="208" spans="1:1" ht="53.25" x14ac:dyDescent="0.2">
      <c r="A208" s="240" t="s">
        <v>1519</v>
      </c>
    </row>
    <row r="209" spans="1:1" ht="53.25" x14ac:dyDescent="0.2">
      <c r="A209" s="240" t="s">
        <v>3594</v>
      </c>
    </row>
    <row r="210" spans="1:1" ht="53.25" x14ac:dyDescent="0.2">
      <c r="A210" s="240" t="s">
        <v>3595</v>
      </c>
    </row>
    <row r="211" spans="1:1" ht="53.25" x14ac:dyDescent="0.2">
      <c r="A211" s="240" t="s">
        <v>3596</v>
      </c>
    </row>
    <row r="212" spans="1:1" ht="53.25" x14ac:dyDescent="0.2">
      <c r="A212" s="240" t="s">
        <v>3597</v>
      </c>
    </row>
    <row r="213" spans="1:1" ht="53.25" x14ac:dyDescent="0.2">
      <c r="A213" s="240" t="s">
        <v>3598</v>
      </c>
    </row>
    <row r="214" spans="1:1" ht="53.25" x14ac:dyDescent="0.2">
      <c r="A214" s="240" t="s">
        <v>3599</v>
      </c>
    </row>
    <row r="215" spans="1:1" ht="53.25" x14ac:dyDescent="0.2">
      <c r="A215" s="240" t="s">
        <v>3600</v>
      </c>
    </row>
    <row r="216" spans="1:1" ht="53.25" x14ac:dyDescent="0.2">
      <c r="A216" s="240" t="s">
        <v>3601</v>
      </c>
    </row>
    <row r="217" spans="1:1" ht="53.25" x14ac:dyDescent="0.2">
      <c r="A217" s="240" t="s">
        <v>3602</v>
      </c>
    </row>
    <row r="218" spans="1:1" ht="53.25" x14ac:dyDescent="0.2">
      <c r="A218" s="240" t="s">
        <v>3603</v>
      </c>
    </row>
    <row r="219" spans="1:1" ht="53.25" x14ac:dyDescent="0.2">
      <c r="A219" s="240" t="s">
        <v>3604</v>
      </c>
    </row>
    <row r="220" spans="1:1" ht="53.25" x14ac:dyDescent="0.2">
      <c r="A220" s="240" t="s">
        <v>3605</v>
      </c>
    </row>
    <row r="221" spans="1:1" ht="53.25" x14ac:dyDescent="0.2">
      <c r="A221" s="240" t="s">
        <v>3606</v>
      </c>
    </row>
    <row r="222" spans="1:1" ht="53.25" x14ac:dyDescent="0.2">
      <c r="A222" s="240" t="s">
        <v>3607</v>
      </c>
    </row>
    <row r="223" spans="1:1" ht="53.25" x14ac:dyDescent="0.2">
      <c r="A223" s="240" t="s">
        <v>3608</v>
      </c>
    </row>
    <row r="224" spans="1:1" ht="53.25" x14ac:dyDescent="0.2">
      <c r="A224" s="240" t="s">
        <v>3609</v>
      </c>
    </row>
    <row r="225" spans="1:1" ht="53.25" x14ac:dyDescent="0.2">
      <c r="A225" s="240" t="s">
        <v>3610</v>
      </c>
    </row>
    <row r="226" spans="1:1" ht="53.25" x14ac:dyDescent="0.2">
      <c r="A226" s="240" t="s">
        <v>3611</v>
      </c>
    </row>
    <row r="227" spans="1:1" ht="53.25" x14ac:dyDescent="0.2">
      <c r="A227" s="240" t="s">
        <v>3612</v>
      </c>
    </row>
    <row r="228" spans="1:1" ht="53.25" x14ac:dyDescent="0.2">
      <c r="A228" s="240" t="s">
        <v>3613</v>
      </c>
    </row>
    <row r="229" spans="1:1" ht="53.25" x14ac:dyDescent="0.2">
      <c r="A229" s="240" t="s">
        <v>3614</v>
      </c>
    </row>
    <row r="230" spans="1:1" ht="53.25" x14ac:dyDescent="0.2">
      <c r="A230" s="240" t="s">
        <v>3615</v>
      </c>
    </row>
    <row r="231" spans="1:1" ht="53.25" x14ac:dyDescent="0.2">
      <c r="A231" s="240" t="s">
        <v>3616</v>
      </c>
    </row>
    <row r="232" spans="1:1" ht="53.25" x14ac:dyDescent="0.2">
      <c r="A232" s="240" t="s">
        <v>3617</v>
      </c>
    </row>
    <row r="233" spans="1:1" ht="53.25" x14ac:dyDescent="0.2">
      <c r="A233" s="240" t="s">
        <v>3618</v>
      </c>
    </row>
    <row r="234" spans="1:1" ht="53.25" x14ac:dyDescent="0.2">
      <c r="A234" s="240" t="s">
        <v>3619</v>
      </c>
    </row>
    <row r="235" spans="1:1" ht="53.25" x14ac:dyDescent="0.2">
      <c r="A235" s="240" t="s">
        <v>3620</v>
      </c>
    </row>
    <row r="236" spans="1:1" ht="53.25" x14ac:dyDescent="0.2">
      <c r="A236" s="240" t="s">
        <v>3621</v>
      </c>
    </row>
    <row r="237" spans="1:1" ht="53.25" x14ac:dyDescent="0.2">
      <c r="A237" s="240" t="s">
        <v>3622</v>
      </c>
    </row>
    <row r="238" spans="1:1" ht="54" thickBot="1" x14ac:dyDescent="0.25">
      <c r="A238" s="241" t="s">
        <v>3623</v>
      </c>
    </row>
  </sheetData>
  <pageMargins left="0.7" right="0.7" top="0.75" bottom="0.75" header="0.3" footer="0.3"/>
  <pageSetup orientation="portrait" r:id="rId1"/>
  <tableParts count="1">
    <tablePart r:id="rId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2">
    <tabColor rgb="FF009900"/>
  </sheetPr>
  <dimension ref="A1:AO29"/>
  <sheetViews>
    <sheetView showGridLines="0" zoomScale="70" zoomScaleNormal="70" workbookViewId="0">
      <selection activeCell="A2" sqref="A2:H2"/>
    </sheetView>
  </sheetViews>
  <sheetFormatPr baseColWidth="10" defaultColWidth="11.42578125" defaultRowHeight="12.75" x14ac:dyDescent="0.2"/>
  <cols>
    <col min="1" max="1" width="31.42578125" customWidth="1"/>
    <col min="2" max="2" width="15" customWidth="1"/>
    <col min="3" max="3" width="13.85546875" customWidth="1"/>
    <col min="4" max="4" width="17.7109375" customWidth="1"/>
    <col min="5" max="5" width="18.140625" customWidth="1"/>
    <col min="6" max="6" width="19.7109375" customWidth="1"/>
    <col min="7" max="7" width="23.85546875" customWidth="1"/>
    <col min="8" max="8" width="24.85546875" customWidth="1"/>
    <col min="9" max="9" width="19.7109375" customWidth="1"/>
    <col min="10" max="10" width="15.42578125" customWidth="1"/>
    <col min="11" max="11" width="20" customWidth="1"/>
    <col min="12" max="15" width="18.140625" customWidth="1"/>
    <col min="16" max="16" width="25.28515625" customWidth="1"/>
    <col min="17" max="17" width="27.28515625" customWidth="1"/>
    <col min="18" max="18" width="22.85546875" customWidth="1"/>
    <col min="19" max="19" width="24.85546875" customWidth="1"/>
    <col min="20" max="20" width="27.42578125" customWidth="1"/>
    <col min="21" max="21" width="31.140625" customWidth="1"/>
    <col min="22" max="22" width="28.7109375" customWidth="1"/>
    <col min="23" max="23" width="27.7109375" customWidth="1"/>
    <col min="24" max="24" width="21.85546875" customWidth="1"/>
    <col min="25" max="25" width="18.85546875" customWidth="1"/>
    <col min="26" max="26" width="35.7109375" customWidth="1"/>
    <col min="27" max="27" width="42.42578125" customWidth="1"/>
    <col min="28" max="28" width="32.42578125" customWidth="1"/>
    <col min="29" max="29" width="35.85546875" customWidth="1"/>
    <col min="30" max="30" width="26.42578125" customWidth="1"/>
    <col min="31" max="31" width="31.42578125" customWidth="1"/>
    <col min="32" max="32" width="31.5703125" customWidth="1"/>
    <col min="33" max="33" width="36.28515625" customWidth="1"/>
    <col min="34" max="34" width="37.42578125" customWidth="1"/>
    <col min="35" max="35" width="42.140625" customWidth="1"/>
    <col min="36" max="36" width="26.85546875" customWidth="1"/>
    <col min="37" max="37" width="31.7109375" customWidth="1"/>
    <col min="38" max="38" width="34.42578125" customWidth="1"/>
    <col min="39" max="39" width="38.140625" customWidth="1"/>
    <col min="40" max="40" width="23" customWidth="1"/>
    <col min="41" max="41" width="35.85546875" customWidth="1"/>
    <col min="42" max="42" width="20.28515625" customWidth="1"/>
    <col min="43" max="43" width="29.7109375" customWidth="1"/>
    <col min="44" max="44" width="35" customWidth="1"/>
    <col min="45" max="45" width="41" customWidth="1"/>
    <col min="46" max="46" width="33.85546875" customWidth="1"/>
    <col min="47" max="47" width="21.140625" customWidth="1"/>
    <col min="48" max="48" width="34" customWidth="1"/>
    <col min="49" max="49" width="50.140625" customWidth="1"/>
    <col min="50" max="50" width="24.85546875" customWidth="1"/>
    <col min="51" max="51" width="27.42578125" customWidth="1"/>
    <col min="52" max="52" width="28.85546875" customWidth="1"/>
    <col min="53" max="53" width="21.42578125" customWidth="1"/>
    <col min="54" max="54" width="22.5703125" customWidth="1"/>
    <col min="55" max="55" width="39.28515625" customWidth="1"/>
    <col min="56" max="56" width="29.28515625" customWidth="1"/>
    <col min="57" max="57" width="31.5703125" customWidth="1"/>
    <col min="58" max="58" width="27.85546875" customWidth="1"/>
    <col min="59" max="59" width="22.140625" customWidth="1"/>
    <col min="60" max="60" width="26.42578125" customWidth="1"/>
    <col min="61" max="61" width="22.28515625" bestFit="1" customWidth="1"/>
    <col min="62" max="62" width="26.5703125" bestFit="1" customWidth="1"/>
    <col min="63" max="63" width="18.7109375" bestFit="1" customWidth="1"/>
  </cols>
  <sheetData>
    <row r="1" spans="1:21" x14ac:dyDescent="0.2">
      <c r="A1" s="36" t="s">
        <v>137</v>
      </c>
      <c r="B1" s="36" t="s">
        <v>138</v>
      </c>
      <c r="C1" s="36" t="s">
        <v>139</v>
      </c>
      <c r="D1" s="36" t="s">
        <v>140</v>
      </c>
      <c r="E1" s="36" t="s">
        <v>141</v>
      </c>
      <c r="F1" s="36" t="s">
        <v>142</v>
      </c>
      <c r="G1" s="36" t="s">
        <v>169</v>
      </c>
      <c r="H1" s="36" t="s">
        <v>170</v>
      </c>
    </row>
    <row r="2" spans="1:21" x14ac:dyDescent="0.2">
      <c r="A2" s="68" t="s">
        <v>919</v>
      </c>
      <c r="B2">
        <v>13</v>
      </c>
      <c r="C2">
        <v>22</v>
      </c>
      <c r="D2">
        <v>30</v>
      </c>
      <c r="E2">
        <v>34</v>
      </c>
      <c r="F2">
        <v>0.2</v>
      </c>
      <c r="G2">
        <v>1</v>
      </c>
      <c r="H2">
        <v>1</v>
      </c>
    </row>
    <row r="8" spans="1:21" x14ac:dyDescent="0.2">
      <c r="U8" s="13"/>
    </row>
    <row r="25" spans="41:41" ht="15" x14ac:dyDescent="0.3">
      <c r="AO25" s="38"/>
    </row>
    <row r="26" spans="41:41" ht="15" x14ac:dyDescent="0.3">
      <c r="AO26" s="38"/>
    </row>
    <row r="27" spans="41:41" ht="15" x14ac:dyDescent="0.3">
      <c r="AO27" s="38"/>
    </row>
    <row r="28" spans="41:41" ht="15" x14ac:dyDescent="0.3">
      <c r="AO28" s="38"/>
    </row>
    <row r="29" spans="41:41" ht="15" x14ac:dyDescent="0.3">
      <c r="AO29" s="38"/>
    </row>
  </sheetData>
  <pageMargins left="0.7" right="0.7" top="0.75" bottom="0.75" header="0.3" footer="0.3"/>
  <pageSetup orientation="portrait" r:id="rId1"/>
  <tableParts count="1">
    <tablePart r:id="rId2"/>
  </tablePart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9">
    <tabColor rgb="FF009900"/>
  </sheetPr>
  <dimension ref="A1:BK2"/>
  <sheetViews>
    <sheetView showGridLines="0" zoomScale="70" zoomScaleNormal="70" workbookViewId="0">
      <selection activeCell="A2" sqref="A2:BK23"/>
    </sheetView>
  </sheetViews>
  <sheetFormatPr baseColWidth="10" defaultColWidth="11.42578125" defaultRowHeight="12.75" x14ac:dyDescent="0.2"/>
  <cols>
    <col min="1" max="1" width="23.42578125" customWidth="1"/>
    <col min="2" max="2" width="15" customWidth="1"/>
    <col min="3" max="3" width="13.85546875" customWidth="1"/>
    <col min="4" max="4" width="17.7109375" customWidth="1"/>
    <col min="5" max="5" width="18.140625" customWidth="1"/>
    <col min="6" max="6" width="19.7109375" customWidth="1"/>
    <col min="7" max="7" width="23.85546875" customWidth="1"/>
    <col min="8" max="8" width="24.85546875" customWidth="1"/>
    <col min="9" max="9" width="19.7109375" customWidth="1"/>
    <col min="10" max="10" width="15.42578125" customWidth="1"/>
    <col min="11" max="11" width="20" customWidth="1"/>
    <col min="12" max="15" width="18.140625" customWidth="1"/>
    <col min="16" max="16" width="25.28515625" customWidth="1"/>
    <col min="17" max="17" width="27.28515625" customWidth="1"/>
    <col min="18" max="18" width="22.85546875" customWidth="1"/>
    <col min="19" max="19" width="24.85546875" customWidth="1"/>
    <col min="20" max="20" width="27.42578125" customWidth="1"/>
    <col min="21" max="21" width="31.140625" customWidth="1"/>
    <col min="22" max="22" width="28.7109375" customWidth="1"/>
    <col min="23" max="23" width="27.7109375" customWidth="1"/>
    <col min="24" max="24" width="21.85546875" customWidth="1"/>
    <col min="25" max="25" width="18.85546875" customWidth="1"/>
    <col min="26" max="26" width="35.7109375" customWidth="1"/>
    <col min="27" max="27" width="42.42578125" customWidth="1"/>
    <col min="28" max="28" width="32.42578125" customWidth="1"/>
    <col min="29" max="29" width="35.85546875" customWidth="1"/>
    <col min="30" max="30" width="26.42578125" customWidth="1"/>
    <col min="31" max="31" width="31.42578125" customWidth="1"/>
    <col min="32" max="32" width="31.5703125" customWidth="1"/>
    <col min="33" max="33" width="36.28515625" customWidth="1"/>
    <col min="34" max="34" width="37.42578125" customWidth="1"/>
    <col min="35" max="35" width="42.140625" customWidth="1"/>
    <col min="36" max="36" width="26.85546875" customWidth="1"/>
    <col min="37" max="37" width="31.7109375" customWidth="1"/>
    <col min="38" max="38" width="34.42578125" customWidth="1"/>
    <col min="39" max="39" width="38.140625" customWidth="1"/>
    <col min="40" max="40" width="23" customWidth="1"/>
    <col min="41" max="41" width="35.85546875" customWidth="1"/>
    <col min="42" max="42" width="20.28515625" customWidth="1"/>
    <col min="43" max="43" width="29.7109375" customWidth="1"/>
    <col min="44" max="44" width="35" customWidth="1"/>
    <col min="45" max="45" width="41" customWidth="1"/>
    <col min="46" max="46" width="33.85546875" customWidth="1"/>
    <col min="47" max="47" width="21.140625" customWidth="1"/>
    <col min="48" max="48" width="34" customWidth="1"/>
    <col min="49" max="49" width="50.140625" customWidth="1"/>
    <col min="50" max="50" width="24.85546875" customWidth="1"/>
    <col min="51" max="51" width="27.42578125" customWidth="1"/>
    <col min="52" max="52" width="28.85546875" customWidth="1"/>
    <col min="53" max="53" width="21.42578125" customWidth="1"/>
    <col min="54" max="54" width="22.5703125" customWidth="1"/>
    <col min="55" max="55" width="39.28515625" customWidth="1"/>
    <col min="56" max="56" width="29.28515625" customWidth="1"/>
    <col min="57" max="57" width="31.5703125" customWidth="1"/>
    <col min="58" max="58" width="27.85546875" customWidth="1"/>
    <col min="59" max="59" width="22.140625" customWidth="1"/>
    <col min="60" max="60" width="26.42578125" customWidth="1"/>
    <col min="61" max="61" width="22.28515625" bestFit="1" customWidth="1"/>
    <col min="62" max="62" width="26.5703125" bestFit="1" customWidth="1"/>
    <col min="63" max="63" width="18.7109375" bestFit="1" customWidth="1"/>
  </cols>
  <sheetData>
    <row r="1" spans="1:63" ht="30" x14ac:dyDescent="0.2">
      <c r="A1" s="36" t="s">
        <v>137</v>
      </c>
      <c r="B1" s="36" t="s">
        <v>138</v>
      </c>
      <c r="C1" s="36" t="s">
        <v>139</v>
      </c>
      <c r="D1" s="36" t="s">
        <v>140</v>
      </c>
      <c r="E1" s="36" t="s">
        <v>141</v>
      </c>
      <c r="F1" s="36" t="s">
        <v>142</v>
      </c>
      <c r="G1" s="36" t="s">
        <v>169</v>
      </c>
      <c r="H1" s="36" t="s">
        <v>170</v>
      </c>
      <c r="I1" s="35" t="s">
        <v>183</v>
      </c>
      <c r="J1" s="35" t="s">
        <v>177</v>
      </c>
      <c r="K1" s="35" t="s">
        <v>178</v>
      </c>
      <c r="L1" s="35" t="s">
        <v>182</v>
      </c>
      <c r="M1" s="35" t="s">
        <v>181</v>
      </c>
      <c r="N1" s="35" t="s">
        <v>180</v>
      </c>
      <c r="O1" s="35" t="s">
        <v>179</v>
      </c>
      <c r="P1" s="35" t="s">
        <v>171</v>
      </c>
      <c r="Q1" s="37" t="s">
        <v>173</v>
      </c>
      <c r="R1" s="35" t="s">
        <v>174</v>
      </c>
      <c r="S1" s="37" t="s">
        <v>175</v>
      </c>
      <c r="T1" s="35" t="s">
        <v>172</v>
      </c>
      <c r="U1" s="37" t="s">
        <v>176</v>
      </c>
      <c r="V1" s="35" t="s">
        <v>192</v>
      </c>
      <c r="W1" s="37" t="s">
        <v>193</v>
      </c>
      <c r="X1" s="35" t="s">
        <v>185</v>
      </c>
      <c r="Y1" s="37" t="s">
        <v>186</v>
      </c>
      <c r="Z1" s="35" t="s">
        <v>184</v>
      </c>
      <c r="AA1" s="37" t="s">
        <v>187</v>
      </c>
      <c r="AB1" s="35" t="s">
        <v>189</v>
      </c>
      <c r="AC1" s="37" t="s">
        <v>188</v>
      </c>
      <c r="AD1" s="35" t="s">
        <v>190</v>
      </c>
      <c r="AE1" s="37" t="s">
        <v>191</v>
      </c>
      <c r="AF1" s="35" t="s">
        <v>194</v>
      </c>
      <c r="AG1" s="37" t="s">
        <v>196</v>
      </c>
      <c r="AH1" s="35" t="s">
        <v>202</v>
      </c>
      <c r="AI1" s="37" t="s">
        <v>203</v>
      </c>
      <c r="AJ1" s="35" t="s">
        <v>195</v>
      </c>
      <c r="AK1" s="37" t="s">
        <v>197</v>
      </c>
      <c r="AL1" s="35" t="s">
        <v>201</v>
      </c>
      <c r="AM1" s="37" t="s">
        <v>204</v>
      </c>
      <c r="AN1" s="37" t="s">
        <v>198</v>
      </c>
      <c r="AO1" s="29" t="s">
        <v>143</v>
      </c>
      <c r="AP1" s="29" t="s">
        <v>144</v>
      </c>
      <c r="AQ1" s="30" t="s">
        <v>145</v>
      </c>
      <c r="AR1" s="30" t="s">
        <v>146</v>
      </c>
      <c r="AS1" s="31" t="s">
        <v>147</v>
      </c>
      <c r="AT1" s="31" t="s">
        <v>148</v>
      </c>
      <c r="AU1" s="28" t="s">
        <v>149</v>
      </c>
      <c r="AV1" s="28" t="s">
        <v>150</v>
      </c>
      <c r="AW1" s="32" t="s">
        <v>151</v>
      </c>
      <c r="AX1" s="32" t="s">
        <v>152</v>
      </c>
      <c r="AY1" s="32" t="s">
        <v>153</v>
      </c>
      <c r="AZ1" s="33" t="s">
        <v>154</v>
      </c>
      <c r="BA1" s="33" t="s">
        <v>155</v>
      </c>
      <c r="BB1" s="33" t="s">
        <v>156</v>
      </c>
      <c r="BC1" s="34" t="s">
        <v>157</v>
      </c>
      <c r="BD1" s="34" t="s">
        <v>158</v>
      </c>
      <c r="BE1" s="34" t="s">
        <v>159</v>
      </c>
      <c r="BF1" s="28" t="s">
        <v>160</v>
      </c>
      <c r="BG1" s="28" t="s">
        <v>161</v>
      </c>
      <c r="BH1" s="28" t="s">
        <v>162</v>
      </c>
      <c r="BI1" s="65" t="s">
        <v>234</v>
      </c>
      <c r="BJ1" s="34" t="s">
        <v>548</v>
      </c>
      <c r="BK1" s="34" t="s">
        <v>549</v>
      </c>
    </row>
    <row r="2" spans="1:63" x14ac:dyDescent="0.2">
      <c r="A2" s="1"/>
      <c r="B2" s="13"/>
      <c r="C2" s="13"/>
      <c r="D2" s="13"/>
      <c r="E2" s="13"/>
      <c r="F2" s="13"/>
      <c r="G2" s="13"/>
      <c r="H2" s="13"/>
      <c r="I2" s="13"/>
      <c r="J2" s="13"/>
      <c r="K2" s="13"/>
      <c r="L2" s="13"/>
      <c r="M2" s="13"/>
      <c r="N2" s="13"/>
      <c r="O2" s="13"/>
      <c r="P2" s="13"/>
      <c r="Q2" s="13"/>
      <c r="R2" s="13"/>
      <c r="S2" s="13"/>
      <c r="T2" s="13"/>
      <c r="U2" s="13"/>
      <c r="V2" s="13"/>
      <c r="W2" s="13"/>
      <c r="X2" s="13"/>
      <c r="Y2" s="13"/>
      <c r="Z2" s="13"/>
      <c r="AA2" s="13"/>
      <c r="AB2" s="13"/>
      <c r="AC2" s="13"/>
      <c r="AD2" s="13"/>
      <c r="AE2" s="13"/>
      <c r="AF2" s="13"/>
      <c r="AG2" s="13"/>
      <c r="AH2" s="13"/>
      <c r="AI2" s="13"/>
      <c r="AJ2" s="85"/>
      <c r="AK2" s="85"/>
      <c r="AL2" s="13"/>
      <c r="AM2" s="13"/>
      <c r="AN2" s="13"/>
      <c r="AO2" s="13"/>
      <c r="AP2" s="13"/>
      <c r="AQ2" s="13"/>
      <c r="AR2" s="13"/>
      <c r="AS2" s="13"/>
      <c r="AT2" s="13"/>
      <c r="AU2" s="13"/>
      <c r="AV2" s="13"/>
      <c r="AW2" s="13"/>
      <c r="AX2" s="13"/>
      <c r="AY2" s="13"/>
      <c r="AZ2" s="13"/>
      <c r="BA2" s="13"/>
      <c r="BB2" s="13"/>
      <c r="BC2" s="13"/>
      <c r="BD2" s="13"/>
      <c r="BE2" s="13"/>
      <c r="BF2" s="27"/>
      <c r="BG2" s="27"/>
      <c r="BH2" s="13"/>
      <c r="BI2" s="85"/>
      <c r="BJ2" s="13"/>
      <c r="BK2" s="13"/>
    </row>
  </sheetData>
  <pageMargins left="0.7" right="0.7" top="0.75" bottom="0.75" header="0.3" footer="0.3"/>
  <pageSetup orientation="portrait" r:id="rId1"/>
  <legacyDrawing r:id="rId2"/>
  <tableParts count="1">
    <tablePart r:id="rId3"/>
  </tablePart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dimension ref="A1:E2"/>
  <sheetViews>
    <sheetView showGridLines="0" workbookViewId="0">
      <selection activeCell="B2" sqref="B2"/>
    </sheetView>
  </sheetViews>
  <sheetFormatPr baseColWidth="10" defaultColWidth="11.42578125" defaultRowHeight="12.75" x14ac:dyDescent="0.2"/>
  <sheetData>
    <row r="1" spans="1:5" x14ac:dyDescent="0.2">
      <c r="A1" s="1" t="s">
        <v>3</v>
      </c>
      <c r="B1" t="s">
        <v>98</v>
      </c>
      <c r="C1" t="s">
        <v>100</v>
      </c>
      <c r="D1" s="1" t="s">
        <v>99</v>
      </c>
      <c r="E1" s="19"/>
    </row>
    <row r="2" spans="1:5" x14ac:dyDescent="0.2">
      <c r="A2" s="1"/>
      <c r="B2" s="21"/>
      <c r="C2" s="20"/>
    </row>
  </sheetData>
  <pageMargins left="0.7" right="0.7" top="0.75" bottom="0.75" header="0.3" footer="0.3"/>
  <pageSetup orientation="portrait" r:id="rId1"/>
  <tableParts count="1">
    <tablePart r:id="rId2"/>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A1:B1"/>
  <sheetViews>
    <sheetView showGridLines="0" workbookViewId="0">
      <selection activeCell="B2" sqref="B2"/>
    </sheetView>
  </sheetViews>
  <sheetFormatPr baseColWidth="10" defaultColWidth="11.42578125" defaultRowHeight="12.75" x14ac:dyDescent="0.2"/>
  <cols>
    <col min="1" max="1" width="16.28515625" customWidth="1"/>
    <col min="2" max="2" width="17.7109375" customWidth="1"/>
  </cols>
  <sheetData>
    <row r="1" spans="1:2" x14ac:dyDescent="0.2">
      <c r="A1" t="s">
        <v>86</v>
      </c>
      <c r="B1" t="s">
        <v>87</v>
      </c>
    </row>
  </sheetData>
  <pageMargins left="0.7" right="0.7" top="0.75" bottom="0.75" header="0.3" footer="0.3"/>
  <pageSetup orientation="portrait" r:id="rId1"/>
  <tableParts count="1">
    <tablePart r:id="rId2"/>
  </tableParts>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tabColor rgb="FF7030A0"/>
  </sheetPr>
  <dimension ref="A1:AT63"/>
  <sheetViews>
    <sheetView showGridLines="0" zoomScale="80" zoomScaleNormal="80" workbookViewId="0"/>
  </sheetViews>
  <sheetFormatPr baseColWidth="10" defaultColWidth="11.42578125" defaultRowHeight="12.75" x14ac:dyDescent="0.2"/>
  <cols>
    <col min="1" max="1" width="17.7109375" customWidth="1"/>
    <col min="2" max="2" width="10.85546875" customWidth="1"/>
    <col min="3" max="3" width="11.28515625" customWidth="1"/>
    <col min="4" max="4" width="16.28515625" customWidth="1"/>
    <col min="5" max="5" width="8.28515625" customWidth="1"/>
    <col min="6" max="6" width="17.85546875" customWidth="1"/>
    <col min="7" max="7" width="11.28515625" bestFit="1" customWidth="1"/>
    <col min="8" max="8" width="12.7109375" customWidth="1"/>
    <col min="9" max="10" width="21.42578125" customWidth="1"/>
    <col min="11" max="11" width="23.28515625" customWidth="1"/>
    <col min="12" max="12" width="22.5703125" style="68" customWidth="1"/>
    <col min="13" max="13" width="11" style="68" customWidth="1"/>
    <col min="14" max="14" width="27.28515625" customWidth="1"/>
    <col min="15" max="15" width="15" customWidth="1"/>
    <col min="16" max="16" width="11" customWidth="1"/>
    <col min="17" max="17" width="29.28515625" customWidth="1"/>
    <col min="18" max="18" width="13.7109375" customWidth="1"/>
    <col min="19" max="22" width="7.7109375" customWidth="1"/>
    <col min="23" max="30" width="7.7109375" style="68" customWidth="1"/>
    <col min="31" max="31" width="21.42578125" customWidth="1"/>
    <col min="32" max="32" width="19.5703125" customWidth="1"/>
    <col min="33" max="33" width="23.85546875" bestFit="1" customWidth="1"/>
    <col min="34" max="34" width="9.42578125" customWidth="1"/>
    <col min="35" max="35" width="5.5703125" customWidth="1"/>
    <col min="36" max="36" width="8.7109375" customWidth="1"/>
    <col min="37" max="37" width="10.28515625" customWidth="1"/>
    <col min="38" max="38" width="12.28515625" customWidth="1"/>
    <col min="39" max="39" width="7" customWidth="1"/>
    <col min="40" max="44" width="21.42578125" customWidth="1"/>
    <col min="45" max="45" width="20.28515625" customWidth="1"/>
    <col min="46" max="46" width="10.85546875" customWidth="1"/>
    <col min="47" max="47" width="29.5703125" customWidth="1"/>
    <col min="48" max="48" width="17.42578125" customWidth="1"/>
    <col min="49" max="49" width="27.42578125" customWidth="1"/>
    <col min="50" max="50" width="22.140625" customWidth="1"/>
    <col min="51" max="133" width="21.42578125" customWidth="1"/>
    <col min="134" max="134" width="21.42578125" bestFit="1" customWidth="1"/>
    <col min="135" max="178" width="21.42578125" customWidth="1"/>
    <col min="179" max="179" width="21.7109375" customWidth="1"/>
    <col min="180" max="180" width="25" customWidth="1"/>
    <col min="181" max="181" width="23.140625" customWidth="1"/>
    <col min="182" max="182" width="21.5703125" customWidth="1"/>
    <col min="183" max="183" width="3" customWidth="1"/>
    <col min="184" max="192" width="4" customWidth="1"/>
    <col min="193" max="193" width="3" customWidth="1"/>
    <col min="194" max="194" width="4" customWidth="1"/>
    <col min="195" max="195" width="5" customWidth="1"/>
    <col min="196" max="199" width="4" customWidth="1"/>
    <col min="200" max="200" width="3" customWidth="1"/>
    <col min="201" max="201" width="4" customWidth="1"/>
    <col min="202" max="202" width="3" customWidth="1"/>
    <col min="203" max="204" width="4" customWidth="1"/>
    <col min="205" max="205" width="3" customWidth="1"/>
    <col min="206" max="228" width="4" customWidth="1"/>
    <col min="229" max="230" width="5" customWidth="1"/>
    <col min="231" max="234" width="4" customWidth="1"/>
    <col min="235" max="235" width="5" customWidth="1"/>
    <col min="236" max="236" width="4" customWidth="1"/>
    <col min="237" max="237" width="5" customWidth="1"/>
    <col min="238" max="238" width="4" customWidth="1"/>
    <col min="239" max="239" width="5" customWidth="1"/>
    <col min="240" max="243" width="4" customWidth="1"/>
    <col min="244" max="245" width="5" customWidth="1"/>
    <col min="246" max="247" width="4" customWidth="1"/>
    <col min="248" max="248" width="5" customWidth="1"/>
    <col min="249" max="251" width="4" customWidth="1"/>
    <col min="252" max="252" width="5" customWidth="1"/>
    <col min="253" max="253" width="6" customWidth="1"/>
    <col min="254" max="254" width="4" customWidth="1"/>
    <col min="255" max="255" width="5" customWidth="1"/>
    <col min="256" max="256" width="17.85546875" bestFit="1" customWidth="1"/>
    <col min="257" max="257" width="8" customWidth="1"/>
    <col min="258" max="258" width="7" customWidth="1"/>
    <col min="259" max="259" width="5" customWidth="1"/>
    <col min="260" max="262" width="6" customWidth="1"/>
    <col min="263" max="263" width="4" customWidth="1"/>
    <col min="264" max="265" width="5" customWidth="1"/>
    <col min="266" max="266" width="6" customWidth="1"/>
    <col min="267" max="267" width="5" customWidth="1"/>
    <col min="268" max="268" width="4" customWidth="1"/>
    <col min="269" max="269" width="5" customWidth="1"/>
    <col min="270" max="275" width="4" customWidth="1"/>
    <col min="276" max="276" width="5" customWidth="1"/>
    <col min="277" max="289" width="4" customWidth="1"/>
    <col min="290" max="290" width="3" customWidth="1"/>
    <col min="291" max="293" width="4" customWidth="1"/>
    <col min="294" max="294" width="3" customWidth="1"/>
    <col min="295" max="296" width="5" customWidth="1"/>
    <col min="297" max="301" width="4" customWidth="1"/>
    <col min="302" max="302" width="5" customWidth="1"/>
    <col min="303" max="305" width="3" customWidth="1"/>
    <col min="306" max="306" width="4" customWidth="1"/>
    <col min="307" max="308" width="3" customWidth="1"/>
    <col min="309" max="309" width="4" customWidth="1"/>
    <col min="310" max="310" width="3" customWidth="1"/>
    <col min="311" max="314" width="4" customWidth="1"/>
    <col min="315" max="315" width="3" customWidth="1"/>
    <col min="316" max="321" width="4" customWidth="1"/>
    <col min="322" max="327" width="3" customWidth="1"/>
    <col min="328" max="373" width="4" customWidth="1"/>
    <col min="374" max="375" width="5" customWidth="1"/>
    <col min="376" max="377" width="4" customWidth="1"/>
    <col min="378" max="378" width="21.7109375" bestFit="1" customWidth="1"/>
    <col min="379" max="379" width="25" bestFit="1" customWidth="1"/>
    <col min="380" max="380" width="23.140625" bestFit="1" customWidth="1"/>
  </cols>
  <sheetData>
    <row r="1" spans="11:46" ht="15" x14ac:dyDescent="0.25">
      <c r="L1" s="119">
        <v>42259</v>
      </c>
      <c r="M1" s="125">
        <f t="array" ref="M1">MATCH(ConBodega&amp;ConCodigo,CONTROL[BODEGA]&amp;CONTROL[CODIGO],0)</f>
        <v>14</v>
      </c>
      <c r="AF1" s="204" t="s">
        <v>32</v>
      </c>
      <c r="AG1" s="125" t="s">
        <v>739</v>
      </c>
      <c r="AH1" s="89"/>
      <c r="AI1" s="15"/>
      <c r="AO1" s="1" t="s">
        <v>437</v>
      </c>
      <c r="AP1" s="1" t="str">
        <f t="array" ref="AP1">IFERROR(INDEX(CONTROL[Color],MATCH(ConBodega&amp;ConCodigo,CONTROL[BODEGA]&amp;CONTROL[CODIGO],0)),"")</f>
        <v>N</v>
      </c>
      <c r="AS1" s="117" t="s">
        <v>512</v>
      </c>
      <c r="AT1" s="68" t="s">
        <v>513</v>
      </c>
    </row>
    <row r="2" spans="11:46" ht="15" x14ac:dyDescent="0.25">
      <c r="K2" s="209" t="s">
        <v>605</v>
      </c>
      <c r="L2" s="209"/>
      <c r="M2" s="209"/>
      <c r="N2" s="209"/>
      <c r="O2" s="209"/>
      <c r="P2" s="209"/>
      <c r="Q2" s="209"/>
      <c r="AF2" s="204" t="s">
        <v>79</v>
      </c>
      <c r="AG2" s="125" t="s">
        <v>929</v>
      </c>
      <c r="AH2" s="89"/>
      <c r="AI2" s="15"/>
      <c r="AO2" s="1" t="s">
        <v>438</v>
      </c>
      <c r="AP2" s="1" t="str">
        <f t="array" ref="AP2">IFERROR(INDEX(CONTROL[Color1],MATCH(ConBodega&amp;ConCodigo,CONTROL[BODEGA]&amp;CONTROL[CODIGO],0)),"")</f>
        <v>R</v>
      </c>
      <c r="AS2" s="117" t="s">
        <v>3</v>
      </c>
      <c r="AT2" s="68" t="s">
        <v>513</v>
      </c>
    </row>
    <row r="3" spans="11:46" ht="15" x14ac:dyDescent="0.25">
      <c r="K3" s="186" t="str">
        <f>$AG$1</f>
        <v>Bodega Central Agrota</v>
      </c>
      <c r="L3" s="178" t="str">
        <f>$AG$2</f>
        <v>10000000974</v>
      </c>
      <c r="M3" s="191" t="str">
        <f t="array" ref="M3">IFERROR(INDEX(CONTROL[DESCRIPCION],MATCH(ConBodega&amp;ConCodigo,CONTROL[BODEGA]&amp;CONTROL[CODIGO],0)),"")</f>
        <v>DESMALEZADORA B450 AUS</v>
      </c>
      <c r="N3" s="192"/>
      <c r="O3" s="192"/>
      <c r="P3" s="192"/>
      <c r="Q3" s="193"/>
      <c r="AH3" s="89"/>
      <c r="AI3" s="15"/>
      <c r="AO3" s="1" t="s">
        <v>503</v>
      </c>
      <c r="AP3" t="s">
        <v>510</v>
      </c>
      <c r="AS3" s="117" t="s">
        <v>515</v>
      </c>
      <c r="AT3" s="68" t="s">
        <v>513</v>
      </c>
    </row>
    <row r="4" spans="11:46" x14ac:dyDescent="0.2">
      <c r="K4" s="170" t="s">
        <v>403</v>
      </c>
      <c r="L4" s="103">
        <f>IFERROR(INDEX(CONTROL[Estatus],fila),"")</f>
        <v>0</v>
      </c>
      <c r="M4" s="94"/>
      <c r="AF4" s="125"/>
      <c r="AG4" s="204" t="s">
        <v>85</v>
      </c>
      <c r="AH4" s="125"/>
      <c r="AI4" s="125"/>
      <c r="AJ4" s="125"/>
      <c r="AK4" s="125"/>
      <c r="AL4" s="125"/>
      <c r="AM4" s="125"/>
      <c r="AO4" s="1" t="s">
        <v>504</v>
      </c>
      <c r="AP4" t="s">
        <v>511</v>
      </c>
      <c r="AS4" s="117" t="s">
        <v>514</v>
      </c>
      <c r="AT4" s="68" t="s">
        <v>513</v>
      </c>
    </row>
    <row r="5" spans="11:46" ht="15" x14ac:dyDescent="0.25">
      <c r="K5" s="170" t="s">
        <v>432</v>
      </c>
      <c r="L5" s="107">
        <f>IFERROR(INDEX(CONTROL[PV],fila),"")</f>
        <v>762.73</v>
      </c>
      <c r="M5" s="107">
        <v>12.37</v>
      </c>
      <c r="AF5" s="204" t="s">
        <v>417</v>
      </c>
      <c r="AG5" s="125" t="s">
        <v>381</v>
      </c>
      <c r="AH5" s="125" t="s">
        <v>1</v>
      </c>
      <c r="AI5" s="125" t="s">
        <v>0</v>
      </c>
      <c r="AJ5" s="125" t="s">
        <v>386</v>
      </c>
      <c r="AK5" s="125" t="s">
        <v>387</v>
      </c>
      <c r="AL5" s="125" t="s">
        <v>383</v>
      </c>
      <c r="AM5" s="125" t="s">
        <v>382</v>
      </c>
    </row>
    <row r="6" spans="11:46" ht="15" x14ac:dyDescent="0.25">
      <c r="K6" s="170" t="s">
        <v>58</v>
      </c>
      <c r="L6" s="107">
        <f>IFERROR(INDEX(CONTROL[CTV],fila),"")</f>
        <v>293.10000000000002</v>
      </c>
      <c r="M6" s="107">
        <v>7.95</v>
      </c>
      <c r="N6" s="209" t="s">
        <v>610</v>
      </c>
      <c r="O6" s="209"/>
      <c r="P6" s="209"/>
      <c r="AF6" s="205" t="s">
        <v>685</v>
      </c>
      <c r="AG6" s="206"/>
      <c r="AH6" s="206"/>
      <c r="AI6" s="206"/>
      <c r="AJ6" s="206"/>
      <c r="AK6" s="206"/>
      <c r="AL6" s="206"/>
      <c r="AM6" s="206"/>
      <c r="AS6" s="117" t="s">
        <v>417</v>
      </c>
    </row>
    <row r="7" spans="11:46" ht="15" x14ac:dyDescent="0.25">
      <c r="K7" s="170" t="s">
        <v>490</v>
      </c>
      <c r="L7" s="185">
        <f>IFERROR(INDEX(CONTROL[Responsable],fila),"")</f>
        <v>0</v>
      </c>
      <c r="M7" s="101"/>
      <c r="N7" s="172" t="s">
        <v>485</v>
      </c>
      <c r="O7" s="103" t="str">
        <f>IFERROR(INDEX(CONTROL[Etapa],fila),"")</f>
        <v>LIBRE-98</v>
      </c>
      <c r="P7" s="101"/>
      <c r="Q7" s="68"/>
      <c r="AF7" s="207" t="s">
        <v>718</v>
      </c>
      <c r="AG7" s="206"/>
      <c r="AH7" s="206"/>
      <c r="AI7" s="206"/>
      <c r="AJ7" s="206"/>
      <c r="AK7" s="206"/>
      <c r="AL7" s="206"/>
      <c r="AM7" s="206"/>
    </row>
    <row r="8" spans="11:46" x14ac:dyDescent="0.2">
      <c r="N8" s="170" t="s">
        <v>441</v>
      </c>
      <c r="O8" s="103">
        <f>IFERROR(INDEX(CONTROL[Horizonte],fila),"")</f>
        <v>10</v>
      </c>
      <c r="P8" s="101"/>
      <c r="AF8" s="208" t="s">
        <v>1106</v>
      </c>
      <c r="AG8" s="206">
        <v>140</v>
      </c>
      <c r="AH8" s="206">
        <v>93</v>
      </c>
      <c r="AI8" s="206">
        <v>46</v>
      </c>
      <c r="AJ8" s="206"/>
      <c r="AK8" s="206"/>
      <c r="AL8" s="206">
        <v>141</v>
      </c>
      <c r="AM8" s="206">
        <v>93</v>
      </c>
    </row>
    <row r="9" spans="11:46" x14ac:dyDescent="0.2">
      <c r="K9" s="209" t="s">
        <v>606</v>
      </c>
      <c r="L9" s="209"/>
      <c r="M9" s="209"/>
      <c r="N9" s="172" t="s">
        <v>615</v>
      </c>
      <c r="O9" s="103" t="str">
        <f>IFERROR(INDEX(CONTROL[Estado Reposiciones],fila),"")</f>
        <v>MAC MFR-46</v>
      </c>
      <c r="P9" s="101"/>
      <c r="AF9" s="208" t="s">
        <v>1107</v>
      </c>
      <c r="AG9" s="206">
        <v>140</v>
      </c>
      <c r="AH9" s="206">
        <v>93</v>
      </c>
      <c r="AI9" s="206">
        <v>46</v>
      </c>
      <c r="AJ9" s="206"/>
      <c r="AK9" s="206"/>
      <c r="AL9" s="206">
        <v>141</v>
      </c>
      <c r="AM9" s="206">
        <v>93</v>
      </c>
    </row>
    <row r="10" spans="11:46" ht="15.75" x14ac:dyDescent="0.25">
      <c r="K10" s="171" t="s">
        <v>99</v>
      </c>
      <c r="L10" s="210">
        <f>IFERROR(INDEX(CONTROL[Buff Act],fila),"")</f>
        <v>140</v>
      </c>
      <c r="M10" s="101"/>
      <c r="N10" s="172" t="s">
        <v>419</v>
      </c>
      <c r="O10" s="103" t="str">
        <f>IFERROR(INDEX(CONTROL[Nuevo Buff Sug],fila),"")</f>
        <v/>
      </c>
      <c r="P10" s="101"/>
      <c r="AF10" s="208" t="s">
        <v>719</v>
      </c>
      <c r="AG10" s="206">
        <v>140</v>
      </c>
      <c r="AH10" s="206">
        <v>93</v>
      </c>
      <c r="AI10" s="206">
        <v>46</v>
      </c>
      <c r="AJ10" s="206"/>
      <c r="AK10" s="206"/>
      <c r="AL10" s="206">
        <v>141</v>
      </c>
      <c r="AM10" s="206">
        <v>93</v>
      </c>
    </row>
    <row r="11" spans="11:46" x14ac:dyDescent="0.2">
      <c r="K11" s="9" t="s">
        <v>435</v>
      </c>
      <c r="L11" s="106">
        <f>IFERROR(INDEX(CONTROL[Zona Amar],fila),"")</f>
        <v>93</v>
      </c>
      <c r="M11" s="101"/>
      <c r="N11" s="183" t="s">
        <v>379</v>
      </c>
      <c r="O11" s="103" t="str">
        <f>IFERROR(INDEX(CONTROL[Comportamiento],fila),"")</f>
        <v>BUF</v>
      </c>
      <c r="P11" s="101"/>
      <c r="AF11" s="208" t="s">
        <v>1108</v>
      </c>
      <c r="AG11" s="206">
        <v>140</v>
      </c>
      <c r="AH11" s="206">
        <v>93</v>
      </c>
      <c r="AI11" s="206">
        <v>46</v>
      </c>
      <c r="AJ11" s="206"/>
      <c r="AK11" s="206"/>
      <c r="AL11" s="206">
        <v>141</v>
      </c>
      <c r="AM11" s="206">
        <v>93</v>
      </c>
    </row>
    <row r="12" spans="11:46" x14ac:dyDescent="0.2">
      <c r="K12" s="102" t="s">
        <v>436</v>
      </c>
      <c r="L12" s="106">
        <f>IFERROR(INDEX(CONTROL[Zona Roja],fila),"")</f>
        <v>46</v>
      </c>
      <c r="M12" s="101"/>
      <c r="N12" s="183" t="s">
        <v>447</v>
      </c>
      <c r="O12" s="103">
        <f>IFERROR(INDEX(CONTROL[Consumo],fila),"")</f>
        <v>0</v>
      </c>
      <c r="P12" s="103">
        <v>1</v>
      </c>
      <c r="AF12" s="208" t="s">
        <v>1109</v>
      </c>
      <c r="AG12" s="206">
        <v>140</v>
      </c>
      <c r="AH12" s="206">
        <v>93</v>
      </c>
      <c r="AI12" s="206">
        <v>46</v>
      </c>
      <c r="AJ12" s="206"/>
      <c r="AK12" s="206"/>
      <c r="AL12" s="206">
        <v>141</v>
      </c>
      <c r="AM12" s="206">
        <v>93</v>
      </c>
    </row>
    <row r="13" spans="11:46" ht="14.25" x14ac:dyDescent="0.2">
      <c r="K13" s="169" t="s">
        <v>48</v>
      </c>
      <c r="L13" s="101" t="str">
        <f>IFERROR(INDEX(CONTROL[Proveedor],fila),"")</f>
        <v>Echo</v>
      </c>
      <c r="M13" s="101" t="s">
        <v>509</v>
      </c>
      <c r="N13" s="179" t="s">
        <v>401</v>
      </c>
      <c r="O13" s="110">
        <f>IFERROR(INDEX(CONTROL[Buff Calc],fila),"")</f>
        <v>0</v>
      </c>
      <c r="P13" s="110">
        <f>IFERROR(ROUND(ConConsumoSemanalUsuario*ConFactorPicoUsuario*(ConTrepUsuario+ConFrepUsuario),0),"")</f>
        <v>24</v>
      </c>
      <c r="AF13" s="208" t="s">
        <v>1110</v>
      </c>
      <c r="AG13" s="206">
        <v>140</v>
      </c>
      <c r="AH13" s="206">
        <v>93</v>
      </c>
      <c r="AI13" s="206">
        <v>46</v>
      </c>
      <c r="AJ13" s="206"/>
      <c r="AK13" s="206"/>
      <c r="AL13" s="206">
        <v>141</v>
      </c>
      <c r="AM13" s="206">
        <v>93</v>
      </c>
    </row>
    <row r="14" spans="11:46" x14ac:dyDescent="0.2">
      <c r="K14" s="169" t="s">
        <v>234</v>
      </c>
      <c r="L14" s="101" t="str">
        <f>IFERROR(INDEX(CONTROL[Perfil],fila),"")</f>
        <v>USA ECHO</v>
      </c>
      <c r="M14" s="101"/>
      <c r="N14" s="179" t="s">
        <v>424</v>
      </c>
      <c r="O14" s="103">
        <f>IFERROR(INDEX(CONTROL[Ult Buffer],fila),"")</f>
        <v>160</v>
      </c>
      <c r="P14" s="101"/>
      <c r="AF14" s="208" t="s">
        <v>1111</v>
      </c>
      <c r="AG14" s="206">
        <v>140</v>
      </c>
      <c r="AH14" s="206">
        <v>93</v>
      </c>
      <c r="AI14" s="206">
        <v>46</v>
      </c>
      <c r="AJ14" s="206"/>
      <c r="AK14" s="206"/>
      <c r="AL14" s="206">
        <v>158</v>
      </c>
      <c r="AM14" s="206">
        <v>93</v>
      </c>
    </row>
    <row r="15" spans="11:46" x14ac:dyDescent="0.2">
      <c r="K15" s="169" t="s">
        <v>421</v>
      </c>
      <c r="L15" s="103" t="str">
        <f>IFERROR((""&amp;INDEX(CONTROL[Buff Min],fila))*1,"")</f>
        <v/>
      </c>
      <c r="M15" s="101"/>
      <c r="N15" s="190" t="s">
        <v>426</v>
      </c>
      <c r="O15" s="182">
        <f>IFERROR(INDEX(CONTROL[Ult Cambio],fila),"")</f>
        <v>43087</v>
      </c>
      <c r="P15" s="101"/>
      <c r="AF15" s="208" t="s">
        <v>720</v>
      </c>
      <c r="AG15" s="206">
        <v>140</v>
      </c>
      <c r="AH15" s="206">
        <v>93</v>
      </c>
      <c r="AI15" s="206">
        <v>46</v>
      </c>
      <c r="AJ15" s="206"/>
      <c r="AK15" s="206"/>
      <c r="AL15" s="206">
        <v>155</v>
      </c>
      <c r="AM15" s="206">
        <v>90</v>
      </c>
    </row>
    <row r="16" spans="11:46" x14ac:dyDescent="0.2">
      <c r="K16" s="169" t="s">
        <v>422</v>
      </c>
      <c r="L16" s="103" t="str">
        <f>IFERROR((""&amp;INDEX(CONTROL[Buff Max],fila))*1,"")</f>
        <v/>
      </c>
      <c r="M16" s="101"/>
      <c r="AF16" s="208" t="s">
        <v>721</v>
      </c>
      <c r="AG16" s="206">
        <v>140</v>
      </c>
      <c r="AH16" s="206">
        <v>93</v>
      </c>
      <c r="AI16" s="206">
        <v>46</v>
      </c>
      <c r="AJ16" s="206"/>
      <c r="AK16" s="206"/>
      <c r="AL16" s="206">
        <v>155</v>
      </c>
      <c r="AM16" s="206">
        <v>90</v>
      </c>
    </row>
    <row r="17" spans="1:39" x14ac:dyDescent="0.2">
      <c r="K17" s="169" t="s">
        <v>418</v>
      </c>
      <c r="L17" s="106">
        <f>IFERROR(INDEX(CONTROL[PEDID Min],fila),"")</f>
        <v>1</v>
      </c>
      <c r="M17" s="103">
        <v>200</v>
      </c>
      <c r="N17" s="209" t="s">
        <v>611</v>
      </c>
      <c r="O17" s="209"/>
      <c r="P17" s="209"/>
      <c r="AF17" s="208" t="s">
        <v>722</v>
      </c>
      <c r="AG17" s="206">
        <v>140</v>
      </c>
      <c r="AH17" s="206">
        <v>93</v>
      </c>
      <c r="AI17" s="206">
        <v>46</v>
      </c>
      <c r="AJ17" s="206"/>
      <c r="AK17" s="206"/>
      <c r="AL17" s="206">
        <v>155</v>
      </c>
      <c r="AM17" s="206">
        <v>90</v>
      </c>
    </row>
    <row r="18" spans="1:39" x14ac:dyDescent="0.2">
      <c r="K18" s="169" t="s">
        <v>423</v>
      </c>
      <c r="L18" s="106" t="str">
        <f>IFERROR((""&amp;INDEX(CONTROL[PEDID Min Grupo],fila))*1,"")</f>
        <v/>
      </c>
      <c r="M18" s="101"/>
      <c r="N18" s="177" t="s">
        <v>163</v>
      </c>
      <c r="O18" s="91">
        <f>IFERROR(INDEX(CONTROL[Calendario Estacional],fila),"")</f>
        <v>0</v>
      </c>
      <c r="P18" s="91"/>
      <c r="AF18" s="208" t="s">
        <v>1112</v>
      </c>
      <c r="AG18" s="206">
        <v>140</v>
      </c>
      <c r="AH18" s="206">
        <v>93</v>
      </c>
      <c r="AI18" s="206">
        <v>46</v>
      </c>
      <c r="AJ18" s="206"/>
      <c r="AK18" s="206"/>
      <c r="AL18" s="206">
        <v>152</v>
      </c>
      <c r="AM18" s="206">
        <v>87</v>
      </c>
    </row>
    <row r="19" spans="1:39" x14ac:dyDescent="0.2">
      <c r="K19" s="169" t="s">
        <v>263</v>
      </c>
      <c r="L19" s="103">
        <f>IFERROR(INDEX(CONTROL[Unidad Empaque],fila),"")</f>
        <v>2</v>
      </c>
      <c r="M19" s="101"/>
      <c r="N19" s="180" t="s">
        <v>200</v>
      </c>
      <c r="O19" s="187" t="str">
        <f>IFERROR(INDEX(CONTROL[Acción Estacional],fila),"")</f>
        <v/>
      </c>
      <c r="P19" s="188"/>
      <c r="Q19" s="189"/>
      <c r="AF19" s="208" t="s">
        <v>1113</v>
      </c>
      <c r="AG19" s="206">
        <v>140</v>
      </c>
      <c r="AH19" s="206">
        <v>93</v>
      </c>
      <c r="AI19" s="206">
        <v>46</v>
      </c>
      <c r="AJ19" s="206"/>
      <c r="AK19" s="206"/>
      <c r="AL19" s="206">
        <v>104</v>
      </c>
      <c r="AM19" s="206">
        <v>87</v>
      </c>
    </row>
    <row r="20" spans="1:39" x14ac:dyDescent="0.2">
      <c r="N20" s="180" t="s">
        <v>199</v>
      </c>
      <c r="O20" s="187" t="str">
        <f>IFERROR(INDEX(CONTROL[Etapa Estacional],fila),"")</f>
        <v/>
      </c>
      <c r="P20" s="188"/>
      <c r="Q20" s="189"/>
      <c r="AF20" s="208" t="s">
        <v>1114</v>
      </c>
      <c r="AG20" s="206">
        <v>140</v>
      </c>
      <c r="AH20" s="206">
        <v>93</v>
      </c>
      <c r="AI20" s="206">
        <v>46</v>
      </c>
      <c r="AJ20" s="206"/>
      <c r="AK20" s="206"/>
      <c r="AL20" s="206">
        <v>117</v>
      </c>
      <c r="AM20" s="206">
        <v>117</v>
      </c>
    </row>
    <row r="21" spans="1:39" x14ac:dyDescent="0.2">
      <c r="K21" s="209" t="s">
        <v>607</v>
      </c>
      <c r="L21" s="209"/>
      <c r="M21" s="209"/>
      <c r="N21" s="179" t="s">
        <v>162</v>
      </c>
      <c r="O21" s="94">
        <f>IFERROR(INDEX(CONTROL[Buff Estacional],fila),0)</f>
        <v>0</v>
      </c>
      <c r="P21" s="94"/>
      <c r="AF21" s="208" t="s">
        <v>1115</v>
      </c>
      <c r="AG21" s="206">
        <v>140</v>
      </c>
      <c r="AH21" s="206">
        <v>93</v>
      </c>
      <c r="AI21" s="206">
        <v>46</v>
      </c>
      <c r="AJ21" s="206"/>
      <c r="AK21" s="206"/>
      <c r="AL21" s="206">
        <v>117</v>
      </c>
      <c r="AM21" s="206">
        <v>117</v>
      </c>
    </row>
    <row r="22" spans="1:39" x14ac:dyDescent="0.2">
      <c r="K22" s="177" t="s">
        <v>382</v>
      </c>
      <c r="L22" s="173">
        <f>IFERROR(INDEX(CONTROL[Inv Fís Act],fila),"")</f>
        <v>0</v>
      </c>
      <c r="M22" s="101"/>
      <c r="N22" s="179" t="s">
        <v>443</v>
      </c>
      <c r="O22" s="111">
        <f>IFERROR(INDEX(CONTROL[Buff Ant Estacion],fila),"")</f>
        <v>0</v>
      </c>
      <c r="P22" s="101"/>
      <c r="AF22" s="208" t="s">
        <v>1116</v>
      </c>
      <c r="AG22" s="206">
        <v>140</v>
      </c>
      <c r="AH22" s="206">
        <v>93</v>
      </c>
      <c r="AI22" s="206">
        <v>46</v>
      </c>
      <c r="AJ22" s="206"/>
      <c r="AK22" s="206"/>
      <c r="AL22" s="206">
        <v>117</v>
      </c>
      <c r="AM22" s="206">
        <v>117</v>
      </c>
    </row>
    <row r="23" spans="1:39" x14ac:dyDescent="0.2">
      <c r="K23" s="177" t="s">
        <v>429</v>
      </c>
      <c r="L23" s="174">
        <f>IFERROR(INDEX(CONTROL[Tráns Act],fila),"")</f>
        <v>17</v>
      </c>
      <c r="M23" s="101"/>
      <c r="AF23" s="208" t="s">
        <v>1117</v>
      </c>
      <c r="AG23" s="206">
        <v>140</v>
      </c>
      <c r="AH23" s="206">
        <v>93</v>
      </c>
      <c r="AI23" s="206">
        <v>46</v>
      </c>
      <c r="AJ23" s="206"/>
      <c r="AK23" s="206"/>
      <c r="AL23" s="206">
        <v>117</v>
      </c>
      <c r="AM23" s="206">
        <v>117</v>
      </c>
    </row>
    <row r="24" spans="1:39" x14ac:dyDescent="0.2">
      <c r="K24" s="176" t="s">
        <v>354</v>
      </c>
      <c r="L24" s="175">
        <f>IFERROR(INDEX(CONTROL[Negociación],fila),"")</f>
        <v>0</v>
      </c>
      <c r="M24" s="101"/>
      <c r="N24" s="209" t="s">
        <v>612</v>
      </c>
      <c r="O24" s="209"/>
      <c r="P24" s="209"/>
      <c r="AF24" s="208" t="s">
        <v>1118</v>
      </c>
      <c r="AG24" s="206">
        <v>140</v>
      </c>
      <c r="AH24" s="206">
        <v>93</v>
      </c>
      <c r="AI24" s="206">
        <v>46</v>
      </c>
      <c r="AJ24" s="206"/>
      <c r="AK24" s="206"/>
      <c r="AL24" s="206">
        <v>112</v>
      </c>
      <c r="AM24" s="206">
        <v>112</v>
      </c>
    </row>
    <row r="25" spans="1:39" x14ac:dyDescent="0.2">
      <c r="K25" s="176" t="s">
        <v>355</v>
      </c>
      <c r="L25" s="175">
        <f>IFERROR(INDEX(CONTROL[Producción],fila),"")</f>
        <v>0</v>
      </c>
      <c r="M25" s="101"/>
      <c r="N25" s="181" t="s">
        <v>372</v>
      </c>
      <c r="O25" s="104">
        <f>IFERROR(INDEX(CONTROL[Cobertura Buffer],fila),"")</f>
        <v>0</v>
      </c>
      <c r="P25" s="101"/>
      <c r="AF25" s="208" t="s">
        <v>723</v>
      </c>
      <c r="AG25" s="206">
        <v>140</v>
      </c>
      <c r="AH25" s="206">
        <v>93</v>
      </c>
      <c r="AI25" s="206">
        <v>46</v>
      </c>
      <c r="AJ25" s="206"/>
      <c r="AK25" s="206"/>
      <c r="AL25" s="206">
        <v>101</v>
      </c>
      <c r="AM25" s="206">
        <v>101</v>
      </c>
    </row>
    <row r="26" spans="1:39" x14ac:dyDescent="0.2">
      <c r="K26" s="176" t="s">
        <v>356</v>
      </c>
      <c r="L26" s="175">
        <f>IFERROR(INDEX(CONTROL[Embarcado],fila),"")</f>
        <v>0</v>
      </c>
      <c r="M26" s="101"/>
      <c r="N26" s="181" t="s">
        <v>442</v>
      </c>
      <c r="O26" s="104">
        <f>IFERROR(INDEX(CONTROL[Cobertura Inv Proy],fila),"")</f>
        <v>0</v>
      </c>
      <c r="P26" s="101"/>
      <c r="AF26" s="208" t="s">
        <v>724</v>
      </c>
      <c r="AG26" s="206">
        <v>140</v>
      </c>
      <c r="AH26" s="206">
        <v>93</v>
      </c>
      <c r="AI26" s="206">
        <v>46</v>
      </c>
      <c r="AJ26" s="206"/>
      <c r="AK26" s="206"/>
      <c r="AL26" s="206">
        <v>95</v>
      </c>
      <c r="AM26" s="206">
        <v>95</v>
      </c>
    </row>
    <row r="27" spans="1:39" x14ac:dyDescent="0.2">
      <c r="K27" s="177" t="s">
        <v>430</v>
      </c>
      <c r="L27" s="174">
        <f>IFERROR(INDEX(CONTROL[Comprom],fila),"")</f>
        <v>0</v>
      </c>
      <c r="M27" s="101"/>
      <c r="N27" s="181" t="s">
        <v>420</v>
      </c>
      <c r="O27" s="104">
        <f>IFERROR(INDEX(CONTROL[Cobertura Ped Min],fila),"")</f>
        <v>0</v>
      </c>
      <c r="P27" s="101"/>
      <c r="AF27" s="208" t="s">
        <v>1119</v>
      </c>
      <c r="AG27" s="206">
        <v>140</v>
      </c>
      <c r="AH27" s="206">
        <v>93</v>
      </c>
      <c r="AI27" s="206">
        <v>46</v>
      </c>
      <c r="AJ27" s="206"/>
      <c r="AK27" s="206"/>
      <c r="AL27" s="206">
        <v>94</v>
      </c>
      <c r="AM27" s="206">
        <v>94</v>
      </c>
    </row>
    <row r="28" spans="1:39" x14ac:dyDescent="0.2">
      <c r="K28" s="177" t="s">
        <v>431</v>
      </c>
      <c r="L28" s="174">
        <f>IFERROR(INDEX(CONTROL[Backorders],fila),"")</f>
        <v>0</v>
      </c>
      <c r="M28" s="101"/>
      <c r="N28" s="184" t="s">
        <v>78</v>
      </c>
      <c r="O28" s="105">
        <f>IFERROR(INDEX(CONTROL[Servicio],fila),"")</f>
        <v>0.26</v>
      </c>
      <c r="P28" s="101"/>
      <c r="AF28" s="207" t="s">
        <v>1120</v>
      </c>
      <c r="AG28" s="206"/>
      <c r="AH28" s="206"/>
      <c r="AI28" s="206"/>
      <c r="AJ28" s="206"/>
      <c r="AK28" s="206"/>
      <c r="AL28" s="206"/>
      <c r="AM28" s="206"/>
    </row>
    <row r="29" spans="1:39" x14ac:dyDescent="0.2">
      <c r="K29" s="177" t="s">
        <v>383</v>
      </c>
      <c r="L29" s="173">
        <f>IFERROR(INDEX(CONTROL[Inv Proy Act],fila),"")</f>
        <v>17</v>
      </c>
      <c r="M29" s="101"/>
      <c r="N29" s="184" t="s">
        <v>427</v>
      </c>
      <c r="O29" s="105">
        <f>IFERROR(INDEX(CONTROL[Rentabilid],fila),"")</f>
        <v>0</v>
      </c>
      <c r="P29" s="101"/>
      <c r="AF29" s="208" t="s">
        <v>1121</v>
      </c>
      <c r="AG29" s="206">
        <v>140</v>
      </c>
      <c r="AH29" s="206">
        <v>93</v>
      </c>
      <c r="AI29" s="206">
        <v>46</v>
      </c>
      <c r="AJ29" s="206"/>
      <c r="AK29" s="206"/>
      <c r="AL29" s="206">
        <v>94</v>
      </c>
      <c r="AM29" s="206">
        <v>94</v>
      </c>
    </row>
    <row r="30" spans="1:39" x14ac:dyDescent="0.2">
      <c r="A30" s="117" t="s">
        <v>63</v>
      </c>
      <c r="B30" s="68" t="s">
        <v>513</v>
      </c>
      <c r="K30" s="177" t="s">
        <v>425</v>
      </c>
      <c r="L30" s="103">
        <f>IFERROR(INDEX(CONTROL[Inv Proveed],fila),"")</f>
        <v>1000000000</v>
      </c>
      <c r="M30" s="101"/>
      <c r="N30" s="184" t="s">
        <v>428</v>
      </c>
      <c r="O30" s="105">
        <f>IFERROR(INDEX(CONTROL[Rentabilidad Proy],fila),"")</f>
        <v>7.690972364380757</v>
      </c>
      <c r="P30" s="101"/>
      <c r="AF30" s="208" t="s">
        <v>1122</v>
      </c>
      <c r="AG30" s="206">
        <v>140</v>
      </c>
      <c r="AH30" s="206">
        <v>93</v>
      </c>
      <c r="AI30" s="206">
        <v>46</v>
      </c>
      <c r="AJ30" s="206"/>
      <c r="AK30" s="206"/>
      <c r="AL30" s="206">
        <v>93</v>
      </c>
      <c r="AM30" s="206">
        <v>93</v>
      </c>
    </row>
    <row r="31" spans="1:39" x14ac:dyDescent="0.2">
      <c r="A31" s="117" t="s">
        <v>3</v>
      </c>
      <c r="B31" s="68" t="s">
        <v>513</v>
      </c>
      <c r="K31" s="177" t="s">
        <v>434</v>
      </c>
      <c r="L31" s="103">
        <f>IFERROR(INDEX(CONTROL[PEDID Prom],fila),"")</f>
        <v>28</v>
      </c>
      <c r="M31" s="101"/>
      <c r="N31" s="108" t="s">
        <v>444</v>
      </c>
      <c r="O31" s="103">
        <f>1.5</f>
        <v>1.5</v>
      </c>
      <c r="P31" s="103">
        <v>2.4</v>
      </c>
      <c r="AF31" s="208" t="s">
        <v>1123</v>
      </c>
      <c r="AG31" s="206">
        <v>140</v>
      </c>
      <c r="AH31" s="206">
        <v>93</v>
      </c>
      <c r="AI31" s="206">
        <v>46</v>
      </c>
      <c r="AJ31" s="206"/>
      <c r="AK31" s="206"/>
      <c r="AL31" s="206">
        <v>74</v>
      </c>
      <c r="AM31" s="206">
        <v>74</v>
      </c>
    </row>
    <row r="32" spans="1:39" ht="15.75" x14ac:dyDescent="0.25">
      <c r="K32" s="179" t="s">
        <v>433</v>
      </c>
      <c r="L32" s="210">
        <f>IFERROR(INDEX(CONTROL[PEDIDCalc],fila),"")</f>
        <v>124</v>
      </c>
      <c r="M32" s="101"/>
      <c r="N32" s="108" t="s">
        <v>445</v>
      </c>
      <c r="O32" s="107">
        <f>IFERROR(ConPVP-ConCTV,"")</f>
        <v>469.63</v>
      </c>
      <c r="P32" s="107">
        <f>IFERROR(ConPVPUsuario-ConCTVUsuario,"")</f>
        <v>4.419999999999999</v>
      </c>
      <c r="AF32" s="208" t="s">
        <v>1124</v>
      </c>
      <c r="AG32" s="206">
        <v>140</v>
      </c>
      <c r="AH32" s="206">
        <v>93</v>
      </c>
      <c r="AI32" s="206">
        <v>46</v>
      </c>
      <c r="AJ32" s="206"/>
      <c r="AK32" s="206"/>
      <c r="AL32" s="206">
        <v>91</v>
      </c>
      <c r="AM32" s="206">
        <v>74</v>
      </c>
    </row>
    <row r="33" spans="1:39" x14ac:dyDescent="0.2">
      <c r="A33" s="117" t="s">
        <v>417</v>
      </c>
      <c r="B33" s="90" t="s">
        <v>506</v>
      </c>
      <c r="C33" s="90" t="s">
        <v>508</v>
      </c>
      <c r="D33" s="90" t="s">
        <v>507</v>
      </c>
      <c r="F33" s="230" t="s">
        <v>439</v>
      </c>
      <c r="G33" s="188"/>
      <c r="H33" s="189"/>
      <c r="I33" s="230" t="s">
        <v>717</v>
      </c>
      <c r="J33" s="189"/>
      <c r="K33" s="170" t="s">
        <v>160</v>
      </c>
      <c r="L33" s="103">
        <f>IFERROR(INDEX(CONTROL[T Suministro],fila),"")</f>
        <v>8</v>
      </c>
      <c r="M33" s="234">
        <f>ConTRep</f>
        <v>8</v>
      </c>
      <c r="N33" s="108" t="s">
        <v>448</v>
      </c>
      <c r="O33" s="103">
        <f>IFERROR(ROUND(ConConsumoPromedio*52,0),"")</f>
        <v>0</v>
      </c>
      <c r="P33" s="103">
        <f>IFERROR(ConConsumoSemanalUsuario*52,"")</f>
        <v>52</v>
      </c>
      <c r="AF33" s="208" t="s">
        <v>1125</v>
      </c>
      <c r="AG33" s="206">
        <v>140</v>
      </c>
      <c r="AH33" s="206">
        <v>93</v>
      </c>
      <c r="AI33" s="206">
        <v>46</v>
      </c>
      <c r="AJ33" s="206"/>
      <c r="AK33" s="206"/>
      <c r="AL33" s="206">
        <v>91</v>
      </c>
      <c r="AM33" s="206">
        <v>74</v>
      </c>
    </row>
    <row r="34" spans="1:39" x14ac:dyDescent="0.2">
      <c r="A34" s="118">
        <v>43040</v>
      </c>
      <c r="B34" s="27">
        <v>46</v>
      </c>
      <c r="C34" s="27">
        <v>0</v>
      </c>
      <c r="D34" s="27">
        <v>0</v>
      </c>
      <c r="F34" s="91" t="s">
        <v>399</v>
      </c>
      <c r="G34" s="96">
        <f ca="1">IFERROR(ROUND(AVERAGE(OFFSET($B$33,MAX(COUNTA(OFFSET($A$33,1,0,COUNTA($A:$A)-4,1))-MIN(COUNTA(OFFSET($A$33,1,0,COUNTA($A:$A)-4,1)),6),1),0,MIN(COUNTA(OFFSET($A$33,1,0,COUNTA($A:$A)-4,1))-1,6),1))/4,1),0)</f>
        <v>10.5</v>
      </c>
      <c r="H34" s="99" t="s">
        <v>402</v>
      </c>
      <c r="I34" s="231" t="s">
        <v>716</v>
      </c>
      <c r="J34" s="227">
        <v>1</v>
      </c>
      <c r="K34" s="170" t="s">
        <v>440</v>
      </c>
      <c r="L34" s="103">
        <f>IFERROR(INDEX(CONTROL[Frec Repos],fila),"")</f>
        <v>2</v>
      </c>
      <c r="M34" s="234">
        <f>ConFRep</f>
        <v>2</v>
      </c>
      <c r="N34" s="108" t="s">
        <v>446</v>
      </c>
      <c r="O34" s="109">
        <f t="array" ref="O34">IFERROR(ConConsumoAnualProyectado*ConTruputUnitario,"")</f>
        <v>0</v>
      </c>
      <c r="P34" s="109">
        <f>IFERROR(ConTruputUnitarioUsuario*ConConsumoAnualProyectadoUsuario,"")</f>
        <v>229.83999999999995</v>
      </c>
      <c r="AF34" s="208" t="s">
        <v>1126</v>
      </c>
      <c r="AG34" s="206">
        <v>140</v>
      </c>
      <c r="AH34" s="206">
        <v>93</v>
      </c>
      <c r="AI34" s="206">
        <v>46</v>
      </c>
      <c r="AJ34" s="206"/>
      <c r="AK34" s="206"/>
      <c r="AL34" s="206">
        <v>89</v>
      </c>
      <c r="AM34" s="206">
        <v>72</v>
      </c>
    </row>
    <row r="35" spans="1:39" x14ac:dyDescent="0.2">
      <c r="A35" s="118">
        <v>43070</v>
      </c>
      <c r="B35" s="27">
        <v>23</v>
      </c>
      <c r="C35" s="27">
        <v>0</v>
      </c>
      <c r="D35" s="27">
        <v>0</v>
      </c>
      <c r="F35" s="92" t="s">
        <v>400</v>
      </c>
      <c r="G35" s="97">
        <f ca="1">IFERROR(ROUND(MAX(OFFSET($B$33,MAX(COUNTA(OFFSET($A$33,1,0,COUNTA($A:$A)-4,1))-MIN(COUNTA(OFFSET($A$33,1,0,COUNTA($A:$A)-4,1)),6),1),0,MIN(COUNTA(OFFSET($A$33,1,0,COUNTA($A:$A)-4,1))-1,6),1))/4/ConConsumoCalculado,1),0)</f>
        <v>1.6</v>
      </c>
      <c r="H35" s="93"/>
      <c r="I35" s="232" t="s">
        <v>444</v>
      </c>
      <c r="J35" s="228">
        <v>1</v>
      </c>
      <c r="K35" s="184" t="s">
        <v>608</v>
      </c>
      <c r="L35" s="182">
        <f>IFERROR(INDEX(CONTROL[Ult Transfer Inicial],fila),"")</f>
        <v>43195</v>
      </c>
      <c r="M35" s="101"/>
      <c r="N35" s="108" t="s">
        <v>449</v>
      </c>
      <c r="O35" s="109">
        <f>IFERROR(ConBufferActual*ConCTV,"")</f>
        <v>41034</v>
      </c>
      <c r="P35" s="109">
        <f>IFERROR(ConBufferCalcUsuario*ConCTVUsuario,"")</f>
        <v>190.8</v>
      </c>
      <c r="AF35" s="208" t="s">
        <v>1127</v>
      </c>
      <c r="AG35" s="206">
        <v>140</v>
      </c>
      <c r="AH35" s="206">
        <v>93</v>
      </c>
      <c r="AI35" s="206">
        <v>46</v>
      </c>
      <c r="AJ35" s="206"/>
      <c r="AK35" s="206"/>
      <c r="AL35" s="206">
        <v>86</v>
      </c>
      <c r="AM35" s="206">
        <v>69</v>
      </c>
    </row>
    <row r="36" spans="1:39" x14ac:dyDescent="0.2">
      <c r="A36" s="118">
        <v>43101</v>
      </c>
      <c r="B36" s="27">
        <v>28</v>
      </c>
      <c r="C36" s="27">
        <v>0</v>
      </c>
      <c r="D36" s="27">
        <v>0</v>
      </c>
      <c r="F36" s="94" t="s">
        <v>401</v>
      </c>
      <c r="G36" s="98">
        <f ca="1">IFERROR(ROUND(ConConsumoCalculado*ConPicoCalculado*(ConTRep+ConFRep),0),0)</f>
        <v>168</v>
      </c>
      <c r="H36" s="95" t="s">
        <v>398</v>
      </c>
      <c r="I36" s="233" t="s">
        <v>401</v>
      </c>
      <c r="J36" s="229">
        <f>(Promedio_Mensual_Usuario/4)*Factor_Pico_Usuario*(ConTrepUsuario+ConFrepUsuario)</f>
        <v>2.5</v>
      </c>
      <c r="K36" s="184" t="s">
        <v>609</v>
      </c>
      <c r="L36" s="182">
        <f>IFERROR(INDEX(CONTROL[Ult Transfer Final],fila),"")</f>
        <v>43179</v>
      </c>
      <c r="M36" s="101"/>
      <c r="N36" s="108" t="s">
        <v>450</v>
      </c>
      <c r="O36" s="105">
        <f>IFERROR(ConTruputAnualProyectado/ConInversion,"")</f>
        <v>0</v>
      </c>
      <c r="P36" s="105">
        <f>IFERROR(ConTruputAnualProyectadoUsuario/ConInversionUsuario,"")</f>
        <v>1.2046121593291401</v>
      </c>
      <c r="AF36" s="208" t="s">
        <v>1128</v>
      </c>
      <c r="AG36" s="206">
        <v>140</v>
      </c>
      <c r="AH36" s="206">
        <v>93</v>
      </c>
      <c r="AI36" s="206">
        <v>46</v>
      </c>
      <c r="AJ36" s="206"/>
      <c r="AK36" s="206"/>
      <c r="AL36" s="206">
        <v>86</v>
      </c>
      <c r="AM36" s="206">
        <v>69</v>
      </c>
    </row>
    <row r="37" spans="1:39" x14ac:dyDescent="0.2">
      <c r="A37" s="118">
        <v>43132</v>
      </c>
      <c r="B37" s="27">
        <v>54</v>
      </c>
      <c r="C37" s="27">
        <v>0</v>
      </c>
      <c r="D37" s="27">
        <v>0</v>
      </c>
      <c r="AF37" s="208" t="s">
        <v>1129</v>
      </c>
      <c r="AG37" s="206">
        <v>140</v>
      </c>
      <c r="AH37" s="206">
        <v>93</v>
      </c>
      <c r="AI37" s="206">
        <v>46</v>
      </c>
      <c r="AJ37" s="206"/>
      <c r="AK37" s="206"/>
      <c r="AL37" s="206">
        <v>86</v>
      </c>
      <c r="AM37" s="206">
        <v>69</v>
      </c>
    </row>
    <row r="38" spans="1:39" x14ac:dyDescent="0.2">
      <c r="A38" s="118">
        <v>43160</v>
      </c>
      <c r="B38" s="27">
        <v>33</v>
      </c>
      <c r="C38" s="27">
        <v>0</v>
      </c>
      <c r="D38" s="27">
        <v>0</v>
      </c>
      <c r="AF38" s="208" t="s">
        <v>1130</v>
      </c>
      <c r="AG38" s="206">
        <v>140</v>
      </c>
      <c r="AH38" s="206">
        <v>93</v>
      </c>
      <c r="AI38" s="206">
        <v>46</v>
      </c>
      <c r="AJ38" s="206"/>
      <c r="AK38" s="206"/>
      <c r="AL38" s="206">
        <v>85</v>
      </c>
      <c r="AM38" s="206">
        <v>68</v>
      </c>
    </row>
    <row r="39" spans="1:39" x14ac:dyDescent="0.2">
      <c r="A39" s="118">
        <v>43191</v>
      </c>
      <c r="B39" s="27">
        <v>68</v>
      </c>
      <c r="C39" s="27">
        <v>0</v>
      </c>
      <c r="D39" s="27">
        <v>0</v>
      </c>
      <c r="AF39" s="208" t="s">
        <v>1131</v>
      </c>
      <c r="AG39" s="206">
        <v>140</v>
      </c>
      <c r="AH39" s="206">
        <v>93</v>
      </c>
      <c r="AI39" s="206">
        <v>46</v>
      </c>
      <c r="AJ39" s="206"/>
      <c r="AK39" s="206"/>
      <c r="AL39" s="206">
        <v>85</v>
      </c>
      <c r="AM39" s="206">
        <v>68</v>
      </c>
    </row>
    <row r="40" spans="1:39" x14ac:dyDescent="0.2">
      <c r="A40" s="118">
        <v>43221</v>
      </c>
      <c r="B40" s="27">
        <v>17</v>
      </c>
      <c r="C40" s="27">
        <v>0</v>
      </c>
      <c r="D40" s="27">
        <v>0</v>
      </c>
      <c r="AF40" s="208" t="s">
        <v>1132</v>
      </c>
      <c r="AG40" s="206">
        <v>140</v>
      </c>
      <c r="AH40" s="206">
        <v>93</v>
      </c>
      <c r="AI40" s="206">
        <v>46</v>
      </c>
      <c r="AJ40" s="206"/>
      <c r="AK40" s="206"/>
      <c r="AL40" s="206">
        <v>85</v>
      </c>
      <c r="AM40" s="206">
        <v>68</v>
      </c>
    </row>
    <row r="41" spans="1:39" x14ac:dyDescent="0.2">
      <c r="A41" s="2" t="s">
        <v>84</v>
      </c>
      <c r="B41" s="27">
        <v>269</v>
      </c>
      <c r="C41" s="27">
        <v>0</v>
      </c>
      <c r="D41" s="27">
        <v>0</v>
      </c>
      <c r="AF41" s="208" t="s">
        <v>1133</v>
      </c>
      <c r="AG41" s="206">
        <v>140</v>
      </c>
      <c r="AH41" s="206">
        <v>93</v>
      </c>
      <c r="AI41" s="206">
        <v>46</v>
      </c>
      <c r="AJ41" s="206"/>
      <c r="AK41" s="206"/>
      <c r="AL41" s="206">
        <v>85</v>
      </c>
      <c r="AM41" s="206">
        <v>68</v>
      </c>
    </row>
    <row r="42" spans="1:39" x14ac:dyDescent="0.2">
      <c r="AF42" s="208" t="s">
        <v>1134</v>
      </c>
      <c r="AG42" s="206">
        <v>140</v>
      </c>
      <c r="AH42" s="206">
        <v>93</v>
      </c>
      <c r="AI42" s="206">
        <v>46</v>
      </c>
      <c r="AJ42" s="206"/>
      <c r="AK42" s="206"/>
      <c r="AL42" s="206">
        <v>85</v>
      </c>
      <c r="AM42" s="206">
        <v>68</v>
      </c>
    </row>
    <row r="43" spans="1:39" x14ac:dyDescent="0.2">
      <c r="AF43" s="208" t="s">
        <v>1139</v>
      </c>
      <c r="AG43" s="206">
        <v>140</v>
      </c>
      <c r="AH43" s="206">
        <v>93</v>
      </c>
      <c r="AI43" s="206">
        <v>46</v>
      </c>
      <c r="AJ43" s="206"/>
      <c r="AK43" s="206"/>
      <c r="AL43" s="206">
        <v>85</v>
      </c>
      <c r="AM43" s="206">
        <v>68</v>
      </c>
    </row>
    <row r="44" spans="1:39" x14ac:dyDescent="0.2">
      <c r="AF44" s="208" t="s">
        <v>1140</v>
      </c>
      <c r="AG44" s="206">
        <v>140</v>
      </c>
      <c r="AH44" s="206">
        <v>93</v>
      </c>
      <c r="AI44" s="206">
        <v>46</v>
      </c>
      <c r="AJ44" s="206"/>
      <c r="AK44" s="206"/>
      <c r="AL44" s="206">
        <v>85</v>
      </c>
      <c r="AM44" s="206">
        <v>68</v>
      </c>
    </row>
    <row r="45" spans="1:39" x14ac:dyDescent="0.2">
      <c r="AF45" s="208" t="s">
        <v>1141</v>
      </c>
      <c r="AG45" s="206">
        <v>140</v>
      </c>
      <c r="AH45" s="206">
        <v>93</v>
      </c>
      <c r="AI45" s="206">
        <v>46</v>
      </c>
      <c r="AJ45" s="206"/>
      <c r="AK45" s="206"/>
      <c r="AL45" s="206">
        <v>85</v>
      </c>
      <c r="AM45" s="206">
        <v>68</v>
      </c>
    </row>
    <row r="46" spans="1:39" x14ac:dyDescent="0.2">
      <c r="AF46" s="208" t="s">
        <v>1142</v>
      </c>
      <c r="AG46" s="206">
        <v>140</v>
      </c>
      <c r="AH46" s="206">
        <v>93</v>
      </c>
      <c r="AI46" s="206">
        <v>46</v>
      </c>
      <c r="AJ46" s="206"/>
      <c r="AK46" s="206"/>
      <c r="AL46" s="206">
        <v>85</v>
      </c>
      <c r="AM46" s="206">
        <v>68</v>
      </c>
    </row>
    <row r="47" spans="1:39" x14ac:dyDescent="0.2">
      <c r="AF47" s="208" t="s">
        <v>1143</v>
      </c>
      <c r="AG47" s="206">
        <v>140</v>
      </c>
      <c r="AH47" s="206">
        <v>93</v>
      </c>
      <c r="AI47" s="206">
        <v>46</v>
      </c>
      <c r="AJ47" s="206"/>
      <c r="AK47" s="206"/>
      <c r="AL47" s="206">
        <v>85</v>
      </c>
      <c r="AM47" s="206">
        <v>68</v>
      </c>
    </row>
    <row r="48" spans="1:39" x14ac:dyDescent="0.2">
      <c r="AF48" s="207" t="s">
        <v>1144</v>
      </c>
      <c r="AG48" s="206"/>
      <c r="AH48" s="206"/>
      <c r="AI48" s="206"/>
      <c r="AJ48" s="206"/>
      <c r="AK48" s="206"/>
      <c r="AL48" s="206"/>
      <c r="AM48" s="206"/>
    </row>
    <row r="49" spans="8:39" x14ac:dyDescent="0.2">
      <c r="H49" s="68"/>
      <c r="I49" s="68"/>
      <c r="L49"/>
      <c r="M49"/>
      <c r="S49" s="68"/>
      <c r="T49" s="68"/>
      <c r="U49" s="68"/>
      <c r="V49" s="68"/>
      <c r="AA49"/>
      <c r="AB49"/>
      <c r="AC49"/>
      <c r="AD49"/>
      <c r="AF49" s="208" t="s">
        <v>1145</v>
      </c>
      <c r="AG49" s="206">
        <v>140</v>
      </c>
      <c r="AH49" s="206">
        <v>93</v>
      </c>
      <c r="AI49" s="206">
        <v>46</v>
      </c>
      <c r="AJ49" s="206"/>
      <c r="AK49" s="206"/>
      <c r="AL49" s="206">
        <v>85</v>
      </c>
      <c r="AM49" s="206">
        <v>68</v>
      </c>
    </row>
    <row r="50" spans="8:39" x14ac:dyDescent="0.2">
      <c r="H50" s="68"/>
      <c r="I50" s="68"/>
      <c r="L50"/>
      <c r="M50"/>
      <c r="S50" s="68"/>
      <c r="T50" s="68"/>
      <c r="U50" s="68"/>
      <c r="V50" s="68"/>
      <c r="AA50"/>
      <c r="AB50"/>
      <c r="AC50"/>
      <c r="AD50"/>
      <c r="AF50" s="208" t="s">
        <v>1146</v>
      </c>
      <c r="AG50" s="206">
        <v>140</v>
      </c>
      <c r="AH50" s="206">
        <v>93</v>
      </c>
      <c r="AI50" s="206">
        <v>46</v>
      </c>
      <c r="AJ50" s="206"/>
      <c r="AK50" s="206"/>
      <c r="AL50" s="206">
        <v>85</v>
      </c>
      <c r="AM50" s="206">
        <v>68</v>
      </c>
    </row>
    <row r="51" spans="8:39" x14ac:dyDescent="0.2">
      <c r="H51" s="68"/>
      <c r="I51" s="68"/>
      <c r="L51"/>
      <c r="M51"/>
      <c r="S51" s="68"/>
      <c r="T51" s="68"/>
      <c r="U51" s="68"/>
      <c r="V51" s="68"/>
      <c r="AA51"/>
      <c r="AB51"/>
      <c r="AC51"/>
      <c r="AD51"/>
      <c r="AF51" s="208" t="s">
        <v>1147</v>
      </c>
      <c r="AG51" s="206">
        <v>140</v>
      </c>
      <c r="AH51" s="206">
        <v>93</v>
      </c>
      <c r="AI51" s="206">
        <v>46</v>
      </c>
      <c r="AJ51" s="206"/>
      <c r="AK51" s="206"/>
      <c r="AL51" s="206">
        <v>26</v>
      </c>
      <c r="AM51" s="206">
        <v>9</v>
      </c>
    </row>
    <row r="52" spans="8:39" x14ac:dyDescent="0.2">
      <c r="H52" s="68"/>
      <c r="I52" s="68"/>
      <c r="L52"/>
      <c r="M52"/>
      <c r="S52" s="68"/>
      <c r="T52" s="68"/>
      <c r="U52" s="68"/>
      <c r="V52" s="68"/>
      <c r="AA52"/>
      <c r="AB52"/>
      <c r="AC52"/>
      <c r="AD52"/>
      <c r="AF52" s="208" t="s">
        <v>1148</v>
      </c>
      <c r="AG52" s="206">
        <v>140</v>
      </c>
      <c r="AH52" s="206">
        <v>93</v>
      </c>
      <c r="AI52" s="206">
        <v>46</v>
      </c>
      <c r="AJ52" s="206"/>
      <c r="AK52" s="206"/>
      <c r="AL52" s="206">
        <v>26</v>
      </c>
      <c r="AM52" s="206">
        <v>9</v>
      </c>
    </row>
    <row r="53" spans="8:39" x14ac:dyDescent="0.2">
      <c r="H53" s="68"/>
      <c r="I53" s="68"/>
      <c r="L53"/>
      <c r="M53"/>
      <c r="S53" s="68"/>
      <c r="T53" s="68"/>
      <c r="U53" s="68"/>
      <c r="V53" s="68"/>
      <c r="AA53"/>
      <c r="AB53"/>
      <c r="AC53"/>
      <c r="AD53"/>
      <c r="AF53" s="208" t="s">
        <v>1149</v>
      </c>
      <c r="AG53" s="206">
        <v>140</v>
      </c>
      <c r="AH53" s="206">
        <v>93</v>
      </c>
      <c r="AI53" s="206">
        <v>46</v>
      </c>
      <c r="AJ53" s="206"/>
      <c r="AK53" s="206"/>
      <c r="AL53" s="206">
        <v>25</v>
      </c>
      <c r="AM53" s="206">
        <v>8</v>
      </c>
    </row>
    <row r="54" spans="8:39" x14ac:dyDescent="0.2">
      <c r="H54" s="68"/>
      <c r="I54" s="68"/>
      <c r="L54"/>
      <c r="M54"/>
      <c r="S54" s="68"/>
      <c r="T54" s="68"/>
      <c r="U54" s="68"/>
      <c r="V54" s="68"/>
      <c r="AA54"/>
      <c r="AB54"/>
      <c r="AC54"/>
      <c r="AD54"/>
      <c r="AF54" s="208" t="s">
        <v>1150</v>
      </c>
      <c r="AG54" s="206">
        <v>140</v>
      </c>
      <c r="AH54" s="206">
        <v>93</v>
      </c>
      <c r="AI54" s="206">
        <v>46</v>
      </c>
      <c r="AJ54" s="206"/>
      <c r="AK54" s="206"/>
      <c r="AL54" s="206">
        <v>25</v>
      </c>
      <c r="AM54" s="206">
        <v>8</v>
      </c>
    </row>
    <row r="55" spans="8:39" x14ac:dyDescent="0.2">
      <c r="H55" s="68"/>
      <c r="I55" s="68"/>
      <c r="L55"/>
      <c r="M55"/>
      <c r="S55" s="68"/>
      <c r="T55" s="68"/>
      <c r="U55" s="68"/>
      <c r="V55" s="68"/>
      <c r="AA55"/>
      <c r="AB55"/>
      <c r="AC55"/>
      <c r="AD55"/>
      <c r="AF55" s="205" t="s">
        <v>84</v>
      </c>
      <c r="AG55" s="206">
        <v>6300</v>
      </c>
      <c r="AH55" s="206">
        <v>4185</v>
      </c>
      <c r="AI55" s="206">
        <v>2070</v>
      </c>
      <c r="AJ55" s="206"/>
      <c r="AK55" s="206"/>
      <c r="AL55" s="206">
        <v>4507</v>
      </c>
      <c r="AM55" s="206">
        <v>3503</v>
      </c>
    </row>
    <row r="56" spans="8:39" x14ac:dyDescent="0.2">
      <c r="H56" s="68"/>
      <c r="I56" s="68"/>
      <c r="L56"/>
      <c r="M56"/>
      <c r="S56" s="68"/>
      <c r="T56" s="68"/>
      <c r="U56" s="68"/>
      <c r="V56" s="68"/>
      <c r="AA56"/>
      <c r="AB56"/>
      <c r="AC56"/>
      <c r="AD56"/>
    </row>
    <row r="57" spans="8:39" x14ac:dyDescent="0.2">
      <c r="H57" s="68"/>
      <c r="I57" s="68"/>
      <c r="L57"/>
      <c r="M57"/>
      <c r="S57" s="68"/>
      <c r="T57" s="68"/>
      <c r="U57" s="68"/>
      <c r="V57" s="68"/>
      <c r="AA57"/>
      <c r="AB57"/>
      <c r="AC57"/>
      <c r="AD57"/>
    </row>
    <row r="58" spans="8:39" x14ac:dyDescent="0.2">
      <c r="H58" s="68"/>
      <c r="I58" s="68"/>
      <c r="L58"/>
      <c r="M58"/>
      <c r="S58" s="68"/>
      <c r="T58" s="68"/>
      <c r="U58" s="68"/>
      <c r="V58" s="68"/>
      <c r="AA58"/>
      <c r="AB58"/>
      <c r="AC58"/>
      <c r="AD58"/>
    </row>
    <row r="59" spans="8:39" x14ac:dyDescent="0.2">
      <c r="H59" s="68"/>
      <c r="I59" s="68"/>
      <c r="L59"/>
      <c r="M59"/>
      <c r="S59" s="68"/>
      <c r="T59" s="68"/>
      <c r="U59" s="68"/>
      <c r="V59" s="68"/>
      <c r="AA59"/>
      <c r="AB59"/>
      <c r="AC59"/>
      <c r="AD59"/>
    </row>
    <row r="60" spans="8:39" x14ac:dyDescent="0.2">
      <c r="H60" s="68"/>
      <c r="I60" s="68"/>
      <c r="L60"/>
      <c r="M60"/>
      <c r="S60" s="68"/>
      <c r="T60" s="68"/>
      <c r="U60" s="68"/>
      <c r="V60" s="68"/>
      <c r="AA60"/>
      <c r="AB60"/>
      <c r="AC60"/>
      <c r="AD60"/>
    </row>
    <row r="61" spans="8:39" x14ac:dyDescent="0.2">
      <c r="H61" s="68"/>
      <c r="I61" s="68"/>
      <c r="L61"/>
      <c r="M61"/>
      <c r="S61" s="68"/>
      <c r="T61" s="68"/>
      <c r="U61" s="68"/>
      <c r="V61" s="68"/>
      <c r="AA61"/>
      <c r="AB61"/>
      <c r="AC61"/>
      <c r="AD61"/>
    </row>
    <row r="62" spans="8:39" x14ac:dyDescent="0.2">
      <c r="H62" s="68"/>
      <c r="I62" s="68"/>
      <c r="L62"/>
      <c r="M62"/>
      <c r="S62" s="68"/>
      <c r="T62" s="68"/>
      <c r="U62" s="68"/>
      <c r="V62" s="68"/>
      <c r="AA62"/>
      <c r="AB62"/>
      <c r="AC62"/>
      <c r="AD62"/>
    </row>
    <row r="63" spans="8:39" x14ac:dyDescent="0.2">
      <c r="H63" s="68"/>
      <c r="I63" s="68"/>
      <c r="L63"/>
      <c r="M63"/>
      <c r="S63" s="68"/>
      <c r="T63" s="68"/>
      <c r="U63" s="68"/>
      <c r="V63" s="68"/>
      <c r="AA63"/>
      <c r="AB63"/>
      <c r="AC63"/>
      <c r="AD63"/>
    </row>
  </sheetData>
  <conditionalFormatting sqref="L5">
    <cfRule type="cellIs" dxfId="95" priority="77" operator="equal">
      <formula>0</formula>
    </cfRule>
  </conditionalFormatting>
  <conditionalFormatting sqref="L22">
    <cfRule type="expression" dxfId="94" priority="70">
      <formula>$AP$1="G"</formula>
    </cfRule>
    <cfRule type="expression" dxfId="93" priority="72">
      <formula>$AP$1="N"</formula>
    </cfRule>
    <cfRule type="expression" dxfId="92" priority="73">
      <formula>$AP$1="L"</formula>
    </cfRule>
    <cfRule type="expression" dxfId="91" priority="74">
      <formula>$AP$1="R"</formula>
    </cfRule>
    <cfRule type="expression" dxfId="90" priority="75">
      <formula>$AP$1="A"</formula>
    </cfRule>
    <cfRule type="expression" dxfId="89" priority="76">
      <formula>$AP$1="V"</formula>
    </cfRule>
  </conditionalFormatting>
  <conditionalFormatting sqref="L29">
    <cfRule type="expression" dxfId="88" priority="64">
      <formula>$AP$2="G"</formula>
    </cfRule>
    <cfRule type="expression" dxfId="87" priority="65">
      <formula>$AP$2="N"</formula>
    </cfRule>
    <cfRule type="expression" dxfId="86" priority="66">
      <formula>$AP$2="L"</formula>
    </cfRule>
    <cfRule type="expression" dxfId="85" priority="67">
      <formula>$AP$2="R"</formula>
    </cfRule>
    <cfRule type="expression" dxfId="84" priority="68">
      <formula>$AP$2="A"</formula>
    </cfRule>
    <cfRule type="expression" dxfId="83" priority="69">
      <formula>$AP$2="V"</formula>
    </cfRule>
  </conditionalFormatting>
  <conditionalFormatting sqref="L30">
    <cfRule type="expression" dxfId="82" priority="63">
      <formula>$L$30=10000000000</formula>
    </cfRule>
  </conditionalFormatting>
  <conditionalFormatting sqref="O10">
    <cfRule type="expression" dxfId="81" priority="61">
      <formula>ConGDB&lt;ConBufferActual</formula>
    </cfRule>
    <cfRule type="expression" dxfId="80" priority="62">
      <formula>ConGDB&gt;ConBufferActual</formula>
    </cfRule>
  </conditionalFormatting>
  <conditionalFormatting sqref="O13">
    <cfRule type="expression" dxfId="79" priority="59">
      <formula>ConBufferCalcCB&lt;ConBufferActual</formula>
    </cfRule>
    <cfRule type="expression" dxfId="78" priority="60">
      <formula>ConBufferCalcCB&gt;ConBufferActual</formula>
    </cfRule>
  </conditionalFormatting>
  <conditionalFormatting sqref="M5">
    <cfRule type="cellIs" dxfId="77" priority="58" operator="equal">
      <formula>0</formula>
    </cfRule>
  </conditionalFormatting>
  <conditionalFormatting sqref="P13">
    <cfRule type="expression" dxfId="76" priority="56">
      <formula>ConBufferCalcUsuario&lt;ConBufferActual</formula>
    </cfRule>
    <cfRule type="expression" dxfId="75" priority="57">
      <formula>ConBufferCalcUsuario&gt;ConBufferActual</formula>
    </cfRule>
  </conditionalFormatting>
  <conditionalFormatting sqref="O15">
    <cfRule type="expression" dxfId="74" priority="54">
      <formula>$O$15=0</formula>
    </cfRule>
  </conditionalFormatting>
  <conditionalFormatting sqref="O18">
    <cfRule type="expression" dxfId="73" priority="53">
      <formula>$O$18=0</formula>
    </cfRule>
  </conditionalFormatting>
  <conditionalFormatting sqref="K13:K14 K33:K34 N8 N10:N11">
    <cfRule type="expression" dxfId="72" priority="51">
      <formula>COUNTIF(K8,"*/*")</formula>
    </cfRule>
    <cfRule type="expression" dxfId="71" priority="52">
      <formula>K8="*/*"</formula>
    </cfRule>
  </conditionalFormatting>
  <conditionalFormatting sqref="K15:K16">
    <cfRule type="expression" dxfId="70" priority="49">
      <formula>COUNTIF(K15,"*/*")</formula>
    </cfRule>
    <cfRule type="expression" dxfId="69" priority="50">
      <formula>K15="*/*"</formula>
    </cfRule>
  </conditionalFormatting>
  <conditionalFormatting sqref="K17:K19">
    <cfRule type="expression" dxfId="68" priority="47">
      <formula>COUNTIF(K17,"*/*")</formula>
    </cfRule>
    <cfRule type="expression" dxfId="67" priority="48">
      <formula>K17="*/*"</formula>
    </cfRule>
  </conditionalFormatting>
  <conditionalFormatting sqref="K4">
    <cfRule type="expression" dxfId="66" priority="45">
      <formula>COUNTIF(K4,"*/*")</formula>
    </cfRule>
    <cfRule type="expression" dxfId="65" priority="46">
      <formula>K4="*/*"</formula>
    </cfRule>
  </conditionalFormatting>
  <conditionalFormatting sqref="K5:K7">
    <cfRule type="expression" dxfId="64" priority="43">
      <formula>COUNTIF(K5,"*/*")</formula>
    </cfRule>
    <cfRule type="expression" dxfId="63" priority="44">
      <formula>K5="*/*"</formula>
    </cfRule>
  </conditionalFormatting>
  <conditionalFormatting sqref="N7">
    <cfRule type="expression" dxfId="62" priority="41">
      <formula>COUNTIF(N7,"*/*")</formula>
    </cfRule>
    <cfRule type="expression" dxfId="61" priority="42">
      <formula>N7="*/*"</formula>
    </cfRule>
  </conditionalFormatting>
  <conditionalFormatting sqref="K22:K29">
    <cfRule type="expression" dxfId="60" priority="39">
      <formula>COUNTIF(K22,"*/*")</formula>
    </cfRule>
    <cfRule type="expression" dxfId="59" priority="40">
      <formula>K22="*/*"</formula>
    </cfRule>
  </conditionalFormatting>
  <conditionalFormatting sqref="K30">
    <cfRule type="expression" dxfId="58" priority="37">
      <formula>COUNTIF(K30,"*/*")</formula>
    </cfRule>
    <cfRule type="expression" dxfId="57" priority="38">
      <formula>K30="*/*"</formula>
    </cfRule>
  </conditionalFormatting>
  <conditionalFormatting sqref="K3">
    <cfRule type="expression" dxfId="56" priority="33">
      <formula>COUNTIF(K3,"*/*")</formula>
    </cfRule>
    <cfRule type="expression" dxfId="55" priority="34">
      <formula>K3="*/*"</formula>
    </cfRule>
  </conditionalFormatting>
  <conditionalFormatting sqref="N14">
    <cfRule type="expression" dxfId="54" priority="31">
      <formula>COUNTIF(N14,"*/*")</formula>
    </cfRule>
    <cfRule type="expression" dxfId="53" priority="32">
      <formula>N14="*/*"</formula>
    </cfRule>
  </conditionalFormatting>
  <conditionalFormatting sqref="K32">
    <cfRule type="expression" dxfId="52" priority="29">
      <formula>COUNTIF(K32,"*/*")</formula>
    </cfRule>
    <cfRule type="expression" dxfId="51" priority="30">
      <formula>K32="*/*"</formula>
    </cfRule>
  </conditionalFormatting>
  <conditionalFormatting sqref="N21:N22">
    <cfRule type="expression" dxfId="50" priority="27">
      <formula>COUNTIF(N21,"*/*")</formula>
    </cfRule>
    <cfRule type="expression" dxfId="49" priority="28">
      <formula>N21="*/*"</formula>
    </cfRule>
  </conditionalFormatting>
  <conditionalFormatting sqref="N18">
    <cfRule type="expression" dxfId="48" priority="25">
      <formula>COUNTIF(N18,"*/*")</formula>
    </cfRule>
    <cfRule type="expression" dxfId="47" priority="26">
      <formula>N18="*/*"</formula>
    </cfRule>
  </conditionalFormatting>
  <conditionalFormatting sqref="N19:N20">
    <cfRule type="expression" dxfId="46" priority="23">
      <formula>COUNTIF(N19,"*/*")</formula>
    </cfRule>
    <cfRule type="expression" dxfId="45" priority="24">
      <formula>N19="*/*"</formula>
    </cfRule>
  </conditionalFormatting>
  <conditionalFormatting sqref="N25:N27">
    <cfRule type="expression" dxfId="44" priority="21">
      <formula>COUNTIF(N25,"*/*")</formula>
    </cfRule>
    <cfRule type="expression" dxfId="43" priority="22">
      <formula>N25="*/*"</formula>
    </cfRule>
  </conditionalFormatting>
  <conditionalFormatting sqref="N15">
    <cfRule type="expression" dxfId="42" priority="19">
      <formula>COUNTIF(N15,"*/*")</formula>
    </cfRule>
    <cfRule type="expression" dxfId="41" priority="20">
      <formula>N15="*/*"</formula>
    </cfRule>
  </conditionalFormatting>
  <conditionalFormatting sqref="N28">
    <cfRule type="expression" dxfId="40" priority="15">
      <formula>COUNTIF(N28,"*/*")</formula>
    </cfRule>
    <cfRule type="expression" dxfId="39" priority="16">
      <formula>N28="*/*"</formula>
    </cfRule>
  </conditionalFormatting>
  <conditionalFormatting sqref="N13">
    <cfRule type="expression" dxfId="38" priority="13">
      <formula>COUNTIF(N13,"*/*")</formula>
    </cfRule>
    <cfRule type="expression" dxfId="37" priority="14">
      <formula>N13="*/*"</formula>
    </cfRule>
  </conditionalFormatting>
  <conditionalFormatting sqref="N29:N30">
    <cfRule type="expression" dxfId="36" priority="11">
      <formula>COUNTIF(N29,"*/*")</formula>
    </cfRule>
    <cfRule type="expression" dxfId="35" priority="12">
      <formula>N29="*/*"</formula>
    </cfRule>
  </conditionalFormatting>
  <conditionalFormatting sqref="N12">
    <cfRule type="expression" dxfId="34" priority="9">
      <formula>COUNTIF(N12,"*/*")</formula>
    </cfRule>
    <cfRule type="expression" dxfId="33" priority="10">
      <formula>N12="*/*"</formula>
    </cfRule>
  </conditionalFormatting>
  <conditionalFormatting sqref="K31">
    <cfRule type="expression" dxfId="32" priority="7">
      <formula>COUNTIF(K31,"*/*")</formula>
    </cfRule>
    <cfRule type="expression" dxfId="31" priority="8">
      <formula>K31="*/*"</formula>
    </cfRule>
  </conditionalFormatting>
  <conditionalFormatting sqref="K35">
    <cfRule type="expression" dxfId="30" priority="5">
      <formula>COUNTIF(K35,"*/*")</formula>
    </cfRule>
    <cfRule type="expression" dxfId="29" priority="6">
      <formula>K35="*/*"</formula>
    </cfRule>
  </conditionalFormatting>
  <conditionalFormatting sqref="K36">
    <cfRule type="expression" dxfId="28" priority="3">
      <formula>COUNTIF(K36,"*/*")</formula>
    </cfRule>
    <cfRule type="expression" dxfId="27" priority="4">
      <formula>K36="*/*"</formula>
    </cfRule>
  </conditionalFormatting>
  <conditionalFormatting sqref="N9">
    <cfRule type="expression" dxfId="26" priority="1">
      <formula>COUNTIF(N9,"*/*")</formula>
    </cfRule>
    <cfRule type="expression" dxfId="25" priority="2">
      <formula>N9="*/*"</formula>
    </cfRule>
  </conditionalFormatting>
  <pageMargins left="0.7" right="0.7" top="0.75" bottom="0.75" header="0.3" footer="0.3"/>
  <pageSetup orientation="portrait" r:id="rId4"/>
  <drawing r:id="rId5"/>
  <legacyDrawing r:id="rId6"/>
  <controls>
    <mc:AlternateContent xmlns:mc="http://schemas.openxmlformats.org/markup-compatibility/2006">
      <mc:Choice Requires="x14">
        <control shapeId="2050" r:id="rId7" name="cmdRefrescarDatos">
          <controlPr defaultSize="0" autoLine="0" r:id="rId8">
            <anchor moveWithCells="1">
              <from>
                <xdr:col>10</xdr:col>
                <xdr:colOff>752475</xdr:colOff>
                <xdr:row>0</xdr:row>
                <xdr:rowOff>9525</xdr:rowOff>
              </from>
              <to>
                <xdr:col>10</xdr:col>
                <xdr:colOff>1476375</xdr:colOff>
                <xdr:row>1</xdr:row>
                <xdr:rowOff>19050</xdr:rowOff>
              </to>
            </anchor>
          </controlPr>
        </control>
      </mc:Choice>
      <mc:Fallback>
        <control shapeId="2050" r:id="rId7" name="cmdRefrescarDatos"/>
      </mc:Fallback>
    </mc:AlternateContent>
    <mc:AlternateContent xmlns:mc="http://schemas.openxmlformats.org/markup-compatibility/2006">
      <mc:Choice Requires="x14">
        <control shapeId="2049" r:id="rId9" name="cmdVolver">
          <controlPr defaultSize="0" autoLine="0" r:id="rId10">
            <anchor moveWithCells="1">
              <from>
                <xdr:col>9</xdr:col>
                <xdr:colOff>1419225</xdr:colOff>
                <xdr:row>0</xdr:row>
                <xdr:rowOff>0</xdr:rowOff>
              </from>
              <to>
                <xdr:col>10</xdr:col>
                <xdr:colOff>781050</xdr:colOff>
                <xdr:row>1</xdr:row>
                <xdr:rowOff>0</xdr:rowOff>
              </to>
            </anchor>
          </controlPr>
        </control>
      </mc:Choice>
      <mc:Fallback>
        <control shapeId="2049" r:id="rId9" name="cmdVolver"/>
      </mc:Fallback>
    </mc:AlternateContent>
  </control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tabColor rgb="FF7030A0"/>
  </sheetPr>
  <dimension ref="A1:M14109"/>
  <sheetViews>
    <sheetView showGridLines="0" workbookViewId="0">
      <selection activeCell="K2" sqref="K2:K46"/>
    </sheetView>
  </sheetViews>
  <sheetFormatPr baseColWidth="10" defaultColWidth="11.42578125" defaultRowHeight="12.75" x14ac:dyDescent="0.2"/>
  <cols>
    <col min="1" max="1" width="10.28515625" bestFit="1" customWidth="1"/>
    <col min="5" max="5" width="11.42578125" style="68"/>
  </cols>
  <sheetData>
    <row r="1" spans="1:13" ht="16.5" customHeight="1" x14ac:dyDescent="0.2">
      <c r="A1" s="14" t="s">
        <v>32</v>
      </c>
      <c r="B1" s="1" t="s">
        <v>79</v>
      </c>
      <c r="C1" s="1" t="s">
        <v>80</v>
      </c>
      <c r="D1" s="1" t="s">
        <v>81</v>
      </c>
      <c r="E1" s="1" t="s">
        <v>82</v>
      </c>
      <c r="F1" s="1" t="s">
        <v>369</v>
      </c>
      <c r="G1" t="s">
        <v>15</v>
      </c>
      <c r="H1" s="14" t="s">
        <v>83</v>
      </c>
      <c r="I1" s="1" t="s">
        <v>384</v>
      </c>
      <c r="J1" s="1" t="s">
        <v>385</v>
      </c>
      <c r="K1" s="14" t="s">
        <v>231</v>
      </c>
    </row>
    <row r="2" spans="1:13" ht="15.75" customHeight="1" x14ac:dyDescent="0.2">
      <c r="A2" s="85" t="s">
        <v>739</v>
      </c>
      <c r="B2" s="68" t="s">
        <v>929</v>
      </c>
      <c r="C2">
        <v>140</v>
      </c>
      <c r="D2" s="50">
        <v>43169</v>
      </c>
      <c r="E2" s="13">
        <v>93</v>
      </c>
      <c r="F2" s="13">
        <v>141</v>
      </c>
      <c r="G2" s="13">
        <v>93</v>
      </c>
      <c r="H2" s="13">
        <v>46</v>
      </c>
      <c r="I2" s="13"/>
      <c r="J2" s="13"/>
      <c r="K2" s="85"/>
      <c r="L2" s="1"/>
      <c r="M2" s="1"/>
    </row>
    <row r="3" spans="1:13" ht="16.5" customHeight="1" x14ac:dyDescent="0.2">
      <c r="A3" s="13" t="s">
        <v>739</v>
      </c>
      <c r="B3" t="s">
        <v>929</v>
      </c>
      <c r="C3">
        <v>140</v>
      </c>
      <c r="D3" s="88">
        <v>43170</v>
      </c>
      <c r="E3" s="13">
        <v>93</v>
      </c>
      <c r="F3" s="13">
        <v>141</v>
      </c>
      <c r="G3" s="13">
        <v>93</v>
      </c>
      <c r="H3" s="13">
        <v>46</v>
      </c>
      <c r="I3" s="13"/>
      <c r="J3" s="13"/>
      <c r="K3" s="13"/>
      <c r="L3" s="12"/>
      <c r="M3" s="13"/>
    </row>
    <row r="4" spans="1:13" x14ac:dyDescent="0.2">
      <c r="A4" s="13" t="s">
        <v>739</v>
      </c>
      <c r="B4" t="s">
        <v>929</v>
      </c>
      <c r="C4">
        <v>140</v>
      </c>
      <c r="D4" s="88">
        <v>43171</v>
      </c>
      <c r="E4" s="13">
        <v>93</v>
      </c>
      <c r="F4" s="13">
        <v>141</v>
      </c>
      <c r="G4" s="13">
        <v>93</v>
      </c>
      <c r="H4" s="13">
        <v>46</v>
      </c>
      <c r="I4" s="13"/>
      <c r="J4" s="13"/>
      <c r="K4" s="13"/>
      <c r="L4" s="12"/>
      <c r="M4" s="13"/>
    </row>
    <row r="5" spans="1:13" x14ac:dyDescent="0.2">
      <c r="A5" s="13" t="s">
        <v>739</v>
      </c>
      <c r="B5" t="s">
        <v>929</v>
      </c>
      <c r="C5">
        <v>140</v>
      </c>
      <c r="D5" s="88">
        <v>43172</v>
      </c>
      <c r="E5" s="13">
        <v>93</v>
      </c>
      <c r="F5" s="13">
        <v>141</v>
      </c>
      <c r="G5" s="13">
        <v>93</v>
      </c>
      <c r="H5" s="13">
        <v>46</v>
      </c>
      <c r="I5" s="13"/>
      <c r="J5" s="13"/>
      <c r="K5" s="13"/>
      <c r="L5" s="12"/>
      <c r="M5" s="13"/>
    </row>
    <row r="6" spans="1:13" x14ac:dyDescent="0.2">
      <c r="A6" s="13" t="s">
        <v>739</v>
      </c>
      <c r="B6" t="s">
        <v>929</v>
      </c>
      <c r="C6">
        <v>140</v>
      </c>
      <c r="D6" s="88">
        <v>43173</v>
      </c>
      <c r="E6" s="13">
        <v>93</v>
      </c>
      <c r="F6" s="13">
        <v>141</v>
      </c>
      <c r="G6" s="13">
        <v>93</v>
      </c>
      <c r="H6" s="13">
        <v>46</v>
      </c>
      <c r="I6" s="13"/>
      <c r="J6" s="13"/>
      <c r="K6" s="13"/>
      <c r="L6" s="12"/>
      <c r="M6" s="13"/>
    </row>
    <row r="7" spans="1:13" x14ac:dyDescent="0.2">
      <c r="A7" s="13" t="s">
        <v>739</v>
      </c>
      <c r="B7" t="s">
        <v>929</v>
      </c>
      <c r="C7">
        <v>140</v>
      </c>
      <c r="D7" s="88">
        <v>43174</v>
      </c>
      <c r="E7" s="13">
        <v>93</v>
      </c>
      <c r="F7" s="13">
        <v>141</v>
      </c>
      <c r="G7" s="13">
        <v>93</v>
      </c>
      <c r="H7" s="13">
        <v>46</v>
      </c>
      <c r="I7" s="13"/>
      <c r="J7" s="13"/>
      <c r="K7" s="13"/>
      <c r="L7" s="12"/>
      <c r="M7" s="13"/>
    </row>
    <row r="8" spans="1:13" x14ac:dyDescent="0.2">
      <c r="A8" s="13" t="s">
        <v>739</v>
      </c>
      <c r="B8" t="s">
        <v>929</v>
      </c>
      <c r="C8">
        <v>140</v>
      </c>
      <c r="D8" s="88">
        <v>43175</v>
      </c>
      <c r="E8" s="13">
        <v>93</v>
      </c>
      <c r="F8" s="13">
        <v>158</v>
      </c>
      <c r="G8" s="13">
        <v>93</v>
      </c>
      <c r="H8" s="13">
        <v>46</v>
      </c>
      <c r="I8" s="13"/>
      <c r="J8" s="13"/>
      <c r="K8" s="13"/>
      <c r="L8" s="12"/>
      <c r="M8" s="13"/>
    </row>
    <row r="9" spans="1:13" x14ac:dyDescent="0.2">
      <c r="A9" s="13" t="s">
        <v>739</v>
      </c>
      <c r="B9" t="s">
        <v>929</v>
      </c>
      <c r="C9">
        <v>140</v>
      </c>
      <c r="D9" s="88">
        <v>43176</v>
      </c>
      <c r="E9" s="13">
        <v>90</v>
      </c>
      <c r="F9" s="13">
        <v>155</v>
      </c>
      <c r="G9" s="13">
        <v>93</v>
      </c>
      <c r="H9" s="13">
        <v>46</v>
      </c>
      <c r="I9" s="13"/>
      <c r="J9" s="13"/>
      <c r="K9" s="13"/>
      <c r="L9" s="12"/>
      <c r="M9" s="13"/>
    </row>
    <row r="10" spans="1:13" x14ac:dyDescent="0.2">
      <c r="A10" s="13" t="s">
        <v>739</v>
      </c>
      <c r="B10" t="s">
        <v>929</v>
      </c>
      <c r="C10">
        <v>140</v>
      </c>
      <c r="D10" s="88">
        <v>43177</v>
      </c>
      <c r="E10" s="13">
        <v>90</v>
      </c>
      <c r="F10" s="13">
        <v>155</v>
      </c>
      <c r="G10" s="13">
        <v>93</v>
      </c>
      <c r="H10" s="13">
        <v>46</v>
      </c>
      <c r="I10" s="13"/>
      <c r="J10" s="13"/>
      <c r="K10" s="13"/>
      <c r="L10" s="12"/>
      <c r="M10" s="13"/>
    </row>
    <row r="11" spans="1:13" x14ac:dyDescent="0.2">
      <c r="A11" s="13" t="s">
        <v>739</v>
      </c>
      <c r="B11" t="s">
        <v>929</v>
      </c>
      <c r="C11">
        <v>140</v>
      </c>
      <c r="D11" s="88">
        <v>43178</v>
      </c>
      <c r="E11" s="13">
        <v>90</v>
      </c>
      <c r="F11" s="13">
        <v>155</v>
      </c>
      <c r="G11" s="13">
        <v>93</v>
      </c>
      <c r="H11" s="13">
        <v>46</v>
      </c>
      <c r="I11" s="13"/>
      <c r="J11" s="13"/>
      <c r="K11" s="13"/>
      <c r="L11" s="12"/>
      <c r="M11" s="13"/>
    </row>
    <row r="12" spans="1:13" x14ac:dyDescent="0.2">
      <c r="A12" s="13" t="s">
        <v>739</v>
      </c>
      <c r="B12" t="s">
        <v>929</v>
      </c>
      <c r="C12">
        <v>140</v>
      </c>
      <c r="D12" s="88">
        <v>43179</v>
      </c>
      <c r="E12" s="13">
        <v>87</v>
      </c>
      <c r="F12" s="13">
        <v>152</v>
      </c>
      <c r="G12" s="13">
        <v>93</v>
      </c>
      <c r="H12" s="13">
        <v>46</v>
      </c>
      <c r="I12" s="13"/>
      <c r="J12" s="13"/>
      <c r="K12" s="13"/>
      <c r="L12" s="12"/>
      <c r="M12" s="13"/>
    </row>
    <row r="13" spans="1:13" x14ac:dyDescent="0.2">
      <c r="A13" s="13" t="s">
        <v>739</v>
      </c>
      <c r="B13" t="s">
        <v>929</v>
      </c>
      <c r="C13">
        <v>140</v>
      </c>
      <c r="D13" s="88">
        <v>43180</v>
      </c>
      <c r="E13" s="13">
        <v>87</v>
      </c>
      <c r="F13" s="13">
        <v>104</v>
      </c>
      <c r="G13" s="13">
        <v>93</v>
      </c>
      <c r="H13" s="13">
        <v>46</v>
      </c>
      <c r="I13" s="13"/>
      <c r="J13" s="13"/>
      <c r="K13" s="13"/>
      <c r="L13" s="12"/>
      <c r="M13" s="13"/>
    </row>
    <row r="14" spans="1:13" x14ac:dyDescent="0.2">
      <c r="A14" s="13" t="s">
        <v>739</v>
      </c>
      <c r="B14" t="s">
        <v>929</v>
      </c>
      <c r="C14">
        <v>140</v>
      </c>
      <c r="D14" s="88">
        <v>43182</v>
      </c>
      <c r="E14" s="13">
        <v>117</v>
      </c>
      <c r="F14" s="13">
        <v>117</v>
      </c>
      <c r="G14" s="13">
        <v>93</v>
      </c>
      <c r="H14" s="13">
        <v>46</v>
      </c>
      <c r="I14" s="13"/>
      <c r="J14" s="13"/>
      <c r="K14" s="13"/>
      <c r="L14" s="12"/>
      <c r="M14" s="13"/>
    </row>
    <row r="15" spans="1:13" x14ac:dyDescent="0.2">
      <c r="A15" s="13" t="s">
        <v>739</v>
      </c>
      <c r="B15" t="s">
        <v>929</v>
      </c>
      <c r="C15">
        <v>140</v>
      </c>
      <c r="D15" s="88">
        <v>43183</v>
      </c>
      <c r="E15" s="13">
        <v>117</v>
      </c>
      <c r="F15" s="13">
        <v>117</v>
      </c>
      <c r="G15" s="13">
        <v>93</v>
      </c>
      <c r="H15" s="13">
        <v>46</v>
      </c>
      <c r="I15" s="13"/>
      <c r="J15" s="13"/>
      <c r="K15" s="13"/>
      <c r="L15" s="12"/>
      <c r="M15" s="13"/>
    </row>
    <row r="16" spans="1:13" x14ac:dyDescent="0.2">
      <c r="A16" s="13" t="s">
        <v>739</v>
      </c>
      <c r="B16" t="s">
        <v>929</v>
      </c>
      <c r="C16">
        <v>140</v>
      </c>
      <c r="D16" s="88">
        <v>43184</v>
      </c>
      <c r="E16" s="13">
        <v>117</v>
      </c>
      <c r="F16" s="13">
        <v>117</v>
      </c>
      <c r="G16" s="13">
        <v>93</v>
      </c>
      <c r="H16" s="13">
        <v>46</v>
      </c>
      <c r="I16" s="13"/>
      <c r="J16" s="13"/>
      <c r="K16" s="13"/>
      <c r="L16" s="12"/>
      <c r="M16" s="13"/>
    </row>
    <row r="17" spans="1:13" x14ac:dyDescent="0.2">
      <c r="A17" s="13" t="s">
        <v>739</v>
      </c>
      <c r="B17" t="s">
        <v>929</v>
      </c>
      <c r="C17">
        <v>140</v>
      </c>
      <c r="D17" s="88">
        <v>43185</v>
      </c>
      <c r="E17" s="13">
        <v>117</v>
      </c>
      <c r="F17" s="13">
        <v>117</v>
      </c>
      <c r="G17" s="13">
        <v>93</v>
      </c>
      <c r="H17" s="13">
        <v>46</v>
      </c>
      <c r="I17" s="13"/>
      <c r="J17" s="13"/>
      <c r="K17" s="13"/>
      <c r="L17" s="12"/>
      <c r="M17" s="13"/>
    </row>
    <row r="18" spans="1:13" x14ac:dyDescent="0.2">
      <c r="A18" s="13" t="s">
        <v>739</v>
      </c>
      <c r="B18" t="s">
        <v>929</v>
      </c>
      <c r="C18">
        <v>140</v>
      </c>
      <c r="D18" s="88">
        <v>43186</v>
      </c>
      <c r="E18" s="13">
        <v>112</v>
      </c>
      <c r="F18" s="13">
        <v>112</v>
      </c>
      <c r="G18" s="13">
        <v>93</v>
      </c>
      <c r="H18" s="13">
        <v>46</v>
      </c>
      <c r="I18" s="13"/>
      <c r="J18" s="13"/>
      <c r="K18" s="13"/>
      <c r="L18" s="12"/>
      <c r="M18" s="13"/>
    </row>
    <row r="19" spans="1:13" x14ac:dyDescent="0.2">
      <c r="A19" s="13" t="s">
        <v>739</v>
      </c>
      <c r="B19" t="s">
        <v>929</v>
      </c>
      <c r="C19">
        <v>140</v>
      </c>
      <c r="D19" s="88">
        <v>43187</v>
      </c>
      <c r="E19" s="13">
        <v>101</v>
      </c>
      <c r="F19" s="13">
        <v>101</v>
      </c>
      <c r="G19" s="13">
        <v>93</v>
      </c>
      <c r="H19" s="13">
        <v>46</v>
      </c>
      <c r="I19" s="13"/>
      <c r="J19" s="13"/>
      <c r="K19" s="13"/>
      <c r="L19" s="12"/>
      <c r="M19" s="13"/>
    </row>
    <row r="20" spans="1:13" x14ac:dyDescent="0.2">
      <c r="A20" s="13" t="s">
        <v>739</v>
      </c>
      <c r="B20" t="s">
        <v>929</v>
      </c>
      <c r="C20">
        <v>140</v>
      </c>
      <c r="D20" s="88">
        <v>43188</v>
      </c>
      <c r="E20" s="13">
        <v>95</v>
      </c>
      <c r="F20" s="13">
        <v>95</v>
      </c>
      <c r="G20" s="13">
        <v>93</v>
      </c>
      <c r="H20" s="13">
        <v>46</v>
      </c>
      <c r="I20" s="13"/>
      <c r="J20" s="13"/>
      <c r="K20" s="13"/>
      <c r="L20" s="12"/>
      <c r="M20" s="13"/>
    </row>
    <row r="21" spans="1:13" x14ac:dyDescent="0.2">
      <c r="A21" s="13" t="s">
        <v>739</v>
      </c>
      <c r="B21" t="s">
        <v>929</v>
      </c>
      <c r="C21">
        <v>140</v>
      </c>
      <c r="D21" s="88">
        <v>43189</v>
      </c>
      <c r="E21" s="13">
        <v>94</v>
      </c>
      <c r="F21" s="13">
        <v>94</v>
      </c>
      <c r="G21" s="13">
        <v>93</v>
      </c>
      <c r="H21" s="13">
        <v>46</v>
      </c>
      <c r="I21" s="13"/>
      <c r="J21" s="13"/>
      <c r="K21" s="13"/>
      <c r="L21" s="12"/>
      <c r="M21" s="13"/>
    </row>
    <row r="22" spans="1:13" x14ac:dyDescent="0.2">
      <c r="A22" s="13" t="s">
        <v>739</v>
      </c>
      <c r="B22" t="s">
        <v>929</v>
      </c>
      <c r="C22">
        <v>140</v>
      </c>
      <c r="D22" s="88">
        <v>43192</v>
      </c>
      <c r="E22" s="13">
        <v>94</v>
      </c>
      <c r="F22" s="13">
        <v>94</v>
      </c>
      <c r="G22" s="13">
        <v>93</v>
      </c>
      <c r="H22" s="13">
        <v>46</v>
      </c>
      <c r="I22" s="13"/>
      <c r="J22" s="13"/>
      <c r="K22" s="13"/>
      <c r="L22" s="12"/>
      <c r="M22" s="13"/>
    </row>
    <row r="23" spans="1:13" x14ac:dyDescent="0.2">
      <c r="A23" s="13" t="s">
        <v>739</v>
      </c>
      <c r="B23" t="s">
        <v>929</v>
      </c>
      <c r="C23">
        <v>140</v>
      </c>
      <c r="D23" s="88">
        <v>43193</v>
      </c>
      <c r="E23" s="13">
        <v>93</v>
      </c>
      <c r="F23" s="13">
        <v>93</v>
      </c>
      <c r="G23" s="13">
        <v>93</v>
      </c>
      <c r="H23" s="13">
        <v>46</v>
      </c>
      <c r="I23" s="13"/>
      <c r="J23" s="13"/>
      <c r="K23" s="13"/>
      <c r="L23" s="12"/>
      <c r="M23" s="13"/>
    </row>
    <row r="24" spans="1:13" x14ac:dyDescent="0.2">
      <c r="A24" s="13" t="s">
        <v>739</v>
      </c>
      <c r="B24" t="s">
        <v>929</v>
      </c>
      <c r="C24">
        <v>140</v>
      </c>
      <c r="D24" s="88">
        <v>43194</v>
      </c>
      <c r="E24" s="13">
        <v>74</v>
      </c>
      <c r="F24" s="13">
        <v>74</v>
      </c>
      <c r="G24" s="13">
        <v>93</v>
      </c>
      <c r="H24" s="13">
        <v>46</v>
      </c>
      <c r="I24" s="13"/>
      <c r="J24" s="13"/>
      <c r="K24" s="13"/>
      <c r="L24" s="12"/>
      <c r="M24" s="13"/>
    </row>
    <row r="25" spans="1:13" x14ac:dyDescent="0.2">
      <c r="A25" s="13" t="s">
        <v>739</v>
      </c>
      <c r="B25" t="s">
        <v>929</v>
      </c>
      <c r="C25">
        <v>140</v>
      </c>
      <c r="D25" s="88">
        <v>43195</v>
      </c>
      <c r="E25" s="13">
        <v>74</v>
      </c>
      <c r="F25" s="13">
        <v>91</v>
      </c>
      <c r="G25" s="13">
        <v>93</v>
      </c>
      <c r="H25" s="13">
        <v>46</v>
      </c>
      <c r="I25" s="13"/>
      <c r="J25" s="13"/>
      <c r="K25" s="13"/>
      <c r="L25" s="12"/>
      <c r="M25" s="13"/>
    </row>
    <row r="26" spans="1:13" x14ac:dyDescent="0.2">
      <c r="A26" s="13" t="s">
        <v>739</v>
      </c>
      <c r="B26" t="s">
        <v>929</v>
      </c>
      <c r="C26">
        <v>140</v>
      </c>
      <c r="D26" s="88">
        <v>43196</v>
      </c>
      <c r="E26" s="13">
        <v>74</v>
      </c>
      <c r="F26" s="13">
        <v>91</v>
      </c>
      <c r="G26" s="13">
        <v>93</v>
      </c>
      <c r="H26" s="13">
        <v>46</v>
      </c>
      <c r="I26" s="13"/>
      <c r="J26" s="13"/>
      <c r="K26" s="13"/>
      <c r="L26" s="12"/>
      <c r="M26" s="13"/>
    </row>
    <row r="27" spans="1:13" x14ac:dyDescent="0.2">
      <c r="A27" s="13" t="s">
        <v>739</v>
      </c>
      <c r="B27" t="s">
        <v>929</v>
      </c>
      <c r="C27">
        <v>140</v>
      </c>
      <c r="D27" s="88">
        <v>43199</v>
      </c>
      <c r="E27" s="13">
        <v>72</v>
      </c>
      <c r="F27" s="13">
        <v>89</v>
      </c>
      <c r="G27" s="13">
        <v>93</v>
      </c>
      <c r="H27" s="13">
        <v>46</v>
      </c>
      <c r="I27" s="13"/>
      <c r="J27" s="13"/>
      <c r="K27" s="13"/>
      <c r="L27" s="12"/>
      <c r="M27" s="13"/>
    </row>
    <row r="28" spans="1:13" x14ac:dyDescent="0.2">
      <c r="A28" s="13" t="s">
        <v>739</v>
      </c>
      <c r="B28" t="s">
        <v>929</v>
      </c>
      <c r="C28">
        <v>140</v>
      </c>
      <c r="D28" s="88">
        <v>43200</v>
      </c>
      <c r="E28" s="13">
        <v>69</v>
      </c>
      <c r="F28" s="13">
        <v>86</v>
      </c>
      <c r="G28" s="13">
        <v>93</v>
      </c>
      <c r="H28" s="13">
        <v>46</v>
      </c>
      <c r="I28" s="13"/>
      <c r="J28" s="13"/>
      <c r="K28" s="13"/>
      <c r="L28" s="12"/>
      <c r="M28" s="13"/>
    </row>
    <row r="29" spans="1:13" x14ac:dyDescent="0.2">
      <c r="A29" s="13" t="s">
        <v>739</v>
      </c>
      <c r="B29" t="s">
        <v>929</v>
      </c>
      <c r="C29">
        <v>140</v>
      </c>
      <c r="D29" s="88">
        <v>43201</v>
      </c>
      <c r="E29" s="13">
        <v>69</v>
      </c>
      <c r="F29" s="13">
        <v>86</v>
      </c>
      <c r="G29" s="13">
        <v>93</v>
      </c>
      <c r="H29" s="13">
        <v>46</v>
      </c>
      <c r="I29" s="13"/>
      <c r="J29" s="13"/>
      <c r="K29" s="13"/>
      <c r="L29" s="12"/>
      <c r="M29" s="13"/>
    </row>
    <row r="30" spans="1:13" x14ac:dyDescent="0.2">
      <c r="A30" s="13" t="s">
        <v>739</v>
      </c>
      <c r="B30" t="s">
        <v>929</v>
      </c>
      <c r="C30">
        <v>140</v>
      </c>
      <c r="D30" s="88">
        <v>43202</v>
      </c>
      <c r="E30" s="13">
        <v>69</v>
      </c>
      <c r="F30" s="13">
        <v>86</v>
      </c>
      <c r="G30" s="13">
        <v>93</v>
      </c>
      <c r="H30" s="13">
        <v>46</v>
      </c>
      <c r="I30" s="13"/>
      <c r="J30" s="13"/>
      <c r="K30" s="13"/>
      <c r="L30" s="12"/>
      <c r="M30" s="13"/>
    </row>
    <row r="31" spans="1:13" x14ac:dyDescent="0.2">
      <c r="A31" s="13" t="s">
        <v>739</v>
      </c>
      <c r="B31" t="s">
        <v>929</v>
      </c>
      <c r="C31">
        <v>140</v>
      </c>
      <c r="D31" s="88">
        <v>43203</v>
      </c>
      <c r="E31" s="13">
        <v>68</v>
      </c>
      <c r="F31" s="13">
        <v>85</v>
      </c>
      <c r="G31" s="13">
        <v>93</v>
      </c>
      <c r="H31" s="13">
        <v>46</v>
      </c>
      <c r="I31" s="13"/>
      <c r="J31" s="13"/>
      <c r="K31" s="13"/>
      <c r="L31" s="12"/>
      <c r="M31" s="13"/>
    </row>
    <row r="32" spans="1:13" x14ac:dyDescent="0.2">
      <c r="A32" s="13" t="s">
        <v>739</v>
      </c>
      <c r="B32" t="s">
        <v>929</v>
      </c>
      <c r="C32">
        <v>140</v>
      </c>
      <c r="D32" s="88">
        <v>43207</v>
      </c>
      <c r="E32" s="13">
        <v>68</v>
      </c>
      <c r="F32" s="13">
        <v>85</v>
      </c>
      <c r="G32" s="13">
        <v>93</v>
      </c>
      <c r="H32" s="13">
        <v>46</v>
      </c>
      <c r="I32" s="13"/>
      <c r="J32" s="13"/>
      <c r="K32" s="13"/>
      <c r="L32" s="12"/>
      <c r="M32" s="13"/>
    </row>
    <row r="33" spans="1:13" x14ac:dyDescent="0.2">
      <c r="A33" s="13" t="s">
        <v>739</v>
      </c>
      <c r="B33" t="s">
        <v>929</v>
      </c>
      <c r="C33">
        <v>140</v>
      </c>
      <c r="D33" s="88">
        <v>43208</v>
      </c>
      <c r="E33" s="13">
        <v>68</v>
      </c>
      <c r="F33" s="13">
        <v>85</v>
      </c>
      <c r="G33" s="13">
        <v>93</v>
      </c>
      <c r="H33" s="13">
        <v>46</v>
      </c>
      <c r="I33" s="13"/>
      <c r="J33" s="13"/>
      <c r="K33" s="13"/>
      <c r="L33" s="12"/>
      <c r="M33" s="13"/>
    </row>
    <row r="34" spans="1:13" x14ac:dyDescent="0.2">
      <c r="A34" s="13" t="s">
        <v>739</v>
      </c>
      <c r="B34" t="s">
        <v>929</v>
      </c>
      <c r="C34">
        <v>140</v>
      </c>
      <c r="D34" s="88">
        <v>43209</v>
      </c>
      <c r="E34" s="13">
        <v>68</v>
      </c>
      <c r="F34" s="13">
        <v>85</v>
      </c>
      <c r="G34" s="13">
        <v>93</v>
      </c>
      <c r="H34" s="13">
        <v>46</v>
      </c>
      <c r="I34" s="13"/>
      <c r="J34" s="13"/>
      <c r="K34" s="13"/>
      <c r="L34" s="12"/>
      <c r="M34" s="13"/>
    </row>
    <row r="35" spans="1:13" x14ac:dyDescent="0.2">
      <c r="A35" s="13" t="s">
        <v>739</v>
      </c>
      <c r="B35" t="s">
        <v>929</v>
      </c>
      <c r="C35">
        <v>140</v>
      </c>
      <c r="D35" s="88">
        <v>43210</v>
      </c>
      <c r="E35" s="13">
        <v>68</v>
      </c>
      <c r="F35" s="13">
        <v>85</v>
      </c>
      <c r="G35" s="13">
        <v>93</v>
      </c>
      <c r="H35" s="13">
        <v>46</v>
      </c>
      <c r="I35" s="13"/>
      <c r="J35" s="13"/>
      <c r="K35" s="13"/>
      <c r="L35" s="12"/>
      <c r="M35" s="13"/>
    </row>
    <row r="36" spans="1:13" x14ac:dyDescent="0.2">
      <c r="A36" s="13" t="s">
        <v>739</v>
      </c>
      <c r="B36" t="s">
        <v>929</v>
      </c>
      <c r="C36">
        <v>140</v>
      </c>
      <c r="D36" s="88">
        <v>43211</v>
      </c>
      <c r="E36" s="13">
        <v>68</v>
      </c>
      <c r="F36" s="13">
        <v>85</v>
      </c>
      <c r="G36" s="13">
        <v>93</v>
      </c>
      <c r="H36" s="13">
        <v>46</v>
      </c>
      <c r="I36" s="13"/>
      <c r="J36" s="13"/>
      <c r="K36" s="13"/>
      <c r="L36" s="12"/>
      <c r="M36" s="13"/>
    </row>
    <row r="37" spans="1:13" x14ac:dyDescent="0.2">
      <c r="A37" s="13" t="s">
        <v>739</v>
      </c>
      <c r="B37" t="s">
        <v>929</v>
      </c>
      <c r="C37">
        <v>140</v>
      </c>
      <c r="D37" s="88">
        <v>43214</v>
      </c>
      <c r="E37" s="13">
        <v>68</v>
      </c>
      <c r="F37" s="13">
        <v>85</v>
      </c>
      <c r="G37" s="13">
        <v>93</v>
      </c>
      <c r="H37" s="13">
        <v>46</v>
      </c>
      <c r="I37" s="13"/>
      <c r="J37" s="13"/>
      <c r="K37" s="13"/>
      <c r="L37" s="12"/>
      <c r="M37" s="13"/>
    </row>
    <row r="38" spans="1:13" x14ac:dyDescent="0.2">
      <c r="A38" s="13" t="s">
        <v>739</v>
      </c>
      <c r="B38" t="s">
        <v>929</v>
      </c>
      <c r="C38">
        <v>140</v>
      </c>
      <c r="D38" s="88">
        <v>43215</v>
      </c>
      <c r="E38" s="13">
        <v>68</v>
      </c>
      <c r="F38" s="13">
        <v>85</v>
      </c>
      <c r="G38" s="13">
        <v>93</v>
      </c>
      <c r="H38" s="13">
        <v>46</v>
      </c>
      <c r="I38" s="13"/>
      <c r="J38" s="13"/>
      <c r="K38" s="13"/>
      <c r="L38" s="12"/>
      <c r="M38" s="13"/>
    </row>
    <row r="39" spans="1:13" x14ac:dyDescent="0.2">
      <c r="A39" s="13" t="s">
        <v>739</v>
      </c>
      <c r="B39" t="s">
        <v>929</v>
      </c>
      <c r="C39">
        <v>140</v>
      </c>
      <c r="D39" s="88">
        <v>43216</v>
      </c>
      <c r="E39" s="13">
        <v>68</v>
      </c>
      <c r="F39" s="13">
        <v>85</v>
      </c>
      <c r="G39" s="13">
        <v>93</v>
      </c>
      <c r="H39" s="13">
        <v>46</v>
      </c>
      <c r="I39" s="13"/>
      <c r="J39" s="13"/>
      <c r="K39" s="13"/>
      <c r="L39" s="12"/>
      <c r="M39" s="13"/>
    </row>
    <row r="40" spans="1:13" x14ac:dyDescent="0.2">
      <c r="A40" s="13" t="s">
        <v>739</v>
      </c>
      <c r="B40" t="s">
        <v>929</v>
      </c>
      <c r="C40">
        <v>140</v>
      </c>
      <c r="D40" s="88">
        <v>43220</v>
      </c>
      <c r="E40" s="13">
        <v>68</v>
      </c>
      <c r="F40" s="13">
        <v>85</v>
      </c>
      <c r="G40" s="13">
        <v>93</v>
      </c>
      <c r="H40" s="13">
        <v>46</v>
      </c>
      <c r="I40" s="13"/>
      <c r="J40" s="13"/>
      <c r="K40" s="13"/>
      <c r="L40" s="12"/>
      <c r="M40" s="13"/>
    </row>
    <row r="41" spans="1:13" x14ac:dyDescent="0.2">
      <c r="A41" s="13" t="s">
        <v>739</v>
      </c>
      <c r="B41" t="s">
        <v>929</v>
      </c>
      <c r="C41">
        <v>140</v>
      </c>
      <c r="D41" s="88">
        <v>43221</v>
      </c>
      <c r="E41" s="13">
        <v>68</v>
      </c>
      <c r="F41" s="13">
        <v>85</v>
      </c>
      <c r="G41" s="13">
        <v>93</v>
      </c>
      <c r="H41" s="13">
        <v>46</v>
      </c>
      <c r="I41" s="13"/>
      <c r="J41" s="13"/>
      <c r="K41" s="13"/>
      <c r="L41" s="12"/>
      <c r="M41" s="13"/>
    </row>
    <row r="42" spans="1:13" x14ac:dyDescent="0.2">
      <c r="A42" s="13" t="s">
        <v>739</v>
      </c>
      <c r="B42" t="s">
        <v>929</v>
      </c>
      <c r="C42">
        <v>140</v>
      </c>
      <c r="D42" s="88">
        <v>43222</v>
      </c>
      <c r="E42" s="13">
        <v>68</v>
      </c>
      <c r="F42" s="13">
        <v>85</v>
      </c>
      <c r="G42" s="13">
        <v>93</v>
      </c>
      <c r="H42" s="13">
        <v>46</v>
      </c>
      <c r="I42" s="13"/>
      <c r="J42" s="13"/>
      <c r="K42" s="13"/>
      <c r="L42" s="12"/>
      <c r="M42" s="13"/>
    </row>
    <row r="43" spans="1:13" x14ac:dyDescent="0.2">
      <c r="A43" s="13" t="s">
        <v>739</v>
      </c>
      <c r="B43" t="s">
        <v>929</v>
      </c>
      <c r="C43">
        <v>140</v>
      </c>
      <c r="D43" s="88">
        <v>43224</v>
      </c>
      <c r="E43" s="13">
        <v>9</v>
      </c>
      <c r="F43" s="13">
        <v>26</v>
      </c>
      <c r="G43" s="13">
        <v>93</v>
      </c>
      <c r="H43" s="13">
        <v>46</v>
      </c>
      <c r="I43" s="13"/>
      <c r="J43" s="13"/>
      <c r="K43" s="13"/>
      <c r="L43" s="12"/>
      <c r="M43" s="13"/>
    </row>
    <row r="44" spans="1:13" x14ac:dyDescent="0.2">
      <c r="A44" s="13" t="s">
        <v>739</v>
      </c>
      <c r="B44" t="s">
        <v>929</v>
      </c>
      <c r="C44">
        <v>140</v>
      </c>
      <c r="D44" s="88">
        <v>43225</v>
      </c>
      <c r="E44" s="13">
        <v>9</v>
      </c>
      <c r="F44" s="13">
        <v>26</v>
      </c>
      <c r="G44" s="13">
        <v>93</v>
      </c>
      <c r="H44" s="13">
        <v>46</v>
      </c>
      <c r="I44" s="13"/>
      <c r="J44" s="13"/>
      <c r="K44" s="13"/>
      <c r="L44" s="12"/>
      <c r="M44" s="13"/>
    </row>
    <row r="45" spans="1:13" x14ac:dyDescent="0.2">
      <c r="A45" s="13" t="s">
        <v>739</v>
      </c>
      <c r="B45" t="s">
        <v>929</v>
      </c>
      <c r="C45">
        <v>140</v>
      </c>
      <c r="D45" s="88">
        <v>43227</v>
      </c>
      <c r="E45" s="13">
        <v>8</v>
      </c>
      <c r="F45" s="13">
        <v>25</v>
      </c>
      <c r="G45" s="13">
        <v>93</v>
      </c>
      <c r="H45" s="13">
        <v>46</v>
      </c>
      <c r="I45" s="13"/>
      <c r="J45" s="13"/>
      <c r="K45" s="13"/>
      <c r="L45" s="12"/>
      <c r="M45" s="13"/>
    </row>
    <row r="46" spans="1:13" x14ac:dyDescent="0.2">
      <c r="A46" s="13" t="s">
        <v>739</v>
      </c>
      <c r="B46" t="s">
        <v>929</v>
      </c>
      <c r="C46">
        <v>140</v>
      </c>
      <c r="D46" s="88">
        <v>43229</v>
      </c>
      <c r="E46" s="13">
        <v>8</v>
      </c>
      <c r="F46" s="13">
        <v>25</v>
      </c>
      <c r="G46" s="13">
        <v>93</v>
      </c>
      <c r="H46" s="13">
        <v>46</v>
      </c>
      <c r="I46" s="13"/>
      <c r="J46" s="13"/>
      <c r="K46" s="13"/>
      <c r="L46" s="12"/>
      <c r="M46" s="13"/>
    </row>
    <row r="47" spans="1:13" x14ac:dyDescent="0.2">
      <c r="L47" s="12"/>
      <c r="M47" s="13"/>
    </row>
    <row r="48" spans="1:13" x14ac:dyDescent="0.2">
      <c r="L48" s="12"/>
      <c r="M48" s="13"/>
    </row>
    <row r="49" spans="12:13" x14ac:dyDescent="0.2">
      <c r="L49" s="12"/>
      <c r="M49" s="13"/>
    </row>
    <row r="50" spans="12:13" x14ac:dyDescent="0.2">
      <c r="L50" s="12"/>
      <c r="M50" s="13"/>
    </row>
    <row r="51" spans="12:13" x14ac:dyDescent="0.2">
      <c r="L51" s="12"/>
      <c r="M51" s="13"/>
    </row>
    <row r="52" spans="12:13" x14ac:dyDescent="0.2">
      <c r="L52" s="12"/>
      <c r="M52" s="13"/>
    </row>
    <row r="53" spans="12:13" x14ac:dyDescent="0.2">
      <c r="L53" s="12"/>
      <c r="M53" s="13"/>
    </row>
    <row r="54" spans="12:13" x14ac:dyDescent="0.2">
      <c r="L54" s="12"/>
      <c r="M54" s="13"/>
    </row>
    <row r="55" spans="12:13" x14ac:dyDescent="0.2">
      <c r="L55" s="12"/>
      <c r="M55" s="13"/>
    </row>
    <row r="56" spans="12:13" x14ac:dyDescent="0.2">
      <c r="L56" s="12"/>
      <c r="M56" s="13"/>
    </row>
    <row r="57" spans="12:13" x14ac:dyDescent="0.2">
      <c r="L57" s="12"/>
      <c r="M57" s="13"/>
    </row>
    <row r="58" spans="12:13" x14ac:dyDescent="0.2">
      <c r="L58" s="12"/>
      <c r="M58" s="13"/>
    </row>
    <row r="59" spans="12:13" x14ac:dyDescent="0.2">
      <c r="L59" s="12"/>
      <c r="M59" s="13"/>
    </row>
    <row r="60" spans="12:13" x14ac:dyDescent="0.2">
      <c r="L60" s="12"/>
      <c r="M60" s="13"/>
    </row>
    <row r="61" spans="12:13" x14ac:dyDescent="0.2">
      <c r="L61" s="12"/>
      <c r="M61" s="13"/>
    </row>
    <row r="62" spans="12:13" x14ac:dyDescent="0.2">
      <c r="L62" s="12"/>
      <c r="M62" s="13"/>
    </row>
    <row r="63" spans="12:13" x14ac:dyDescent="0.2">
      <c r="L63" s="12"/>
      <c r="M63" s="13"/>
    </row>
    <row r="64" spans="12:13" x14ac:dyDescent="0.2">
      <c r="L64" s="12"/>
      <c r="M64" s="13"/>
    </row>
    <row r="65" spans="12:13" x14ac:dyDescent="0.2">
      <c r="L65" s="12"/>
      <c r="M65" s="13"/>
    </row>
    <row r="66" spans="12:13" x14ac:dyDescent="0.2">
      <c r="L66" s="12"/>
      <c r="M66" s="13"/>
    </row>
    <row r="67" spans="12:13" x14ac:dyDescent="0.2">
      <c r="L67" s="12"/>
      <c r="M67" s="13"/>
    </row>
    <row r="68" spans="12:13" x14ac:dyDescent="0.2">
      <c r="L68" s="12"/>
      <c r="M68" s="13"/>
    </row>
    <row r="69" spans="12:13" x14ac:dyDescent="0.2">
      <c r="L69" s="12"/>
      <c r="M69" s="13"/>
    </row>
    <row r="70" spans="12:13" x14ac:dyDescent="0.2">
      <c r="L70" s="12"/>
      <c r="M70" s="13"/>
    </row>
    <row r="71" spans="12:13" x14ac:dyDescent="0.2">
      <c r="L71" s="12"/>
      <c r="M71" s="13"/>
    </row>
    <row r="72" spans="12:13" x14ac:dyDescent="0.2">
      <c r="L72" s="12"/>
      <c r="M72" s="13"/>
    </row>
    <row r="73" spans="12:13" x14ac:dyDescent="0.2">
      <c r="L73" s="12"/>
      <c r="M73" s="13"/>
    </row>
    <row r="74" spans="12:13" x14ac:dyDescent="0.2">
      <c r="L74" s="12"/>
      <c r="M74" s="13"/>
    </row>
    <row r="75" spans="12:13" x14ac:dyDescent="0.2">
      <c r="L75" s="12"/>
      <c r="M75" s="13"/>
    </row>
    <row r="76" spans="12:13" x14ac:dyDescent="0.2">
      <c r="L76" s="12"/>
      <c r="M76" s="13"/>
    </row>
    <row r="77" spans="12:13" x14ac:dyDescent="0.2">
      <c r="L77" s="12"/>
      <c r="M77" s="13"/>
    </row>
    <row r="78" spans="12:13" x14ac:dyDescent="0.2">
      <c r="L78" s="12"/>
      <c r="M78" s="13"/>
    </row>
    <row r="79" spans="12:13" x14ac:dyDescent="0.2">
      <c r="L79" s="12"/>
      <c r="M79" s="13"/>
    </row>
    <row r="80" spans="12:13" x14ac:dyDescent="0.2">
      <c r="L80" s="12"/>
      <c r="M80" s="13"/>
    </row>
    <row r="81" spans="12:13" x14ac:dyDescent="0.2">
      <c r="L81" s="12"/>
      <c r="M81" s="13"/>
    </row>
    <row r="82" spans="12:13" x14ac:dyDescent="0.2">
      <c r="L82" s="12"/>
      <c r="M82" s="13"/>
    </row>
    <row r="83" spans="12:13" x14ac:dyDescent="0.2">
      <c r="L83" s="12"/>
      <c r="M83" s="13"/>
    </row>
    <row r="84" spans="12:13" x14ac:dyDescent="0.2">
      <c r="L84" s="12"/>
      <c r="M84" s="13"/>
    </row>
    <row r="85" spans="12:13" x14ac:dyDescent="0.2">
      <c r="L85" s="12"/>
      <c r="M85" s="13"/>
    </row>
    <row r="86" spans="12:13" x14ac:dyDescent="0.2">
      <c r="L86" s="12"/>
      <c r="M86" s="13"/>
    </row>
    <row r="87" spans="12:13" x14ac:dyDescent="0.2">
      <c r="L87" s="12"/>
      <c r="M87" s="13"/>
    </row>
    <row r="88" spans="12:13" x14ac:dyDescent="0.2">
      <c r="L88" s="12"/>
      <c r="M88" s="13"/>
    </row>
    <row r="89" spans="12:13" x14ac:dyDescent="0.2">
      <c r="L89" s="12"/>
      <c r="M89" s="13"/>
    </row>
    <row r="90" spans="12:13" x14ac:dyDescent="0.2">
      <c r="L90" s="12"/>
      <c r="M90" s="13"/>
    </row>
    <row r="91" spans="12:13" x14ac:dyDescent="0.2">
      <c r="L91" s="12"/>
      <c r="M91" s="13"/>
    </row>
    <row r="92" spans="12:13" x14ac:dyDescent="0.2">
      <c r="L92" s="12"/>
      <c r="M92" s="13"/>
    </row>
    <row r="93" spans="12:13" x14ac:dyDescent="0.2">
      <c r="L93" s="12"/>
      <c r="M93" s="13"/>
    </row>
    <row r="94" spans="12:13" x14ac:dyDescent="0.2">
      <c r="L94" s="12"/>
      <c r="M94" s="13"/>
    </row>
    <row r="630" spans="12:13" x14ac:dyDescent="0.2">
      <c r="L630" s="12"/>
      <c r="M630" s="13"/>
    </row>
    <row r="631" spans="12:13" x14ac:dyDescent="0.2">
      <c r="L631" s="12"/>
      <c r="M631" s="13"/>
    </row>
    <row r="632" spans="12:13" x14ac:dyDescent="0.2">
      <c r="L632" s="12"/>
      <c r="M632" s="13"/>
    </row>
    <row r="633" spans="12:13" x14ac:dyDescent="0.2">
      <c r="L633" s="12"/>
      <c r="M633" s="13"/>
    </row>
    <row r="634" spans="12:13" x14ac:dyDescent="0.2">
      <c r="L634" s="12"/>
      <c r="M634" s="13"/>
    </row>
    <row r="635" spans="12:13" x14ac:dyDescent="0.2">
      <c r="L635" s="12"/>
      <c r="M635" s="13"/>
    </row>
    <row r="636" spans="12:13" x14ac:dyDescent="0.2">
      <c r="L636" s="12"/>
      <c r="M636" s="13"/>
    </row>
    <row r="637" spans="12:13" x14ac:dyDescent="0.2">
      <c r="L637" s="12"/>
      <c r="M637" s="13"/>
    </row>
    <row r="638" spans="12:13" x14ac:dyDescent="0.2">
      <c r="L638" s="12"/>
      <c r="M638" s="13"/>
    </row>
    <row r="639" spans="12:13" x14ac:dyDescent="0.2">
      <c r="L639" s="12"/>
      <c r="M639" s="13"/>
    </row>
    <row r="640" spans="12:13" x14ac:dyDescent="0.2">
      <c r="L640" s="12"/>
      <c r="M640" s="13"/>
    </row>
    <row r="641" spans="12:13" x14ac:dyDescent="0.2">
      <c r="L641" s="12"/>
      <c r="M641" s="13"/>
    </row>
    <row r="642" spans="12:13" x14ac:dyDescent="0.2">
      <c r="L642" s="12"/>
      <c r="M642" s="13"/>
    </row>
    <row r="643" spans="12:13" x14ac:dyDescent="0.2">
      <c r="L643" s="12"/>
      <c r="M643" s="13"/>
    </row>
    <row r="644" spans="12:13" x14ac:dyDescent="0.2">
      <c r="L644" s="12"/>
      <c r="M644" s="13"/>
    </row>
    <row r="645" spans="12:13" x14ac:dyDescent="0.2">
      <c r="L645" s="12"/>
      <c r="M645" s="13"/>
    </row>
    <row r="646" spans="12:13" x14ac:dyDescent="0.2">
      <c r="L646" s="12"/>
      <c r="M646" s="13"/>
    </row>
    <row r="647" spans="12:13" x14ac:dyDescent="0.2">
      <c r="L647" s="12"/>
      <c r="M647" s="13"/>
    </row>
    <row r="648" spans="12:13" x14ac:dyDescent="0.2">
      <c r="L648" s="12"/>
      <c r="M648" s="13"/>
    </row>
    <row r="649" spans="12:13" x14ac:dyDescent="0.2">
      <c r="L649" s="12"/>
      <c r="M649" s="13"/>
    </row>
    <row r="650" spans="12:13" x14ac:dyDescent="0.2">
      <c r="L650" s="12"/>
      <c r="M650" s="13"/>
    </row>
    <row r="651" spans="12:13" x14ac:dyDescent="0.2">
      <c r="L651" s="12"/>
      <c r="M651" s="13"/>
    </row>
    <row r="652" spans="12:13" x14ac:dyDescent="0.2">
      <c r="L652" s="12"/>
      <c r="M652" s="13"/>
    </row>
    <row r="653" spans="12:13" x14ac:dyDescent="0.2">
      <c r="L653" s="12"/>
      <c r="M653" s="13"/>
    </row>
    <row r="654" spans="12:13" x14ac:dyDescent="0.2">
      <c r="L654" s="12"/>
      <c r="M654" s="13"/>
    </row>
    <row r="655" spans="12:13" x14ac:dyDescent="0.2">
      <c r="L655" s="12"/>
      <c r="M655" s="13"/>
    </row>
    <row r="656" spans="12:13" x14ac:dyDescent="0.2">
      <c r="L656" s="12"/>
      <c r="M656" s="13"/>
    </row>
    <row r="657" spans="12:13" x14ac:dyDescent="0.2">
      <c r="L657" s="12"/>
      <c r="M657" s="13"/>
    </row>
    <row r="658" spans="12:13" x14ac:dyDescent="0.2">
      <c r="L658" s="12"/>
      <c r="M658" s="13"/>
    </row>
    <row r="659" spans="12:13" x14ac:dyDescent="0.2">
      <c r="L659" s="12"/>
      <c r="M659" s="13"/>
    </row>
    <row r="660" spans="12:13" x14ac:dyDescent="0.2">
      <c r="L660" s="12"/>
      <c r="M660" s="13"/>
    </row>
    <row r="661" spans="12:13" x14ac:dyDescent="0.2">
      <c r="L661" s="12"/>
      <c r="M661" s="13"/>
    </row>
    <row r="662" spans="12:13" x14ac:dyDescent="0.2">
      <c r="L662" s="12"/>
      <c r="M662" s="13"/>
    </row>
    <row r="663" spans="12:13" x14ac:dyDescent="0.2">
      <c r="L663" s="12"/>
      <c r="M663" s="13"/>
    </row>
    <row r="664" spans="12:13" x14ac:dyDescent="0.2">
      <c r="L664" s="12"/>
      <c r="M664" s="13"/>
    </row>
    <row r="665" spans="12:13" x14ac:dyDescent="0.2">
      <c r="L665" s="12"/>
      <c r="M665" s="13"/>
    </row>
    <row r="666" spans="12:13" x14ac:dyDescent="0.2">
      <c r="L666" s="12"/>
      <c r="M666" s="13"/>
    </row>
    <row r="667" spans="12:13" x14ac:dyDescent="0.2">
      <c r="L667" s="12"/>
      <c r="M667" s="13"/>
    </row>
    <row r="668" spans="12:13" x14ac:dyDescent="0.2">
      <c r="L668" s="12"/>
      <c r="M668" s="13"/>
    </row>
    <row r="669" spans="12:13" x14ac:dyDescent="0.2">
      <c r="L669" s="12"/>
      <c r="M669" s="13"/>
    </row>
    <row r="670" spans="12:13" x14ac:dyDescent="0.2">
      <c r="L670" s="12"/>
      <c r="M670" s="13"/>
    </row>
    <row r="671" spans="12:13" x14ac:dyDescent="0.2">
      <c r="L671" s="12"/>
      <c r="M671" s="13"/>
    </row>
    <row r="672" spans="12:13" x14ac:dyDescent="0.2">
      <c r="L672" s="12"/>
      <c r="M672" s="13"/>
    </row>
    <row r="673" spans="12:13" x14ac:dyDescent="0.2">
      <c r="L673" s="12"/>
      <c r="M673" s="13"/>
    </row>
    <row r="674" spans="12:13" x14ac:dyDescent="0.2">
      <c r="L674" s="12"/>
      <c r="M674" s="13"/>
    </row>
    <row r="675" spans="12:13" x14ac:dyDescent="0.2">
      <c r="L675" s="12"/>
      <c r="M675" s="13"/>
    </row>
    <row r="676" spans="12:13" x14ac:dyDescent="0.2">
      <c r="L676" s="12"/>
      <c r="M676" s="13"/>
    </row>
    <row r="677" spans="12:13" x14ac:dyDescent="0.2">
      <c r="L677" s="12"/>
      <c r="M677" s="13"/>
    </row>
    <row r="678" spans="12:13" x14ac:dyDescent="0.2">
      <c r="L678" s="12"/>
      <c r="M678" s="13"/>
    </row>
    <row r="679" spans="12:13" x14ac:dyDescent="0.2">
      <c r="L679" s="12"/>
      <c r="M679" s="13"/>
    </row>
    <row r="680" spans="12:13" x14ac:dyDescent="0.2">
      <c r="L680" s="12"/>
      <c r="M680" s="13"/>
    </row>
    <row r="681" spans="12:13" x14ac:dyDescent="0.2">
      <c r="L681" s="12"/>
      <c r="M681" s="13"/>
    </row>
    <row r="682" spans="12:13" x14ac:dyDescent="0.2">
      <c r="L682" s="12"/>
      <c r="M682" s="13"/>
    </row>
    <row r="683" spans="12:13" x14ac:dyDescent="0.2">
      <c r="L683" s="12"/>
      <c r="M683" s="13"/>
    </row>
    <row r="684" spans="12:13" x14ac:dyDescent="0.2">
      <c r="L684" s="12"/>
      <c r="M684" s="13"/>
    </row>
    <row r="685" spans="12:13" x14ac:dyDescent="0.2">
      <c r="L685" s="12"/>
      <c r="M685" s="13"/>
    </row>
    <row r="686" spans="12:13" x14ac:dyDescent="0.2">
      <c r="L686" s="12"/>
      <c r="M686" s="13"/>
    </row>
    <row r="687" spans="12:13" x14ac:dyDescent="0.2">
      <c r="L687" s="12"/>
      <c r="M687" s="13"/>
    </row>
    <row r="688" spans="12:13" x14ac:dyDescent="0.2">
      <c r="L688" s="12"/>
      <c r="M688" s="13"/>
    </row>
    <row r="689" spans="12:13" x14ac:dyDescent="0.2">
      <c r="L689" s="12"/>
      <c r="M689" s="13"/>
    </row>
    <row r="690" spans="12:13" x14ac:dyDescent="0.2">
      <c r="L690" s="12"/>
      <c r="M690" s="13"/>
    </row>
    <row r="691" spans="12:13" x14ac:dyDescent="0.2">
      <c r="L691" s="12"/>
      <c r="M691" s="13"/>
    </row>
    <row r="692" spans="12:13" x14ac:dyDescent="0.2">
      <c r="L692" s="12"/>
      <c r="M692" s="13"/>
    </row>
    <row r="693" spans="12:13" x14ac:dyDescent="0.2">
      <c r="L693" s="12"/>
      <c r="M693" s="13"/>
    </row>
    <row r="694" spans="12:13" x14ac:dyDescent="0.2">
      <c r="L694" s="12"/>
      <c r="M694" s="13"/>
    </row>
    <row r="695" spans="12:13" x14ac:dyDescent="0.2">
      <c r="L695" s="12"/>
      <c r="M695" s="13"/>
    </row>
    <row r="696" spans="12:13" x14ac:dyDescent="0.2">
      <c r="L696" s="12"/>
      <c r="M696" s="13"/>
    </row>
    <row r="697" spans="12:13" x14ac:dyDescent="0.2">
      <c r="L697" s="12"/>
      <c r="M697" s="13"/>
    </row>
    <row r="698" spans="12:13" x14ac:dyDescent="0.2">
      <c r="L698" s="12"/>
      <c r="M698" s="13"/>
    </row>
    <row r="699" spans="12:13" x14ac:dyDescent="0.2">
      <c r="L699" s="12"/>
      <c r="M699" s="13"/>
    </row>
    <row r="700" spans="12:13" x14ac:dyDescent="0.2">
      <c r="L700" s="12"/>
      <c r="M700" s="13"/>
    </row>
    <row r="701" spans="12:13" x14ac:dyDescent="0.2">
      <c r="L701" s="12"/>
      <c r="M701" s="13"/>
    </row>
    <row r="702" spans="12:13" x14ac:dyDescent="0.2">
      <c r="L702" s="12"/>
      <c r="M702" s="13"/>
    </row>
    <row r="703" spans="12:13" x14ac:dyDescent="0.2">
      <c r="L703" s="12"/>
      <c r="M703" s="13"/>
    </row>
    <row r="704" spans="12:13" x14ac:dyDescent="0.2">
      <c r="L704" s="12"/>
      <c r="M704" s="13"/>
    </row>
    <row r="705" spans="12:13" x14ac:dyDescent="0.2">
      <c r="L705" s="12"/>
      <c r="M705" s="13"/>
    </row>
    <row r="706" spans="12:13" x14ac:dyDescent="0.2">
      <c r="L706" s="12"/>
      <c r="M706" s="13"/>
    </row>
    <row r="707" spans="12:13" x14ac:dyDescent="0.2">
      <c r="L707" s="12"/>
      <c r="M707" s="13"/>
    </row>
    <row r="708" spans="12:13" x14ac:dyDescent="0.2">
      <c r="L708" s="12"/>
      <c r="M708" s="13"/>
    </row>
    <row r="709" spans="12:13" x14ac:dyDescent="0.2">
      <c r="L709" s="12"/>
      <c r="M709" s="13"/>
    </row>
    <row r="710" spans="12:13" x14ac:dyDescent="0.2">
      <c r="L710" s="12"/>
      <c r="M710" s="13"/>
    </row>
    <row r="711" spans="12:13" x14ac:dyDescent="0.2">
      <c r="L711" s="12"/>
      <c r="M711" s="13"/>
    </row>
    <row r="712" spans="12:13" x14ac:dyDescent="0.2">
      <c r="L712" s="12"/>
      <c r="M712" s="13"/>
    </row>
    <row r="713" spans="12:13" x14ac:dyDescent="0.2">
      <c r="L713" s="12"/>
      <c r="M713" s="13"/>
    </row>
    <row r="714" spans="12:13" x14ac:dyDescent="0.2">
      <c r="L714" s="12"/>
      <c r="M714" s="13"/>
    </row>
    <row r="715" spans="12:13" x14ac:dyDescent="0.2">
      <c r="L715" s="12"/>
      <c r="M715" s="13"/>
    </row>
    <row r="716" spans="12:13" x14ac:dyDescent="0.2">
      <c r="L716" s="12"/>
      <c r="M716" s="13"/>
    </row>
    <row r="717" spans="12:13" x14ac:dyDescent="0.2">
      <c r="L717" s="12"/>
      <c r="M717" s="13"/>
    </row>
    <row r="718" spans="12:13" x14ac:dyDescent="0.2">
      <c r="L718" s="12"/>
      <c r="M718" s="13"/>
    </row>
    <row r="719" spans="12:13" x14ac:dyDescent="0.2">
      <c r="L719" s="12"/>
      <c r="M719" s="13"/>
    </row>
    <row r="720" spans="12:13" x14ac:dyDescent="0.2">
      <c r="L720" s="12"/>
      <c r="M720" s="13"/>
    </row>
    <row r="721" spans="12:13" x14ac:dyDescent="0.2">
      <c r="L721" s="12"/>
      <c r="M721" s="13"/>
    </row>
    <row r="722" spans="12:13" x14ac:dyDescent="0.2">
      <c r="L722" s="12"/>
      <c r="M722" s="13"/>
    </row>
    <row r="723" spans="12:13" x14ac:dyDescent="0.2">
      <c r="L723" s="12"/>
      <c r="M723" s="13"/>
    </row>
    <row r="724" spans="12:13" x14ac:dyDescent="0.2">
      <c r="L724" s="12"/>
      <c r="M724" s="13"/>
    </row>
    <row r="725" spans="12:13" x14ac:dyDescent="0.2">
      <c r="L725" s="12"/>
      <c r="M725" s="13"/>
    </row>
    <row r="726" spans="12:13" x14ac:dyDescent="0.2">
      <c r="L726" s="12"/>
      <c r="M726" s="13"/>
    </row>
    <row r="727" spans="12:13" x14ac:dyDescent="0.2">
      <c r="L727" s="12"/>
      <c r="M727" s="13"/>
    </row>
    <row r="728" spans="12:13" x14ac:dyDescent="0.2">
      <c r="L728" s="12"/>
      <c r="M728" s="13"/>
    </row>
    <row r="729" spans="12:13" x14ac:dyDescent="0.2">
      <c r="L729" s="12"/>
      <c r="M729" s="13"/>
    </row>
    <row r="730" spans="12:13" x14ac:dyDescent="0.2">
      <c r="L730" s="12"/>
      <c r="M730" s="13"/>
    </row>
    <row r="731" spans="12:13" x14ac:dyDescent="0.2">
      <c r="L731" s="12"/>
      <c r="M731" s="13"/>
    </row>
    <row r="732" spans="12:13" x14ac:dyDescent="0.2">
      <c r="L732" s="12"/>
      <c r="M732" s="13"/>
    </row>
    <row r="733" spans="12:13" x14ac:dyDescent="0.2">
      <c r="L733" s="12"/>
      <c r="M733" s="13"/>
    </row>
    <row r="734" spans="12:13" x14ac:dyDescent="0.2">
      <c r="L734" s="12"/>
      <c r="M734" s="13"/>
    </row>
    <row r="735" spans="12:13" x14ac:dyDescent="0.2">
      <c r="L735" s="12"/>
      <c r="M735" s="13"/>
    </row>
    <row r="736" spans="12:13" x14ac:dyDescent="0.2">
      <c r="L736" s="12"/>
      <c r="M736" s="13"/>
    </row>
    <row r="737" spans="12:13" x14ac:dyDescent="0.2">
      <c r="L737" s="12"/>
      <c r="M737" s="13"/>
    </row>
    <row r="738" spans="12:13" x14ac:dyDescent="0.2">
      <c r="L738" s="12"/>
      <c r="M738" s="13"/>
    </row>
    <row r="739" spans="12:13" x14ac:dyDescent="0.2">
      <c r="L739" s="12"/>
      <c r="M739" s="13"/>
    </row>
    <row r="740" spans="12:13" x14ac:dyDescent="0.2">
      <c r="L740" s="12"/>
      <c r="M740" s="13"/>
    </row>
    <row r="741" spans="12:13" x14ac:dyDescent="0.2">
      <c r="L741" s="12"/>
      <c r="M741" s="13"/>
    </row>
    <row r="742" spans="12:13" x14ac:dyDescent="0.2">
      <c r="L742" s="12"/>
      <c r="M742" s="13"/>
    </row>
    <row r="743" spans="12:13" x14ac:dyDescent="0.2">
      <c r="L743" s="12"/>
      <c r="M743" s="13"/>
    </row>
    <row r="744" spans="12:13" x14ac:dyDescent="0.2">
      <c r="L744" s="12"/>
      <c r="M744" s="13"/>
    </row>
    <row r="745" spans="12:13" x14ac:dyDescent="0.2">
      <c r="L745" s="12"/>
      <c r="M745" s="13"/>
    </row>
    <row r="746" spans="12:13" x14ac:dyDescent="0.2">
      <c r="L746" s="12"/>
      <c r="M746" s="13"/>
    </row>
    <row r="747" spans="12:13" x14ac:dyDescent="0.2">
      <c r="L747" s="12"/>
      <c r="M747" s="13"/>
    </row>
    <row r="748" spans="12:13" x14ac:dyDescent="0.2">
      <c r="L748" s="12"/>
      <c r="M748" s="13"/>
    </row>
    <row r="749" spans="12:13" x14ac:dyDescent="0.2">
      <c r="L749" s="12"/>
      <c r="M749" s="13"/>
    </row>
    <row r="750" spans="12:13" x14ac:dyDescent="0.2">
      <c r="L750" s="12"/>
      <c r="M750" s="13"/>
    </row>
    <row r="751" spans="12:13" x14ac:dyDescent="0.2">
      <c r="L751" s="12"/>
      <c r="M751" s="13"/>
    </row>
    <row r="752" spans="12:13" x14ac:dyDescent="0.2">
      <c r="L752" s="12"/>
      <c r="M752" s="13"/>
    </row>
    <row r="753" spans="12:13" x14ac:dyDescent="0.2">
      <c r="L753" s="12"/>
      <c r="M753" s="13"/>
    </row>
    <row r="754" spans="12:13" x14ac:dyDescent="0.2">
      <c r="L754" s="12"/>
      <c r="M754" s="13"/>
    </row>
    <row r="755" spans="12:13" x14ac:dyDescent="0.2">
      <c r="L755" s="12"/>
      <c r="M755" s="13"/>
    </row>
    <row r="756" spans="12:13" x14ac:dyDescent="0.2">
      <c r="L756" s="12"/>
      <c r="M756" s="13"/>
    </row>
    <row r="757" spans="12:13" x14ac:dyDescent="0.2">
      <c r="L757" s="12"/>
      <c r="M757" s="13"/>
    </row>
    <row r="758" spans="12:13" x14ac:dyDescent="0.2">
      <c r="L758" s="12"/>
      <c r="M758" s="13"/>
    </row>
    <row r="759" spans="12:13" x14ac:dyDescent="0.2">
      <c r="L759" s="12"/>
      <c r="M759" s="13"/>
    </row>
    <row r="760" spans="12:13" x14ac:dyDescent="0.2">
      <c r="L760" s="12"/>
      <c r="M760" s="13"/>
    </row>
    <row r="761" spans="12:13" x14ac:dyDescent="0.2">
      <c r="L761" s="12"/>
      <c r="M761" s="13"/>
    </row>
    <row r="762" spans="12:13" x14ac:dyDescent="0.2">
      <c r="L762" s="12"/>
      <c r="M762" s="13"/>
    </row>
    <row r="763" spans="12:13" x14ac:dyDescent="0.2">
      <c r="L763" s="12"/>
      <c r="M763" s="13"/>
    </row>
    <row r="764" spans="12:13" x14ac:dyDescent="0.2">
      <c r="L764" s="12"/>
      <c r="M764" s="13"/>
    </row>
    <row r="765" spans="12:13" x14ac:dyDescent="0.2">
      <c r="L765" s="12"/>
      <c r="M765" s="13"/>
    </row>
    <row r="766" spans="12:13" x14ac:dyDescent="0.2">
      <c r="L766" s="12"/>
      <c r="M766" s="13"/>
    </row>
    <row r="767" spans="12:13" x14ac:dyDescent="0.2">
      <c r="L767" s="12"/>
      <c r="M767" s="13"/>
    </row>
    <row r="768" spans="12:13" x14ac:dyDescent="0.2">
      <c r="L768" s="12"/>
      <c r="M768" s="13"/>
    </row>
    <row r="769" spans="12:13" x14ac:dyDescent="0.2">
      <c r="L769" s="12"/>
      <c r="M769" s="13"/>
    </row>
    <row r="770" spans="12:13" x14ac:dyDescent="0.2">
      <c r="L770" s="17"/>
      <c r="M770" s="18"/>
    </row>
    <row r="771" spans="12:13" x14ac:dyDescent="0.2">
      <c r="L771" s="12"/>
      <c r="M771" s="13"/>
    </row>
    <row r="772" spans="12:13" x14ac:dyDescent="0.2">
      <c r="L772" s="12"/>
      <c r="M772" s="13"/>
    </row>
    <row r="773" spans="12:13" x14ac:dyDescent="0.2">
      <c r="L773" s="12"/>
      <c r="M773" s="13"/>
    </row>
    <row r="774" spans="12:13" x14ac:dyDescent="0.2">
      <c r="L774" s="12"/>
      <c r="M774" s="13"/>
    </row>
    <row r="775" spans="12:13" x14ac:dyDescent="0.2">
      <c r="L775" s="12"/>
      <c r="M775" s="13"/>
    </row>
    <row r="776" spans="12:13" x14ac:dyDescent="0.2">
      <c r="L776" s="12"/>
      <c r="M776" s="13"/>
    </row>
    <row r="777" spans="12:13" x14ac:dyDescent="0.2">
      <c r="L777" s="12"/>
      <c r="M777" s="13"/>
    </row>
    <row r="778" spans="12:13" x14ac:dyDescent="0.2">
      <c r="L778" s="12"/>
      <c r="M778" s="13"/>
    </row>
    <row r="779" spans="12:13" x14ac:dyDescent="0.2">
      <c r="L779" s="12"/>
      <c r="M779" s="13"/>
    </row>
    <row r="780" spans="12:13" x14ac:dyDescent="0.2">
      <c r="L780" s="12"/>
      <c r="M780" s="13"/>
    </row>
    <row r="781" spans="12:13" x14ac:dyDescent="0.2">
      <c r="L781" s="12"/>
      <c r="M781" s="13"/>
    </row>
    <row r="782" spans="12:13" x14ac:dyDescent="0.2">
      <c r="L782" s="12"/>
      <c r="M782" s="13"/>
    </row>
    <row r="783" spans="12:13" x14ac:dyDescent="0.2">
      <c r="L783" s="12"/>
      <c r="M783" s="13"/>
    </row>
    <row r="784" spans="12:13" x14ac:dyDescent="0.2">
      <c r="L784" s="12"/>
      <c r="M784" s="13"/>
    </row>
    <row r="785" spans="12:13" x14ac:dyDescent="0.2">
      <c r="L785" s="12"/>
      <c r="M785" s="13"/>
    </row>
    <row r="786" spans="12:13" x14ac:dyDescent="0.2">
      <c r="L786" s="12"/>
      <c r="M786" s="13"/>
    </row>
    <row r="787" spans="12:13" x14ac:dyDescent="0.2">
      <c r="L787" s="12"/>
      <c r="M787" s="13"/>
    </row>
    <row r="788" spans="12:13" x14ac:dyDescent="0.2">
      <c r="L788" s="12"/>
      <c r="M788" s="13"/>
    </row>
    <row r="789" spans="12:13" x14ac:dyDescent="0.2">
      <c r="L789" s="12"/>
      <c r="M789" s="13"/>
    </row>
    <row r="790" spans="12:13" x14ac:dyDescent="0.2">
      <c r="L790" s="12"/>
      <c r="M790" s="13"/>
    </row>
    <row r="791" spans="12:13" x14ac:dyDescent="0.2">
      <c r="L791" s="12"/>
      <c r="M791" s="13"/>
    </row>
    <row r="792" spans="12:13" x14ac:dyDescent="0.2">
      <c r="L792" s="12"/>
      <c r="M792" s="13"/>
    </row>
    <row r="793" spans="12:13" x14ac:dyDescent="0.2">
      <c r="L793" s="12"/>
      <c r="M793" s="13"/>
    </row>
    <row r="794" spans="12:13" x14ac:dyDescent="0.2">
      <c r="L794" s="12"/>
      <c r="M794" s="13"/>
    </row>
    <row r="795" spans="12:13" x14ac:dyDescent="0.2">
      <c r="L795" s="12"/>
      <c r="M795" s="13"/>
    </row>
    <row r="796" spans="12:13" x14ac:dyDescent="0.2">
      <c r="L796" s="12"/>
      <c r="M796" s="13"/>
    </row>
    <row r="797" spans="12:13" x14ac:dyDescent="0.2">
      <c r="L797" s="12"/>
      <c r="M797" s="13"/>
    </row>
    <row r="798" spans="12:13" x14ac:dyDescent="0.2">
      <c r="L798" s="12"/>
      <c r="M798" s="13"/>
    </row>
    <row r="799" spans="12:13" x14ac:dyDescent="0.2">
      <c r="L799" s="12"/>
      <c r="M799" s="13"/>
    </row>
    <row r="800" spans="12:13" x14ac:dyDescent="0.2">
      <c r="L800" s="12"/>
      <c r="M800" s="13"/>
    </row>
    <row r="801" spans="12:13" x14ac:dyDescent="0.2">
      <c r="L801" s="12"/>
      <c r="M801" s="13"/>
    </row>
    <row r="802" spans="12:13" x14ac:dyDescent="0.2">
      <c r="L802" s="12"/>
      <c r="M802" s="13"/>
    </row>
    <row r="803" spans="12:13" x14ac:dyDescent="0.2">
      <c r="L803" s="12"/>
      <c r="M803" s="13"/>
    </row>
    <row r="804" spans="12:13" x14ac:dyDescent="0.2">
      <c r="L804" s="12"/>
      <c r="M804" s="13"/>
    </row>
    <row r="805" spans="12:13" x14ac:dyDescent="0.2">
      <c r="L805" s="12"/>
      <c r="M805" s="13"/>
    </row>
    <row r="806" spans="12:13" x14ac:dyDescent="0.2">
      <c r="L806" s="12"/>
      <c r="M806" s="13"/>
    </row>
    <row r="807" spans="12:13" x14ac:dyDescent="0.2">
      <c r="L807" s="12"/>
      <c r="M807" s="13"/>
    </row>
    <row r="808" spans="12:13" x14ac:dyDescent="0.2">
      <c r="L808" s="12"/>
      <c r="M808" s="13"/>
    </row>
    <row r="809" spans="12:13" x14ac:dyDescent="0.2">
      <c r="L809" s="12"/>
      <c r="M809" s="13"/>
    </row>
    <row r="810" spans="12:13" x14ac:dyDescent="0.2">
      <c r="L810" s="12"/>
      <c r="M810" s="13"/>
    </row>
    <row r="811" spans="12:13" x14ac:dyDescent="0.2">
      <c r="L811" s="12"/>
      <c r="M811" s="13"/>
    </row>
    <row r="812" spans="12:13" x14ac:dyDescent="0.2">
      <c r="L812" s="12"/>
      <c r="M812" s="13"/>
    </row>
    <row r="813" spans="12:13" x14ac:dyDescent="0.2">
      <c r="L813" s="12"/>
      <c r="M813" s="13"/>
    </row>
    <row r="814" spans="12:13" x14ac:dyDescent="0.2">
      <c r="L814" s="12"/>
      <c r="M814" s="13"/>
    </row>
    <row r="815" spans="12:13" x14ac:dyDescent="0.2">
      <c r="L815" s="12"/>
      <c r="M815" s="13"/>
    </row>
    <row r="816" spans="12:13" x14ac:dyDescent="0.2">
      <c r="L816" s="12"/>
      <c r="M816" s="13"/>
    </row>
    <row r="817" spans="12:13" x14ac:dyDescent="0.2">
      <c r="L817" s="12"/>
      <c r="M817" s="13"/>
    </row>
    <row r="818" spans="12:13" x14ac:dyDescent="0.2">
      <c r="L818" s="12"/>
      <c r="M818" s="13"/>
    </row>
    <row r="819" spans="12:13" x14ac:dyDescent="0.2">
      <c r="L819" s="12"/>
      <c r="M819" s="13"/>
    </row>
    <row r="820" spans="12:13" x14ac:dyDescent="0.2">
      <c r="L820" s="12"/>
      <c r="M820" s="13"/>
    </row>
    <row r="821" spans="12:13" x14ac:dyDescent="0.2">
      <c r="L821" s="12"/>
      <c r="M821" s="13"/>
    </row>
    <row r="822" spans="12:13" x14ac:dyDescent="0.2">
      <c r="L822" s="12"/>
      <c r="M822" s="13"/>
    </row>
    <row r="823" spans="12:13" x14ac:dyDescent="0.2">
      <c r="L823" s="12"/>
      <c r="M823" s="13"/>
    </row>
    <row r="824" spans="12:13" x14ac:dyDescent="0.2">
      <c r="L824" s="12"/>
      <c r="M824" s="13"/>
    </row>
    <row r="825" spans="12:13" x14ac:dyDescent="0.2">
      <c r="L825" s="12"/>
      <c r="M825" s="13"/>
    </row>
    <row r="826" spans="12:13" x14ac:dyDescent="0.2">
      <c r="L826" s="12"/>
      <c r="M826" s="13"/>
    </row>
    <row r="827" spans="12:13" x14ac:dyDescent="0.2">
      <c r="L827" s="12"/>
      <c r="M827" s="13"/>
    </row>
    <row r="828" spans="12:13" x14ac:dyDescent="0.2">
      <c r="L828" s="12"/>
      <c r="M828" s="13"/>
    </row>
    <row r="829" spans="12:13" x14ac:dyDescent="0.2">
      <c r="L829" s="12"/>
      <c r="M829" s="13"/>
    </row>
    <row r="830" spans="12:13" x14ac:dyDescent="0.2">
      <c r="L830" s="12"/>
      <c r="M830" s="13"/>
    </row>
    <row r="831" spans="12:13" x14ac:dyDescent="0.2">
      <c r="L831" s="12"/>
      <c r="M831" s="13"/>
    </row>
    <row r="832" spans="12:13" x14ac:dyDescent="0.2">
      <c r="L832" s="12"/>
      <c r="M832" s="13"/>
    </row>
    <row r="833" spans="12:13" x14ac:dyDescent="0.2">
      <c r="L833" s="12"/>
      <c r="M833" s="13"/>
    </row>
    <row r="834" spans="12:13" x14ac:dyDescent="0.2">
      <c r="L834" s="12"/>
      <c r="M834" s="13"/>
    </row>
    <row r="835" spans="12:13" x14ac:dyDescent="0.2">
      <c r="L835" s="12"/>
      <c r="M835" s="13"/>
    </row>
    <row r="836" spans="12:13" x14ac:dyDescent="0.2">
      <c r="L836" s="12"/>
      <c r="M836" s="13"/>
    </row>
    <row r="837" spans="12:13" x14ac:dyDescent="0.2">
      <c r="L837" s="12"/>
      <c r="M837" s="13"/>
    </row>
    <row r="838" spans="12:13" x14ac:dyDescent="0.2">
      <c r="L838" s="12"/>
      <c r="M838" s="13"/>
    </row>
    <row r="839" spans="12:13" x14ac:dyDescent="0.2">
      <c r="L839" s="12"/>
      <c r="M839" s="13"/>
    </row>
    <row r="840" spans="12:13" x14ac:dyDescent="0.2">
      <c r="L840" s="12"/>
      <c r="M840" s="13"/>
    </row>
    <row r="841" spans="12:13" x14ac:dyDescent="0.2">
      <c r="L841" s="12"/>
      <c r="M841" s="13"/>
    </row>
    <row r="842" spans="12:13" x14ac:dyDescent="0.2">
      <c r="L842" s="12"/>
      <c r="M842" s="13"/>
    </row>
    <row r="843" spans="12:13" x14ac:dyDescent="0.2">
      <c r="L843" s="12"/>
      <c r="M843" s="13"/>
    </row>
    <row r="844" spans="12:13" x14ac:dyDescent="0.2">
      <c r="L844" s="12"/>
      <c r="M844" s="13"/>
    </row>
    <row r="845" spans="12:13" x14ac:dyDescent="0.2">
      <c r="L845" s="12"/>
      <c r="M845" s="13"/>
    </row>
    <row r="846" spans="12:13" x14ac:dyDescent="0.2">
      <c r="L846" s="12"/>
      <c r="M846" s="13"/>
    </row>
    <row r="847" spans="12:13" x14ac:dyDescent="0.2">
      <c r="L847" s="12"/>
      <c r="M847" s="13"/>
    </row>
    <row r="848" spans="12:13" x14ac:dyDescent="0.2">
      <c r="L848" s="12"/>
      <c r="M848" s="13"/>
    </row>
    <row r="849" spans="12:13" x14ac:dyDescent="0.2">
      <c r="L849" s="12"/>
      <c r="M849" s="13"/>
    </row>
    <row r="850" spans="12:13" x14ac:dyDescent="0.2">
      <c r="L850" s="12"/>
      <c r="M850" s="13"/>
    </row>
    <row r="851" spans="12:13" x14ac:dyDescent="0.2">
      <c r="L851" s="12"/>
      <c r="M851" s="13"/>
    </row>
    <row r="852" spans="12:13" x14ac:dyDescent="0.2">
      <c r="L852" s="12"/>
      <c r="M852" s="13"/>
    </row>
    <row r="853" spans="12:13" x14ac:dyDescent="0.2">
      <c r="L853" s="12"/>
      <c r="M853" s="13"/>
    </row>
    <row r="854" spans="12:13" x14ac:dyDescent="0.2">
      <c r="L854" s="12"/>
      <c r="M854" s="13"/>
    </row>
    <row r="855" spans="12:13" x14ac:dyDescent="0.2">
      <c r="L855" s="12"/>
      <c r="M855" s="13"/>
    </row>
    <row r="856" spans="12:13" x14ac:dyDescent="0.2">
      <c r="L856" s="12"/>
      <c r="M856" s="13"/>
    </row>
    <row r="857" spans="12:13" x14ac:dyDescent="0.2">
      <c r="L857" s="12"/>
      <c r="M857" s="13"/>
    </row>
    <row r="858" spans="12:13" x14ac:dyDescent="0.2">
      <c r="L858" s="12"/>
      <c r="M858" s="13"/>
    </row>
    <row r="859" spans="12:13" x14ac:dyDescent="0.2">
      <c r="L859" s="12"/>
      <c r="M859" s="13"/>
    </row>
    <row r="860" spans="12:13" x14ac:dyDescent="0.2">
      <c r="L860" s="12"/>
      <c r="M860" s="13"/>
    </row>
    <row r="861" spans="12:13" x14ac:dyDescent="0.2">
      <c r="L861" s="12"/>
      <c r="M861" s="13"/>
    </row>
    <row r="862" spans="12:13" x14ac:dyDescent="0.2">
      <c r="L862" s="12"/>
      <c r="M862" s="13"/>
    </row>
    <row r="863" spans="12:13" x14ac:dyDescent="0.2">
      <c r="L863" s="12"/>
      <c r="M863" s="13"/>
    </row>
    <row r="864" spans="12:13" x14ac:dyDescent="0.2">
      <c r="L864" s="12"/>
      <c r="M864" s="13"/>
    </row>
    <row r="865" spans="12:13" x14ac:dyDescent="0.2">
      <c r="L865" s="12"/>
      <c r="M865" s="13"/>
    </row>
    <row r="866" spans="12:13" x14ac:dyDescent="0.2">
      <c r="L866" s="12"/>
      <c r="M866" s="13"/>
    </row>
    <row r="867" spans="12:13" x14ac:dyDescent="0.2">
      <c r="L867" s="12"/>
      <c r="M867" s="13"/>
    </row>
    <row r="868" spans="12:13" x14ac:dyDescent="0.2">
      <c r="L868" s="12"/>
      <c r="M868" s="13"/>
    </row>
    <row r="869" spans="12:13" x14ac:dyDescent="0.2">
      <c r="L869" s="12"/>
      <c r="M869" s="13"/>
    </row>
    <row r="870" spans="12:13" x14ac:dyDescent="0.2">
      <c r="L870" s="12"/>
      <c r="M870" s="13"/>
    </row>
    <row r="871" spans="12:13" x14ac:dyDescent="0.2">
      <c r="L871" s="12"/>
      <c r="M871" s="13"/>
    </row>
    <row r="872" spans="12:13" x14ac:dyDescent="0.2">
      <c r="L872" s="12"/>
      <c r="M872" s="13"/>
    </row>
    <row r="873" spans="12:13" x14ac:dyDescent="0.2">
      <c r="L873" s="12"/>
      <c r="M873" s="13"/>
    </row>
    <row r="874" spans="12:13" x14ac:dyDescent="0.2">
      <c r="L874" s="12"/>
      <c r="M874" s="13"/>
    </row>
    <row r="875" spans="12:13" x14ac:dyDescent="0.2">
      <c r="L875" s="12"/>
      <c r="M875" s="13"/>
    </row>
    <row r="876" spans="12:13" x14ac:dyDescent="0.2">
      <c r="L876" s="12"/>
      <c r="M876" s="13"/>
    </row>
    <row r="877" spans="12:13" x14ac:dyDescent="0.2">
      <c r="L877" s="12"/>
      <c r="M877" s="13"/>
    </row>
    <row r="878" spans="12:13" x14ac:dyDescent="0.2">
      <c r="L878" s="12"/>
      <c r="M878" s="13"/>
    </row>
    <row r="879" spans="12:13" x14ac:dyDescent="0.2">
      <c r="L879" s="12"/>
      <c r="M879" s="13"/>
    </row>
    <row r="880" spans="12:13" x14ac:dyDescent="0.2">
      <c r="L880" s="12"/>
      <c r="M880" s="13"/>
    </row>
    <row r="881" spans="12:13" x14ac:dyDescent="0.2">
      <c r="L881" s="12"/>
      <c r="M881" s="13"/>
    </row>
    <row r="882" spans="12:13" x14ac:dyDescent="0.2">
      <c r="L882" s="12"/>
      <c r="M882" s="13"/>
    </row>
    <row r="883" spans="12:13" x14ac:dyDescent="0.2">
      <c r="L883" s="12"/>
      <c r="M883" s="13"/>
    </row>
    <row r="884" spans="12:13" x14ac:dyDescent="0.2">
      <c r="L884" s="12"/>
      <c r="M884" s="13"/>
    </row>
    <row r="885" spans="12:13" x14ac:dyDescent="0.2">
      <c r="L885" s="12"/>
      <c r="M885" s="13"/>
    </row>
    <row r="886" spans="12:13" x14ac:dyDescent="0.2">
      <c r="L886" s="12"/>
      <c r="M886" s="13"/>
    </row>
    <row r="887" spans="12:13" x14ac:dyDescent="0.2">
      <c r="L887" s="12"/>
      <c r="M887" s="13"/>
    </row>
    <row r="888" spans="12:13" x14ac:dyDescent="0.2">
      <c r="L888" s="12"/>
      <c r="M888" s="13"/>
    </row>
    <row r="889" spans="12:13" x14ac:dyDescent="0.2">
      <c r="L889" s="12"/>
      <c r="M889" s="13"/>
    </row>
    <row r="890" spans="12:13" x14ac:dyDescent="0.2">
      <c r="L890" s="12"/>
      <c r="M890" s="13"/>
    </row>
    <row r="891" spans="12:13" x14ac:dyDescent="0.2">
      <c r="L891" s="12"/>
      <c r="M891" s="13"/>
    </row>
    <row r="892" spans="12:13" x14ac:dyDescent="0.2">
      <c r="L892" s="12"/>
      <c r="M892" s="13"/>
    </row>
    <row r="893" spans="12:13" x14ac:dyDescent="0.2">
      <c r="L893" s="12"/>
      <c r="M893" s="13"/>
    </row>
    <row r="894" spans="12:13" x14ac:dyDescent="0.2">
      <c r="L894" s="12"/>
      <c r="M894" s="13"/>
    </row>
    <row r="895" spans="12:13" x14ac:dyDescent="0.2">
      <c r="L895" s="12"/>
      <c r="M895" s="13"/>
    </row>
    <row r="896" spans="12:13" x14ac:dyDescent="0.2">
      <c r="L896" s="12"/>
      <c r="M896" s="13"/>
    </row>
    <row r="897" spans="12:13" x14ac:dyDescent="0.2">
      <c r="L897" s="12"/>
      <c r="M897" s="13"/>
    </row>
    <row r="898" spans="12:13" x14ac:dyDescent="0.2">
      <c r="L898" s="12"/>
      <c r="M898" s="13"/>
    </row>
    <row r="899" spans="12:13" x14ac:dyDescent="0.2">
      <c r="L899" s="12"/>
      <c r="M899" s="13"/>
    </row>
    <row r="900" spans="12:13" x14ac:dyDescent="0.2">
      <c r="L900" s="12"/>
      <c r="M900" s="13"/>
    </row>
    <row r="901" spans="12:13" x14ac:dyDescent="0.2">
      <c r="L901" s="12"/>
      <c r="M901" s="13"/>
    </row>
    <row r="902" spans="12:13" x14ac:dyDescent="0.2">
      <c r="L902" s="12"/>
      <c r="M902" s="13"/>
    </row>
    <row r="903" spans="12:13" x14ac:dyDescent="0.2">
      <c r="L903" s="12"/>
      <c r="M903" s="13"/>
    </row>
    <row r="904" spans="12:13" x14ac:dyDescent="0.2">
      <c r="L904" s="12"/>
      <c r="M904" s="13"/>
    </row>
    <row r="905" spans="12:13" x14ac:dyDescent="0.2">
      <c r="L905" s="12"/>
      <c r="M905" s="13"/>
    </row>
    <row r="906" spans="12:13" x14ac:dyDescent="0.2">
      <c r="L906" s="12"/>
      <c r="M906" s="13"/>
    </row>
    <row r="907" spans="12:13" x14ac:dyDescent="0.2">
      <c r="L907" s="12"/>
      <c r="M907" s="13"/>
    </row>
    <row r="908" spans="12:13" x14ac:dyDescent="0.2">
      <c r="L908" s="12"/>
      <c r="M908" s="13"/>
    </row>
    <row r="909" spans="12:13" x14ac:dyDescent="0.2">
      <c r="L909" s="12"/>
      <c r="M909" s="13"/>
    </row>
    <row r="910" spans="12:13" x14ac:dyDescent="0.2">
      <c r="L910" s="12"/>
      <c r="M910" s="13"/>
    </row>
    <row r="911" spans="12:13" x14ac:dyDescent="0.2">
      <c r="L911" s="12"/>
      <c r="M911" s="13"/>
    </row>
    <row r="912" spans="12:13" x14ac:dyDescent="0.2">
      <c r="L912" s="12"/>
      <c r="M912" s="13"/>
    </row>
    <row r="913" spans="12:13" x14ac:dyDescent="0.2">
      <c r="L913" s="12"/>
      <c r="M913" s="13"/>
    </row>
    <row r="914" spans="12:13" x14ac:dyDescent="0.2">
      <c r="L914" s="12"/>
      <c r="M914" s="13"/>
    </row>
    <row r="915" spans="12:13" x14ac:dyDescent="0.2">
      <c r="L915" s="12"/>
      <c r="M915" s="13"/>
    </row>
    <row r="916" spans="12:13" x14ac:dyDescent="0.2">
      <c r="L916" s="12"/>
      <c r="M916" s="13"/>
    </row>
    <row r="917" spans="12:13" x14ac:dyDescent="0.2">
      <c r="L917" s="12"/>
      <c r="M917" s="13"/>
    </row>
    <row r="918" spans="12:13" x14ac:dyDescent="0.2">
      <c r="L918" s="12"/>
      <c r="M918" s="13"/>
    </row>
    <row r="919" spans="12:13" x14ac:dyDescent="0.2">
      <c r="L919" s="12"/>
      <c r="M919" s="13"/>
    </row>
    <row r="920" spans="12:13" x14ac:dyDescent="0.2">
      <c r="L920" s="12"/>
      <c r="M920" s="13"/>
    </row>
    <row r="921" spans="12:13" x14ac:dyDescent="0.2">
      <c r="L921" s="12"/>
      <c r="M921" s="13"/>
    </row>
    <row r="922" spans="12:13" x14ac:dyDescent="0.2">
      <c r="L922" s="12"/>
      <c r="M922" s="13"/>
    </row>
    <row r="923" spans="12:13" x14ac:dyDescent="0.2">
      <c r="L923" s="12"/>
      <c r="M923" s="13"/>
    </row>
    <row r="924" spans="12:13" x14ac:dyDescent="0.2">
      <c r="L924" s="12"/>
      <c r="M924" s="13"/>
    </row>
    <row r="925" spans="12:13" x14ac:dyDescent="0.2">
      <c r="L925" s="12"/>
      <c r="M925" s="13"/>
    </row>
    <row r="926" spans="12:13" x14ac:dyDescent="0.2">
      <c r="L926" s="12"/>
      <c r="M926" s="13"/>
    </row>
    <row r="927" spans="12:13" x14ac:dyDescent="0.2">
      <c r="L927" s="12"/>
      <c r="M927" s="13"/>
    </row>
    <row r="928" spans="12:13" x14ac:dyDescent="0.2">
      <c r="L928" s="12"/>
      <c r="M928" s="13"/>
    </row>
    <row r="929" spans="12:13" x14ac:dyDescent="0.2">
      <c r="L929" s="12"/>
      <c r="M929" s="13"/>
    </row>
    <row r="930" spans="12:13" x14ac:dyDescent="0.2">
      <c r="L930" s="12"/>
      <c r="M930" s="13"/>
    </row>
    <row r="931" spans="12:13" x14ac:dyDescent="0.2">
      <c r="L931" s="12"/>
      <c r="M931" s="13"/>
    </row>
    <row r="932" spans="12:13" x14ac:dyDescent="0.2">
      <c r="L932" s="12"/>
      <c r="M932" s="13"/>
    </row>
    <row r="933" spans="12:13" x14ac:dyDescent="0.2">
      <c r="L933" s="12"/>
      <c r="M933" s="13"/>
    </row>
    <row r="934" spans="12:13" x14ac:dyDescent="0.2">
      <c r="L934" s="12"/>
      <c r="M934" s="13"/>
    </row>
    <row r="935" spans="12:13" x14ac:dyDescent="0.2">
      <c r="L935" s="12"/>
      <c r="M935" s="13"/>
    </row>
    <row r="936" spans="12:13" x14ac:dyDescent="0.2">
      <c r="L936" s="12"/>
      <c r="M936" s="13"/>
    </row>
    <row r="937" spans="12:13" x14ac:dyDescent="0.2">
      <c r="L937" s="12"/>
      <c r="M937" s="13"/>
    </row>
    <row r="938" spans="12:13" x14ac:dyDescent="0.2">
      <c r="L938" s="12"/>
      <c r="M938" s="13"/>
    </row>
    <row r="939" spans="12:13" x14ac:dyDescent="0.2">
      <c r="L939" s="12"/>
      <c r="M939" s="13"/>
    </row>
    <row r="940" spans="12:13" x14ac:dyDescent="0.2">
      <c r="L940" s="12"/>
      <c r="M940" s="13"/>
    </row>
    <row r="941" spans="12:13" x14ac:dyDescent="0.2">
      <c r="L941" s="12"/>
      <c r="M941" s="13"/>
    </row>
    <row r="942" spans="12:13" x14ac:dyDescent="0.2">
      <c r="L942" s="12"/>
      <c r="M942" s="13"/>
    </row>
    <row r="943" spans="12:13" x14ac:dyDescent="0.2">
      <c r="L943" s="12"/>
      <c r="M943" s="13"/>
    </row>
    <row r="944" spans="12:13" x14ac:dyDescent="0.2">
      <c r="L944" s="12"/>
      <c r="M944" s="13"/>
    </row>
    <row r="945" spans="12:13" x14ac:dyDescent="0.2">
      <c r="L945" s="12"/>
      <c r="M945" s="13"/>
    </row>
    <row r="946" spans="12:13" x14ac:dyDescent="0.2">
      <c r="L946" s="12"/>
      <c r="M946" s="13"/>
    </row>
    <row r="947" spans="12:13" x14ac:dyDescent="0.2">
      <c r="L947" s="12"/>
      <c r="M947" s="13"/>
    </row>
    <row r="948" spans="12:13" x14ac:dyDescent="0.2">
      <c r="L948" s="12"/>
      <c r="M948" s="13"/>
    </row>
    <row r="949" spans="12:13" x14ac:dyDescent="0.2">
      <c r="L949" s="12"/>
      <c r="M949" s="13"/>
    </row>
    <row r="950" spans="12:13" x14ac:dyDescent="0.2">
      <c r="L950" s="12"/>
      <c r="M950" s="13"/>
    </row>
    <row r="951" spans="12:13" x14ac:dyDescent="0.2">
      <c r="L951" s="12"/>
      <c r="M951" s="13"/>
    </row>
    <row r="952" spans="12:13" x14ac:dyDescent="0.2">
      <c r="L952" s="12"/>
      <c r="M952" s="13"/>
    </row>
    <row r="953" spans="12:13" x14ac:dyDescent="0.2">
      <c r="L953" s="12"/>
      <c r="M953" s="13"/>
    </row>
    <row r="954" spans="12:13" x14ac:dyDescent="0.2">
      <c r="L954" s="12"/>
      <c r="M954" s="13"/>
    </row>
    <row r="955" spans="12:13" x14ac:dyDescent="0.2">
      <c r="L955" s="12"/>
      <c r="M955" s="13"/>
    </row>
    <row r="956" spans="12:13" x14ac:dyDescent="0.2">
      <c r="L956" s="12"/>
      <c r="M956" s="13"/>
    </row>
    <row r="957" spans="12:13" x14ac:dyDescent="0.2">
      <c r="L957" s="12"/>
      <c r="M957" s="13"/>
    </row>
    <row r="958" spans="12:13" x14ac:dyDescent="0.2">
      <c r="L958" s="12"/>
      <c r="M958" s="13"/>
    </row>
    <row r="959" spans="12:13" x14ac:dyDescent="0.2">
      <c r="L959" s="12"/>
      <c r="M959" s="13"/>
    </row>
    <row r="960" spans="12:13" x14ac:dyDescent="0.2">
      <c r="L960" s="12"/>
      <c r="M960" s="13"/>
    </row>
    <row r="961" spans="12:13" x14ac:dyDescent="0.2">
      <c r="L961" s="12"/>
      <c r="M961" s="13"/>
    </row>
    <row r="962" spans="12:13" x14ac:dyDescent="0.2">
      <c r="L962" s="12"/>
      <c r="M962" s="13"/>
    </row>
    <row r="963" spans="12:13" x14ac:dyDescent="0.2">
      <c r="L963" s="12"/>
      <c r="M963" s="13"/>
    </row>
    <row r="964" spans="12:13" x14ac:dyDescent="0.2">
      <c r="L964" s="12"/>
      <c r="M964" s="13"/>
    </row>
    <row r="965" spans="12:13" x14ac:dyDescent="0.2">
      <c r="L965" s="12"/>
      <c r="M965" s="13"/>
    </row>
    <row r="966" spans="12:13" x14ac:dyDescent="0.2">
      <c r="L966" s="12"/>
      <c r="M966" s="13"/>
    </row>
    <row r="967" spans="12:13" x14ac:dyDescent="0.2">
      <c r="L967" s="12"/>
      <c r="M967" s="13"/>
    </row>
    <row r="968" spans="12:13" x14ac:dyDescent="0.2">
      <c r="L968" s="12"/>
      <c r="M968" s="13"/>
    </row>
    <row r="969" spans="12:13" x14ac:dyDescent="0.2">
      <c r="L969" s="12"/>
      <c r="M969" s="13"/>
    </row>
    <row r="970" spans="12:13" x14ac:dyDescent="0.2">
      <c r="L970" s="12"/>
      <c r="M970" s="13"/>
    </row>
    <row r="971" spans="12:13" x14ac:dyDescent="0.2">
      <c r="L971" s="12"/>
      <c r="M971" s="13"/>
    </row>
    <row r="972" spans="12:13" x14ac:dyDescent="0.2">
      <c r="L972" s="12"/>
      <c r="M972" s="13"/>
    </row>
    <row r="973" spans="12:13" x14ac:dyDescent="0.2">
      <c r="L973" s="12"/>
      <c r="M973" s="13"/>
    </row>
    <row r="974" spans="12:13" x14ac:dyDescent="0.2">
      <c r="L974" s="12"/>
      <c r="M974" s="13"/>
    </row>
    <row r="975" spans="12:13" x14ac:dyDescent="0.2">
      <c r="L975" s="12"/>
      <c r="M975" s="13"/>
    </row>
    <row r="976" spans="12:13" x14ac:dyDescent="0.2">
      <c r="L976" s="12"/>
      <c r="M976" s="13"/>
    </row>
    <row r="977" spans="12:13" x14ac:dyDescent="0.2">
      <c r="L977" s="12"/>
      <c r="M977" s="13"/>
    </row>
    <row r="978" spans="12:13" x14ac:dyDescent="0.2">
      <c r="L978" s="12"/>
      <c r="M978" s="13"/>
    </row>
    <row r="979" spans="12:13" x14ac:dyDescent="0.2">
      <c r="L979" s="12"/>
      <c r="M979" s="13"/>
    </row>
    <row r="980" spans="12:13" x14ac:dyDescent="0.2">
      <c r="L980" s="12"/>
      <c r="M980" s="13"/>
    </row>
    <row r="981" spans="12:13" x14ac:dyDescent="0.2">
      <c r="L981" s="12"/>
      <c r="M981" s="13"/>
    </row>
    <row r="982" spans="12:13" x14ac:dyDescent="0.2">
      <c r="L982" s="12"/>
      <c r="M982" s="13"/>
    </row>
    <row r="983" spans="12:13" x14ac:dyDescent="0.2">
      <c r="L983" s="12"/>
      <c r="M983" s="13"/>
    </row>
    <row r="984" spans="12:13" x14ac:dyDescent="0.2">
      <c r="L984" s="12"/>
      <c r="M984" s="13"/>
    </row>
    <row r="985" spans="12:13" x14ac:dyDescent="0.2">
      <c r="L985" s="12"/>
      <c r="M985" s="13"/>
    </row>
    <row r="986" spans="12:13" x14ac:dyDescent="0.2">
      <c r="L986" s="12"/>
      <c r="M986" s="13"/>
    </row>
    <row r="987" spans="12:13" x14ac:dyDescent="0.2">
      <c r="L987" s="12"/>
      <c r="M987" s="13"/>
    </row>
    <row r="988" spans="12:13" x14ac:dyDescent="0.2">
      <c r="L988" s="12"/>
      <c r="M988" s="13"/>
    </row>
    <row r="989" spans="12:13" x14ac:dyDescent="0.2">
      <c r="L989" s="12"/>
      <c r="M989" s="13"/>
    </row>
    <row r="990" spans="12:13" x14ac:dyDescent="0.2">
      <c r="L990" s="12"/>
      <c r="M990" s="13"/>
    </row>
    <row r="991" spans="12:13" x14ac:dyDescent="0.2">
      <c r="L991" s="12"/>
      <c r="M991" s="13"/>
    </row>
    <row r="992" spans="12:13" x14ac:dyDescent="0.2">
      <c r="L992" s="12"/>
      <c r="M992" s="13"/>
    </row>
    <row r="993" spans="12:13" x14ac:dyDescent="0.2">
      <c r="L993" s="12"/>
      <c r="M993" s="13"/>
    </row>
    <row r="994" spans="12:13" x14ac:dyDescent="0.2">
      <c r="L994" s="12"/>
      <c r="M994" s="13"/>
    </row>
    <row r="995" spans="12:13" x14ac:dyDescent="0.2">
      <c r="L995" s="12"/>
      <c r="M995" s="13"/>
    </row>
    <row r="996" spans="12:13" x14ac:dyDescent="0.2">
      <c r="L996" s="12"/>
      <c r="M996" s="13"/>
    </row>
    <row r="997" spans="12:13" x14ac:dyDescent="0.2">
      <c r="L997" s="12"/>
      <c r="M997" s="13"/>
    </row>
    <row r="998" spans="12:13" x14ac:dyDescent="0.2">
      <c r="L998" s="12"/>
      <c r="M998" s="13"/>
    </row>
    <row r="999" spans="12:13" x14ac:dyDescent="0.2">
      <c r="L999" s="12"/>
      <c r="M999" s="13"/>
    </row>
    <row r="1000" spans="12:13" x14ac:dyDescent="0.2">
      <c r="L1000" s="12"/>
      <c r="M1000" s="13"/>
    </row>
    <row r="1001" spans="12:13" x14ac:dyDescent="0.2">
      <c r="L1001" s="12"/>
      <c r="M1001" s="13"/>
    </row>
    <row r="1002" spans="12:13" x14ac:dyDescent="0.2">
      <c r="L1002" s="12"/>
      <c r="M1002" s="13"/>
    </row>
    <row r="1003" spans="12:13" x14ac:dyDescent="0.2">
      <c r="L1003" s="12"/>
      <c r="M1003" s="13"/>
    </row>
    <row r="1004" spans="12:13" x14ac:dyDescent="0.2">
      <c r="L1004" s="12"/>
      <c r="M1004" s="13"/>
    </row>
    <row r="1005" spans="12:13" x14ac:dyDescent="0.2">
      <c r="L1005" s="12"/>
      <c r="M1005" s="13"/>
    </row>
    <row r="1006" spans="12:13" x14ac:dyDescent="0.2">
      <c r="L1006" s="12"/>
      <c r="M1006" s="13"/>
    </row>
    <row r="1007" spans="12:13" x14ac:dyDescent="0.2">
      <c r="L1007" s="12"/>
      <c r="M1007" s="13"/>
    </row>
    <row r="1008" spans="12:13" x14ac:dyDescent="0.2">
      <c r="L1008" s="12"/>
      <c r="M1008" s="13"/>
    </row>
    <row r="1009" spans="12:13" x14ac:dyDescent="0.2">
      <c r="L1009" s="12"/>
      <c r="M1009" s="13"/>
    </row>
    <row r="1010" spans="12:13" x14ac:dyDescent="0.2">
      <c r="L1010" s="12"/>
      <c r="M1010" s="13"/>
    </row>
    <row r="1011" spans="12:13" x14ac:dyDescent="0.2">
      <c r="L1011" s="12"/>
      <c r="M1011" s="13"/>
    </row>
    <row r="1012" spans="12:13" x14ac:dyDescent="0.2">
      <c r="L1012" s="12"/>
      <c r="M1012" s="13"/>
    </row>
    <row r="1013" spans="12:13" x14ac:dyDescent="0.2">
      <c r="L1013" s="12"/>
      <c r="M1013" s="13"/>
    </row>
    <row r="1014" spans="12:13" x14ac:dyDescent="0.2">
      <c r="L1014" s="12"/>
      <c r="M1014" s="13"/>
    </row>
    <row r="1015" spans="12:13" x14ac:dyDescent="0.2">
      <c r="L1015" s="12"/>
      <c r="M1015" s="13"/>
    </row>
    <row r="1016" spans="12:13" x14ac:dyDescent="0.2">
      <c r="L1016" s="12"/>
      <c r="M1016" s="13"/>
    </row>
    <row r="1017" spans="12:13" x14ac:dyDescent="0.2">
      <c r="L1017" s="12"/>
      <c r="M1017" s="13"/>
    </row>
    <row r="1018" spans="12:13" x14ac:dyDescent="0.2">
      <c r="L1018" s="12"/>
      <c r="M1018" s="13"/>
    </row>
    <row r="1019" spans="12:13" x14ac:dyDescent="0.2">
      <c r="L1019" s="12"/>
      <c r="M1019" s="13"/>
    </row>
    <row r="1020" spans="12:13" x14ac:dyDescent="0.2">
      <c r="L1020" s="12"/>
      <c r="M1020" s="13"/>
    </row>
    <row r="1021" spans="12:13" x14ac:dyDescent="0.2">
      <c r="L1021" s="12"/>
      <c r="M1021" s="13"/>
    </row>
    <row r="1022" spans="12:13" x14ac:dyDescent="0.2">
      <c r="L1022" s="12"/>
      <c r="M1022" s="13"/>
    </row>
    <row r="1023" spans="12:13" x14ac:dyDescent="0.2">
      <c r="L1023" s="12"/>
      <c r="M1023" s="13"/>
    </row>
    <row r="1024" spans="12:13" x14ac:dyDescent="0.2">
      <c r="L1024" s="12"/>
      <c r="M1024" s="13"/>
    </row>
    <row r="1025" spans="12:13" x14ac:dyDescent="0.2">
      <c r="L1025" s="12"/>
      <c r="M1025" s="13"/>
    </row>
    <row r="1026" spans="12:13" x14ac:dyDescent="0.2">
      <c r="L1026" s="17"/>
      <c r="M1026" s="18"/>
    </row>
    <row r="1027" spans="12:13" x14ac:dyDescent="0.2">
      <c r="L1027" s="12"/>
      <c r="M1027" s="13"/>
    </row>
    <row r="1028" spans="12:13" x14ac:dyDescent="0.2">
      <c r="L1028" s="12"/>
      <c r="M1028" s="13"/>
    </row>
    <row r="1029" spans="12:13" x14ac:dyDescent="0.2">
      <c r="L1029" s="12"/>
      <c r="M1029" s="13"/>
    </row>
    <row r="1030" spans="12:13" x14ac:dyDescent="0.2">
      <c r="L1030" s="12"/>
      <c r="M1030" s="13"/>
    </row>
    <row r="1031" spans="12:13" x14ac:dyDescent="0.2">
      <c r="L1031" s="12"/>
      <c r="M1031" s="13"/>
    </row>
    <row r="1032" spans="12:13" x14ac:dyDescent="0.2">
      <c r="L1032" s="12"/>
      <c r="M1032" s="13"/>
    </row>
    <row r="1033" spans="12:13" x14ac:dyDescent="0.2">
      <c r="L1033" s="12"/>
      <c r="M1033" s="13"/>
    </row>
    <row r="1034" spans="12:13" x14ac:dyDescent="0.2">
      <c r="L1034" s="12"/>
      <c r="M1034" s="13"/>
    </row>
    <row r="1035" spans="12:13" x14ac:dyDescent="0.2">
      <c r="L1035" s="12"/>
      <c r="M1035" s="13"/>
    </row>
    <row r="1036" spans="12:13" x14ac:dyDescent="0.2">
      <c r="L1036" s="12"/>
      <c r="M1036" s="13"/>
    </row>
    <row r="1037" spans="12:13" x14ac:dyDescent="0.2">
      <c r="L1037" s="12"/>
      <c r="M1037" s="13"/>
    </row>
    <row r="1038" spans="12:13" x14ac:dyDescent="0.2">
      <c r="L1038" s="12"/>
      <c r="M1038" s="13"/>
    </row>
    <row r="1039" spans="12:13" x14ac:dyDescent="0.2">
      <c r="L1039" s="12"/>
      <c r="M1039" s="13"/>
    </row>
    <row r="1040" spans="12:13" x14ac:dyDescent="0.2">
      <c r="L1040" s="12"/>
      <c r="M1040" s="13"/>
    </row>
    <row r="1041" spans="12:13" x14ac:dyDescent="0.2">
      <c r="L1041" s="12"/>
      <c r="M1041" s="13"/>
    </row>
    <row r="1042" spans="12:13" x14ac:dyDescent="0.2">
      <c r="L1042" s="12"/>
      <c r="M1042" s="13"/>
    </row>
    <row r="1043" spans="12:13" x14ac:dyDescent="0.2">
      <c r="L1043" s="12"/>
      <c r="M1043" s="13"/>
    </row>
    <row r="1044" spans="12:13" x14ac:dyDescent="0.2">
      <c r="L1044" s="12"/>
      <c r="M1044" s="13"/>
    </row>
    <row r="1045" spans="12:13" x14ac:dyDescent="0.2">
      <c r="L1045" s="12"/>
      <c r="M1045" s="13"/>
    </row>
    <row r="1046" spans="12:13" x14ac:dyDescent="0.2">
      <c r="L1046" s="12"/>
      <c r="M1046" s="13"/>
    </row>
    <row r="1047" spans="12:13" x14ac:dyDescent="0.2">
      <c r="L1047" s="12"/>
      <c r="M1047" s="13"/>
    </row>
    <row r="1048" spans="12:13" x14ac:dyDescent="0.2">
      <c r="L1048" s="12"/>
      <c r="M1048" s="13"/>
    </row>
    <row r="1049" spans="12:13" x14ac:dyDescent="0.2">
      <c r="L1049" s="12"/>
      <c r="M1049" s="13"/>
    </row>
    <row r="1050" spans="12:13" x14ac:dyDescent="0.2">
      <c r="L1050" s="12"/>
      <c r="M1050" s="13"/>
    </row>
    <row r="1051" spans="12:13" x14ac:dyDescent="0.2">
      <c r="L1051" s="12"/>
      <c r="M1051" s="13"/>
    </row>
    <row r="1052" spans="12:13" x14ac:dyDescent="0.2">
      <c r="L1052" s="12"/>
      <c r="M1052" s="13"/>
    </row>
    <row r="1053" spans="12:13" x14ac:dyDescent="0.2">
      <c r="L1053" s="12"/>
      <c r="M1053" s="13"/>
    </row>
    <row r="1054" spans="12:13" x14ac:dyDescent="0.2">
      <c r="L1054" s="12"/>
      <c r="M1054" s="13"/>
    </row>
    <row r="1055" spans="12:13" x14ac:dyDescent="0.2">
      <c r="L1055" s="12"/>
      <c r="M1055" s="13"/>
    </row>
    <row r="1056" spans="12:13" x14ac:dyDescent="0.2">
      <c r="L1056" s="12"/>
      <c r="M1056" s="13"/>
    </row>
    <row r="1057" spans="12:13" x14ac:dyDescent="0.2">
      <c r="L1057" s="12"/>
      <c r="M1057" s="13"/>
    </row>
    <row r="1058" spans="12:13" x14ac:dyDescent="0.2">
      <c r="L1058" s="12"/>
      <c r="M1058" s="13"/>
    </row>
    <row r="1059" spans="12:13" x14ac:dyDescent="0.2">
      <c r="L1059" s="12"/>
      <c r="M1059" s="13"/>
    </row>
    <row r="1060" spans="12:13" x14ac:dyDescent="0.2">
      <c r="L1060" s="12"/>
      <c r="M1060" s="13"/>
    </row>
    <row r="1061" spans="12:13" x14ac:dyDescent="0.2">
      <c r="L1061" s="12"/>
      <c r="M1061" s="13"/>
    </row>
    <row r="1062" spans="12:13" x14ac:dyDescent="0.2">
      <c r="L1062" s="12"/>
      <c r="M1062" s="13"/>
    </row>
    <row r="1063" spans="12:13" x14ac:dyDescent="0.2">
      <c r="L1063" s="12"/>
      <c r="M1063" s="13"/>
    </row>
    <row r="1064" spans="12:13" x14ac:dyDescent="0.2">
      <c r="L1064" s="12"/>
      <c r="M1064" s="13"/>
    </row>
    <row r="1065" spans="12:13" x14ac:dyDescent="0.2">
      <c r="L1065" s="12"/>
      <c r="M1065" s="13"/>
    </row>
    <row r="1066" spans="12:13" x14ac:dyDescent="0.2">
      <c r="L1066" s="12"/>
      <c r="M1066" s="13"/>
    </row>
    <row r="1067" spans="12:13" x14ac:dyDescent="0.2">
      <c r="L1067" s="12"/>
      <c r="M1067" s="13"/>
    </row>
    <row r="1068" spans="12:13" x14ac:dyDescent="0.2">
      <c r="L1068" s="12"/>
      <c r="M1068" s="13"/>
    </row>
    <row r="1069" spans="12:13" x14ac:dyDescent="0.2">
      <c r="L1069" s="12"/>
      <c r="M1069" s="13"/>
    </row>
    <row r="1070" spans="12:13" x14ac:dyDescent="0.2">
      <c r="L1070" s="12"/>
      <c r="M1070" s="13"/>
    </row>
    <row r="1071" spans="12:13" x14ac:dyDescent="0.2">
      <c r="L1071" s="12"/>
      <c r="M1071" s="13"/>
    </row>
    <row r="1072" spans="12:13" x14ac:dyDescent="0.2">
      <c r="L1072" s="12"/>
      <c r="M1072" s="13"/>
    </row>
    <row r="1073" spans="12:13" x14ac:dyDescent="0.2">
      <c r="L1073" s="12"/>
      <c r="M1073" s="13"/>
    </row>
    <row r="1074" spans="12:13" x14ac:dyDescent="0.2">
      <c r="L1074" s="12"/>
      <c r="M1074" s="13"/>
    </row>
    <row r="1075" spans="12:13" x14ac:dyDescent="0.2">
      <c r="L1075" s="12"/>
      <c r="M1075" s="13"/>
    </row>
    <row r="1076" spans="12:13" x14ac:dyDescent="0.2">
      <c r="L1076" s="12"/>
      <c r="M1076" s="13"/>
    </row>
    <row r="1077" spans="12:13" x14ac:dyDescent="0.2">
      <c r="L1077" s="12"/>
      <c r="M1077" s="13"/>
    </row>
    <row r="1078" spans="12:13" x14ac:dyDescent="0.2">
      <c r="L1078" s="12"/>
      <c r="M1078" s="13"/>
    </row>
    <row r="1079" spans="12:13" x14ac:dyDescent="0.2">
      <c r="L1079" s="12"/>
      <c r="M1079" s="13"/>
    </row>
    <row r="1080" spans="12:13" x14ac:dyDescent="0.2">
      <c r="L1080" s="12"/>
      <c r="M1080" s="13"/>
    </row>
    <row r="1081" spans="12:13" x14ac:dyDescent="0.2">
      <c r="L1081" s="12"/>
      <c r="M1081" s="13"/>
    </row>
    <row r="1082" spans="12:13" x14ac:dyDescent="0.2">
      <c r="L1082" s="12"/>
      <c r="M1082" s="13"/>
    </row>
    <row r="1083" spans="12:13" x14ac:dyDescent="0.2">
      <c r="L1083" s="12"/>
      <c r="M1083" s="13"/>
    </row>
    <row r="1084" spans="12:13" x14ac:dyDescent="0.2">
      <c r="L1084" s="12"/>
      <c r="M1084" s="13"/>
    </row>
    <row r="1085" spans="12:13" x14ac:dyDescent="0.2">
      <c r="L1085" s="12"/>
      <c r="M1085" s="13"/>
    </row>
    <row r="1086" spans="12:13" x14ac:dyDescent="0.2">
      <c r="L1086" s="12"/>
      <c r="M1086" s="13"/>
    </row>
    <row r="1087" spans="12:13" x14ac:dyDescent="0.2">
      <c r="L1087" s="12"/>
      <c r="M1087" s="13"/>
    </row>
    <row r="1088" spans="12:13" x14ac:dyDescent="0.2">
      <c r="L1088" s="12"/>
      <c r="M1088" s="13"/>
    </row>
    <row r="1089" spans="12:13" x14ac:dyDescent="0.2">
      <c r="L1089" s="12"/>
      <c r="M1089" s="13"/>
    </row>
    <row r="1090" spans="12:13" x14ac:dyDescent="0.2">
      <c r="L1090" s="12"/>
      <c r="M1090" s="13"/>
    </row>
    <row r="1091" spans="12:13" x14ac:dyDescent="0.2">
      <c r="L1091" s="12"/>
      <c r="M1091" s="13"/>
    </row>
    <row r="1092" spans="12:13" x14ac:dyDescent="0.2">
      <c r="L1092" s="12"/>
      <c r="M1092" s="13"/>
    </row>
    <row r="1093" spans="12:13" x14ac:dyDescent="0.2">
      <c r="L1093" s="12"/>
      <c r="M1093" s="13"/>
    </row>
    <row r="1094" spans="12:13" x14ac:dyDescent="0.2">
      <c r="L1094" s="12"/>
      <c r="M1094" s="13"/>
    </row>
    <row r="1095" spans="12:13" x14ac:dyDescent="0.2">
      <c r="L1095" s="12"/>
      <c r="M1095" s="13"/>
    </row>
    <row r="1096" spans="12:13" x14ac:dyDescent="0.2">
      <c r="L1096" s="12"/>
      <c r="M1096" s="13"/>
    </row>
    <row r="1097" spans="12:13" x14ac:dyDescent="0.2">
      <c r="L1097" s="12"/>
      <c r="M1097" s="13"/>
    </row>
    <row r="1098" spans="12:13" x14ac:dyDescent="0.2">
      <c r="L1098" s="12"/>
      <c r="M1098" s="13"/>
    </row>
    <row r="1099" spans="12:13" x14ac:dyDescent="0.2">
      <c r="L1099" s="12"/>
      <c r="M1099" s="13"/>
    </row>
    <row r="1100" spans="12:13" x14ac:dyDescent="0.2">
      <c r="L1100" s="12"/>
      <c r="M1100" s="13"/>
    </row>
    <row r="1101" spans="12:13" x14ac:dyDescent="0.2">
      <c r="L1101" s="12"/>
      <c r="M1101" s="13"/>
    </row>
    <row r="1102" spans="12:13" x14ac:dyDescent="0.2">
      <c r="L1102" s="12"/>
      <c r="M1102" s="13"/>
    </row>
    <row r="1103" spans="12:13" x14ac:dyDescent="0.2">
      <c r="L1103" s="12"/>
      <c r="M1103" s="13"/>
    </row>
    <row r="1104" spans="12:13" x14ac:dyDescent="0.2">
      <c r="L1104" s="12"/>
      <c r="M1104" s="13"/>
    </row>
    <row r="1105" spans="12:13" x14ac:dyDescent="0.2">
      <c r="L1105" s="12"/>
      <c r="M1105" s="13"/>
    </row>
    <row r="1106" spans="12:13" x14ac:dyDescent="0.2">
      <c r="L1106" s="12"/>
      <c r="M1106" s="13"/>
    </row>
    <row r="1107" spans="12:13" x14ac:dyDescent="0.2">
      <c r="L1107" s="12"/>
      <c r="M1107" s="13"/>
    </row>
    <row r="1108" spans="12:13" x14ac:dyDescent="0.2">
      <c r="L1108" s="12"/>
      <c r="M1108" s="13"/>
    </row>
    <row r="1109" spans="12:13" x14ac:dyDescent="0.2">
      <c r="L1109" s="12"/>
      <c r="M1109" s="13"/>
    </row>
    <row r="1110" spans="12:13" x14ac:dyDescent="0.2">
      <c r="L1110" s="12"/>
      <c r="M1110" s="13"/>
    </row>
    <row r="1111" spans="12:13" x14ac:dyDescent="0.2">
      <c r="L1111" s="12"/>
      <c r="M1111" s="13"/>
    </row>
    <row r="1112" spans="12:13" x14ac:dyDescent="0.2">
      <c r="L1112" s="12"/>
      <c r="M1112" s="13"/>
    </row>
    <row r="1113" spans="12:13" x14ac:dyDescent="0.2">
      <c r="L1113" s="12"/>
      <c r="M1113" s="13"/>
    </row>
    <row r="1114" spans="12:13" x14ac:dyDescent="0.2">
      <c r="L1114" s="12"/>
      <c r="M1114" s="13"/>
    </row>
    <row r="1115" spans="12:13" x14ac:dyDescent="0.2">
      <c r="L1115" s="12"/>
      <c r="M1115" s="13"/>
    </row>
    <row r="1116" spans="12:13" x14ac:dyDescent="0.2">
      <c r="L1116" s="12"/>
      <c r="M1116" s="13"/>
    </row>
    <row r="1117" spans="12:13" x14ac:dyDescent="0.2">
      <c r="L1117" s="12"/>
      <c r="M1117" s="13"/>
    </row>
    <row r="1118" spans="12:13" x14ac:dyDescent="0.2">
      <c r="L1118" s="12"/>
      <c r="M1118" s="13"/>
    </row>
    <row r="1119" spans="12:13" x14ac:dyDescent="0.2">
      <c r="L1119" s="12"/>
      <c r="M1119" s="13"/>
    </row>
    <row r="1120" spans="12:13" x14ac:dyDescent="0.2">
      <c r="L1120" s="12"/>
      <c r="M1120" s="13"/>
    </row>
    <row r="1121" spans="12:13" x14ac:dyDescent="0.2">
      <c r="L1121" s="12"/>
      <c r="M1121" s="13"/>
    </row>
    <row r="1122" spans="12:13" x14ac:dyDescent="0.2">
      <c r="L1122" s="12"/>
      <c r="M1122" s="13"/>
    </row>
    <row r="1123" spans="12:13" x14ac:dyDescent="0.2">
      <c r="L1123" s="12"/>
      <c r="M1123" s="13"/>
    </row>
    <row r="1124" spans="12:13" x14ac:dyDescent="0.2">
      <c r="L1124" s="12"/>
      <c r="M1124" s="13"/>
    </row>
    <row r="1125" spans="12:13" x14ac:dyDescent="0.2">
      <c r="L1125" s="12"/>
      <c r="M1125" s="13"/>
    </row>
    <row r="1126" spans="12:13" x14ac:dyDescent="0.2">
      <c r="L1126" s="12"/>
      <c r="M1126" s="13"/>
    </row>
    <row r="1127" spans="12:13" x14ac:dyDescent="0.2">
      <c r="L1127" s="12"/>
      <c r="M1127" s="13"/>
    </row>
    <row r="1128" spans="12:13" x14ac:dyDescent="0.2">
      <c r="L1128" s="12"/>
      <c r="M1128" s="13"/>
    </row>
    <row r="1129" spans="12:13" x14ac:dyDescent="0.2">
      <c r="L1129" s="12"/>
      <c r="M1129" s="13"/>
    </row>
    <row r="1130" spans="12:13" x14ac:dyDescent="0.2">
      <c r="L1130" s="12"/>
      <c r="M1130" s="13"/>
    </row>
    <row r="1131" spans="12:13" x14ac:dyDescent="0.2">
      <c r="L1131" s="12"/>
      <c r="M1131" s="13"/>
    </row>
    <row r="1132" spans="12:13" x14ac:dyDescent="0.2">
      <c r="L1132" s="12"/>
      <c r="M1132" s="13"/>
    </row>
    <row r="1133" spans="12:13" x14ac:dyDescent="0.2">
      <c r="L1133" s="12"/>
      <c r="M1133" s="13"/>
    </row>
    <row r="1134" spans="12:13" x14ac:dyDescent="0.2">
      <c r="L1134" s="12"/>
      <c r="M1134" s="13"/>
    </row>
    <row r="1135" spans="12:13" x14ac:dyDescent="0.2">
      <c r="L1135" s="12"/>
      <c r="M1135" s="13"/>
    </row>
    <row r="1136" spans="12:13" x14ac:dyDescent="0.2">
      <c r="L1136" s="12"/>
      <c r="M1136" s="13"/>
    </row>
    <row r="1137" spans="12:13" x14ac:dyDescent="0.2">
      <c r="L1137" s="12"/>
      <c r="M1137" s="13"/>
    </row>
    <row r="1138" spans="12:13" x14ac:dyDescent="0.2">
      <c r="L1138" s="12"/>
      <c r="M1138" s="13"/>
    </row>
    <row r="1139" spans="12:13" x14ac:dyDescent="0.2">
      <c r="L1139" s="12"/>
      <c r="M1139" s="13"/>
    </row>
    <row r="1140" spans="12:13" x14ac:dyDescent="0.2">
      <c r="L1140" s="12"/>
      <c r="M1140" s="13"/>
    </row>
    <row r="1141" spans="12:13" x14ac:dyDescent="0.2">
      <c r="L1141" s="12"/>
      <c r="M1141" s="13"/>
    </row>
    <row r="1142" spans="12:13" x14ac:dyDescent="0.2">
      <c r="L1142" s="12"/>
      <c r="M1142" s="13"/>
    </row>
    <row r="1143" spans="12:13" x14ac:dyDescent="0.2">
      <c r="L1143" s="12"/>
      <c r="M1143" s="13"/>
    </row>
    <row r="1144" spans="12:13" x14ac:dyDescent="0.2">
      <c r="L1144" s="12"/>
      <c r="M1144" s="13"/>
    </row>
    <row r="1145" spans="12:13" x14ac:dyDescent="0.2">
      <c r="L1145" s="12"/>
      <c r="M1145" s="13"/>
    </row>
    <row r="1146" spans="12:13" x14ac:dyDescent="0.2">
      <c r="L1146" s="12"/>
      <c r="M1146" s="13"/>
    </row>
    <row r="1147" spans="12:13" x14ac:dyDescent="0.2">
      <c r="L1147" s="12"/>
      <c r="M1147" s="13"/>
    </row>
    <row r="1148" spans="12:13" x14ac:dyDescent="0.2">
      <c r="L1148" s="12"/>
      <c r="M1148" s="13"/>
    </row>
    <row r="1149" spans="12:13" x14ac:dyDescent="0.2">
      <c r="L1149" s="12"/>
      <c r="M1149" s="13"/>
    </row>
    <row r="1150" spans="12:13" x14ac:dyDescent="0.2">
      <c r="L1150" s="12"/>
      <c r="M1150" s="13"/>
    </row>
    <row r="1151" spans="12:13" x14ac:dyDescent="0.2">
      <c r="L1151" s="12"/>
      <c r="M1151" s="13"/>
    </row>
    <row r="1152" spans="12:13" x14ac:dyDescent="0.2">
      <c r="L1152" s="12"/>
      <c r="M1152" s="13"/>
    </row>
    <row r="1153" spans="12:13" x14ac:dyDescent="0.2">
      <c r="L1153" s="12"/>
      <c r="M1153" s="13"/>
    </row>
    <row r="1154" spans="12:13" x14ac:dyDescent="0.2">
      <c r="L1154" s="12"/>
      <c r="M1154" s="13"/>
    </row>
    <row r="1155" spans="12:13" x14ac:dyDescent="0.2">
      <c r="L1155" s="12"/>
      <c r="M1155" s="13"/>
    </row>
    <row r="1156" spans="12:13" x14ac:dyDescent="0.2">
      <c r="L1156" s="12"/>
      <c r="M1156" s="13"/>
    </row>
    <row r="1157" spans="12:13" x14ac:dyDescent="0.2">
      <c r="L1157" s="12"/>
      <c r="M1157" s="13"/>
    </row>
    <row r="1158" spans="12:13" x14ac:dyDescent="0.2">
      <c r="L1158" s="12"/>
      <c r="M1158" s="13"/>
    </row>
    <row r="1159" spans="12:13" x14ac:dyDescent="0.2">
      <c r="L1159" s="12"/>
      <c r="M1159" s="13"/>
    </row>
    <row r="1160" spans="12:13" x14ac:dyDescent="0.2">
      <c r="L1160" s="12"/>
      <c r="M1160" s="13"/>
    </row>
    <row r="1161" spans="12:13" x14ac:dyDescent="0.2">
      <c r="L1161" s="12"/>
      <c r="M1161" s="13"/>
    </row>
    <row r="1162" spans="12:13" x14ac:dyDescent="0.2">
      <c r="L1162" s="12"/>
      <c r="M1162" s="13"/>
    </row>
    <row r="1163" spans="12:13" x14ac:dyDescent="0.2">
      <c r="L1163" s="12"/>
      <c r="M1163" s="13"/>
    </row>
    <row r="1164" spans="12:13" x14ac:dyDescent="0.2">
      <c r="L1164" s="12"/>
      <c r="M1164" s="13"/>
    </row>
    <row r="1165" spans="12:13" x14ac:dyDescent="0.2">
      <c r="L1165" s="12"/>
      <c r="M1165" s="13"/>
    </row>
    <row r="1166" spans="12:13" x14ac:dyDescent="0.2">
      <c r="L1166" s="12"/>
      <c r="M1166" s="13"/>
    </row>
    <row r="1167" spans="12:13" x14ac:dyDescent="0.2">
      <c r="L1167" s="12"/>
      <c r="M1167" s="13"/>
    </row>
    <row r="1168" spans="12:13" x14ac:dyDescent="0.2">
      <c r="L1168" s="12"/>
      <c r="M1168" s="13"/>
    </row>
    <row r="1169" spans="12:13" x14ac:dyDescent="0.2">
      <c r="L1169" s="12"/>
      <c r="M1169" s="13"/>
    </row>
    <row r="1170" spans="12:13" x14ac:dyDescent="0.2">
      <c r="L1170" s="12"/>
      <c r="M1170" s="13"/>
    </row>
    <row r="1171" spans="12:13" x14ac:dyDescent="0.2">
      <c r="L1171" s="12"/>
      <c r="M1171" s="13"/>
    </row>
    <row r="1172" spans="12:13" x14ac:dyDescent="0.2">
      <c r="L1172" s="12"/>
      <c r="M1172" s="13"/>
    </row>
    <row r="1173" spans="12:13" x14ac:dyDescent="0.2">
      <c r="L1173" s="12"/>
      <c r="M1173" s="13"/>
    </row>
    <row r="1174" spans="12:13" x14ac:dyDescent="0.2">
      <c r="L1174" s="12"/>
      <c r="M1174" s="13"/>
    </row>
    <row r="1175" spans="12:13" x14ac:dyDescent="0.2">
      <c r="L1175" s="12"/>
      <c r="M1175" s="13"/>
    </row>
    <row r="1176" spans="12:13" x14ac:dyDescent="0.2">
      <c r="L1176" s="12"/>
      <c r="M1176" s="13"/>
    </row>
    <row r="1177" spans="12:13" x14ac:dyDescent="0.2">
      <c r="L1177" s="12"/>
      <c r="M1177" s="13"/>
    </row>
    <row r="1178" spans="12:13" x14ac:dyDescent="0.2">
      <c r="L1178" s="12"/>
      <c r="M1178" s="13"/>
    </row>
    <row r="1179" spans="12:13" x14ac:dyDescent="0.2">
      <c r="L1179" s="12"/>
      <c r="M1179" s="13"/>
    </row>
    <row r="1180" spans="12:13" x14ac:dyDescent="0.2">
      <c r="L1180" s="12"/>
      <c r="M1180" s="13"/>
    </row>
    <row r="1181" spans="12:13" x14ac:dyDescent="0.2">
      <c r="L1181" s="12"/>
      <c r="M1181" s="13"/>
    </row>
    <row r="1182" spans="12:13" x14ac:dyDescent="0.2">
      <c r="L1182" s="12"/>
      <c r="M1182" s="13"/>
    </row>
    <row r="1183" spans="12:13" x14ac:dyDescent="0.2">
      <c r="L1183" s="12"/>
      <c r="M1183" s="13"/>
    </row>
    <row r="1184" spans="12:13" x14ac:dyDescent="0.2">
      <c r="L1184" s="12"/>
      <c r="M1184" s="13"/>
    </row>
    <row r="1185" spans="12:13" x14ac:dyDescent="0.2">
      <c r="L1185" s="12"/>
      <c r="M1185" s="13"/>
    </row>
    <row r="1186" spans="12:13" x14ac:dyDescent="0.2">
      <c r="L1186" s="12"/>
      <c r="M1186" s="13"/>
    </row>
    <row r="1187" spans="12:13" x14ac:dyDescent="0.2">
      <c r="L1187" s="12"/>
      <c r="M1187" s="13"/>
    </row>
    <row r="1188" spans="12:13" x14ac:dyDescent="0.2">
      <c r="L1188" s="12"/>
      <c r="M1188" s="13"/>
    </row>
    <row r="1189" spans="12:13" x14ac:dyDescent="0.2">
      <c r="L1189" s="12"/>
      <c r="M1189" s="13"/>
    </row>
    <row r="1190" spans="12:13" x14ac:dyDescent="0.2">
      <c r="L1190" s="12"/>
      <c r="M1190" s="13"/>
    </row>
    <row r="1191" spans="12:13" x14ac:dyDescent="0.2">
      <c r="L1191" s="12"/>
      <c r="M1191" s="13"/>
    </row>
    <row r="1192" spans="12:13" x14ac:dyDescent="0.2">
      <c r="L1192" s="12"/>
      <c r="M1192" s="13"/>
    </row>
    <row r="1193" spans="12:13" x14ac:dyDescent="0.2">
      <c r="L1193" s="12"/>
      <c r="M1193" s="13"/>
    </row>
    <row r="1194" spans="12:13" x14ac:dyDescent="0.2">
      <c r="L1194" s="12"/>
      <c r="M1194" s="13"/>
    </row>
    <row r="1195" spans="12:13" x14ac:dyDescent="0.2">
      <c r="L1195" s="12"/>
      <c r="M1195" s="13"/>
    </row>
    <row r="1196" spans="12:13" x14ac:dyDescent="0.2">
      <c r="L1196" s="12"/>
      <c r="M1196" s="13"/>
    </row>
    <row r="1197" spans="12:13" x14ac:dyDescent="0.2">
      <c r="L1197" s="12"/>
      <c r="M1197" s="13"/>
    </row>
    <row r="1198" spans="12:13" x14ac:dyDescent="0.2">
      <c r="L1198" s="12"/>
      <c r="M1198" s="13"/>
    </row>
    <row r="1199" spans="12:13" x14ac:dyDescent="0.2">
      <c r="L1199" s="12"/>
      <c r="M1199" s="13"/>
    </row>
    <row r="1200" spans="12:13" x14ac:dyDescent="0.2">
      <c r="L1200" s="12"/>
      <c r="M1200" s="13"/>
    </row>
    <row r="1201" spans="12:13" x14ac:dyDescent="0.2">
      <c r="L1201" s="12"/>
      <c r="M1201" s="13"/>
    </row>
    <row r="1202" spans="12:13" x14ac:dyDescent="0.2">
      <c r="L1202" s="12"/>
      <c r="M1202" s="13"/>
    </row>
    <row r="1203" spans="12:13" x14ac:dyDescent="0.2">
      <c r="L1203" s="12"/>
      <c r="M1203" s="13"/>
    </row>
    <row r="1204" spans="12:13" x14ac:dyDescent="0.2">
      <c r="L1204" s="12"/>
      <c r="M1204" s="13"/>
    </row>
    <row r="1205" spans="12:13" x14ac:dyDescent="0.2">
      <c r="L1205" s="12"/>
      <c r="M1205" s="13"/>
    </row>
    <row r="1206" spans="12:13" x14ac:dyDescent="0.2">
      <c r="L1206" s="12"/>
      <c r="M1206" s="13"/>
    </row>
    <row r="1207" spans="12:13" x14ac:dyDescent="0.2">
      <c r="L1207" s="12"/>
      <c r="M1207" s="13"/>
    </row>
    <row r="1208" spans="12:13" x14ac:dyDescent="0.2">
      <c r="L1208" s="12"/>
      <c r="M1208" s="13"/>
    </row>
    <row r="1209" spans="12:13" x14ac:dyDescent="0.2">
      <c r="L1209" s="12"/>
      <c r="M1209" s="13"/>
    </row>
    <row r="1210" spans="12:13" x14ac:dyDescent="0.2">
      <c r="L1210" s="12"/>
      <c r="M1210" s="13"/>
    </row>
    <row r="1211" spans="12:13" x14ac:dyDescent="0.2">
      <c r="L1211" s="12"/>
      <c r="M1211" s="13"/>
    </row>
    <row r="1212" spans="12:13" x14ac:dyDescent="0.2">
      <c r="L1212" s="12"/>
      <c r="M1212" s="13"/>
    </row>
    <row r="1213" spans="12:13" x14ac:dyDescent="0.2">
      <c r="L1213" s="12"/>
      <c r="M1213" s="13"/>
    </row>
    <row r="1214" spans="12:13" x14ac:dyDescent="0.2">
      <c r="L1214" s="12"/>
      <c r="M1214" s="13"/>
    </row>
    <row r="1215" spans="12:13" x14ac:dyDescent="0.2">
      <c r="L1215" s="12"/>
      <c r="M1215" s="13"/>
    </row>
    <row r="1216" spans="12:13" x14ac:dyDescent="0.2">
      <c r="L1216" s="12"/>
      <c r="M1216" s="13"/>
    </row>
    <row r="1217" spans="12:13" x14ac:dyDescent="0.2">
      <c r="L1217" s="12"/>
      <c r="M1217" s="13"/>
    </row>
    <row r="1218" spans="12:13" x14ac:dyDescent="0.2">
      <c r="L1218" s="12"/>
      <c r="M1218" s="13"/>
    </row>
    <row r="1219" spans="12:13" x14ac:dyDescent="0.2">
      <c r="L1219" s="12"/>
      <c r="M1219" s="13"/>
    </row>
    <row r="1220" spans="12:13" x14ac:dyDescent="0.2">
      <c r="L1220" s="12"/>
      <c r="M1220" s="13"/>
    </row>
    <row r="1221" spans="12:13" x14ac:dyDescent="0.2">
      <c r="L1221" s="12"/>
      <c r="M1221" s="13"/>
    </row>
    <row r="1222" spans="12:13" x14ac:dyDescent="0.2">
      <c r="L1222" s="12"/>
      <c r="M1222" s="13"/>
    </row>
    <row r="1223" spans="12:13" x14ac:dyDescent="0.2">
      <c r="L1223" s="12"/>
      <c r="M1223" s="13"/>
    </row>
    <row r="1224" spans="12:13" x14ac:dyDescent="0.2">
      <c r="L1224" s="12"/>
      <c r="M1224" s="13"/>
    </row>
    <row r="1225" spans="12:13" x14ac:dyDescent="0.2">
      <c r="L1225" s="12"/>
      <c r="M1225" s="13"/>
    </row>
    <row r="1226" spans="12:13" x14ac:dyDescent="0.2">
      <c r="L1226" s="12"/>
      <c r="M1226" s="13"/>
    </row>
    <row r="1227" spans="12:13" x14ac:dyDescent="0.2">
      <c r="L1227" s="12"/>
      <c r="M1227" s="13"/>
    </row>
    <row r="1228" spans="12:13" x14ac:dyDescent="0.2">
      <c r="L1228" s="12"/>
      <c r="M1228" s="13"/>
    </row>
    <row r="1229" spans="12:13" x14ac:dyDescent="0.2">
      <c r="L1229" s="12"/>
      <c r="M1229" s="13"/>
    </row>
    <row r="1230" spans="12:13" x14ac:dyDescent="0.2">
      <c r="L1230" s="12"/>
      <c r="M1230" s="13"/>
    </row>
    <row r="1231" spans="12:13" x14ac:dyDescent="0.2">
      <c r="L1231" s="12"/>
      <c r="M1231" s="13"/>
    </row>
    <row r="1232" spans="12:13" x14ac:dyDescent="0.2">
      <c r="L1232" s="12"/>
      <c r="M1232" s="13"/>
    </row>
    <row r="1233" spans="12:13" x14ac:dyDescent="0.2">
      <c r="L1233" s="12"/>
      <c r="M1233" s="13"/>
    </row>
    <row r="1234" spans="12:13" x14ac:dyDescent="0.2">
      <c r="L1234" s="12"/>
      <c r="M1234" s="13"/>
    </row>
    <row r="1235" spans="12:13" x14ac:dyDescent="0.2">
      <c r="L1235" s="12"/>
      <c r="M1235" s="13"/>
    </row>
    <row r="1236" spans="12:13" x14ac:dyDescent="0.2">
      <c r="L1236" s="12"/>
      <c r="M1236" s="13"/>
    </row>
    <row r="1237" spans="12:13" x14ac:dyDescent="0.2">
      <c r="L1237" s="12"/>
      <c r="M1237" s="13"/>
    </row>
    <row r="1238" spans="12:13" x14ac:dyDescent="0.2">
      <c r="L1238" s="12"/>
      <c r="M1238" s="13"/>
    </row>
    <row r="1239" spans="12:13" x14ac:dyDescent="0.2">
      <c r="L1239" s="12"/>
      <c r="M1239" s="13"/>
    </row>
    <row r="1240" spans="12:13" x14ac:dyDescent="0.2">
      <c r="L1240" s="12"/>
      <c r="M1240" s="13"/>
    </row>
    <row r="1241" spans="12:13" x14ac:dyDescent="0.2">
      <c r="L1241" s="12"/>
      <c r="M1241" s="13"/>
    </row>
    <row r="1242" spans="12:13" x14ac:dyDescent="0.2">
      <c r="L1242" s="12"/>
      <c r="M1242" s="13"/>
    </row>
    <row r="1243" spans="12:13" x14ac:dyDescent="0.2">
      <c r="L1243" s="12"/>
      <c r="M1243" s="13"/>
    </row>
    <row r="1244" spans="12:13" x14ac:dyDescent="0.2">
      <c r="L1244" s="12"/>
      <c r="M1244" s="13"/>
    </row>
    <row r="1245" spans="12:13" x14ac:dyDescent="0.2">
      <c r="L1245" s="12"/>
      <c r="M1245" s="13"/>
    </row>
    <row r="1246" spans="12:13" x14ac:dyDescent="0.2">
      <c r="L1246" s="12"/>
      <c r="M1246" s="13"/>
    </row>
    <row r="1247" spans="12:13" x14ac:dyDescent="0.2">
      <c r="L1247" s="12"/>
      <c r="M1247" s="13"/>
    </row>
    <row r="1248" spans="12:13" x14ac:dyDescent="0.2">
      <c r="L1248" s="12"/>
      <c r="M1248" s="13"/>
    </row>
    <row r="1249" spans="12:13" x14ac:dyDescent="0.2">
      <c r="L1249" s="12"/>
      <c r="M1249" s="13"/>
    </row>
    <row r="1250" spans="12:13" x14ac:dyDescent="0.2">
      <c r="L1250" s="12"/>
      <c r="M1250" s="13"/>
    </row>
    <row r="1251" spans="12:13" x14ac:dyDescent="0.2">
      <c r="L1251" s="12"/>
      <c r="M1251" s="13"/>
    </row>
    <row r="1252" spans="12:13" x14ac:dyDescent="0.2">
      <c r="L1252" s="12"/>
      <c r="M1252" s="13"/>
    </row>
    <row r="1253" spans="12:13" x14ac:dyDescent="0.2">
      <c r="L1253" s="12"/>
      <c r="M1253" s="13"/>
    </row>
    <row r="1254" spans="12:13" x14ac:dyDescent="0.2">
      <c r="L1254" s="12"/>
      <c r="M1254" s="13"/>
    </row>
    <row r="1255" spans="12:13" x14ac:dyDescent="0.2">
      <c r="L1255" s="12"/>
      <c r="M1255" s="13"/>
    </row>
    <row r="1256" spans="12:13" x14ac:dyDescent="0.2">
      <c r="L1256" s="12"/>
      <c r="M1256" s="13"/>
    </row>
    <row r="1257" spans="12:13" x14ac:dyDescent="0.2">
      <c r="L1257" s="12"/>
      <c r="M1257" s="13"/>
    </row>
    <row r="1258" spans="12:13" x14ac:dyDescent="0.2">
      <c r="L1258" s="12"/>
      <c r="M1258" s="13"/>
    </row>
    <row r="1259" spans="12:13" x14ac:dyDescent="0.2">
      <c r="L1259" s="12"/>
      <c r="M1259" s="13"/>
    </row>
    <row r="1260" spans="12:13" x14ac:dyDescent="0.2">
      <c r="L1260" s="12"/>
      <c r="M1260" s="13"/>
    </row>
    <row r="1261" spans="12:13" x14ac:dyDescent="0.2">
      <c r="L1261" s="12"/>
      <c r="M1261" s="13"/>
    </row>
    <row r="1262" spans="12:13" x14ac:dyDescent="0.2">
      <c r="L1262" s="12"/>
      <c r="M1262" s="13"/>
    </row>
    <row r="1263" spans="12:13" x14ac:dyDescent="0.2">
      <c r="L1263" s="12"/>
      <c r="M1263" s="13"/>
    </row>
    <row r="1264" spans="12:13" x14ac:dyDescent="0.2">
      <c r="L1264" s="12"/>
      <c r="M1264" s="13"/>
    </row>
    <row r="1265" spans="12:13" x14ac:dyDescent="0.2">
      <c r="L1265" s="12"/>
      <c r="M1265" s="13"/>
    </row>
    <row r="1266" spans="12:13" x14ac:dyDescent="0.2">
      <c r="L1266" s="12"/>
      <c r="M1266" s="13"/>
    </row>
    <row r="1267" spans="12:13" x14ac:dyDescent="0.2">
      <c r="L1267" s="12"/>
      <c r="M1267" s="13"/>
    </row>
    <row r="1268" spans="12:13" x14ac:dyDescent="0.2">
      <c r="L1268" s="12"/>
      <c r="M1268" s="13"/>
    </row>
    <row r="1269" spans="12:13" x14ac:dyDescent="0.2">
      <c r="L1269" s="12"/>
      <c r="M1269" s="13"/>
    </row>
    <row r="1270" spans="12:13" x14ac:dyDescent="0.2">
      <c r="L1270" s="12"/>
      <c r="M1270" s="13"/>
    </row>
    <row r="1271" spans="12:13" x14ac:dyDescent="0.2">
      <c r="L1271" s="12"/>
      <c r="M1271" s="13"/>
    </row>
    <row r="1272" spans="12:13" x14ac:dyDescent="0.2">
      <c r="L1272" s="12"/>
      <c r="M1272" s="13"/>
    </row>
    <row r="1273" spans="12:13" x14ac:dyDescent="0.2">
      <c r="L1273" s="12"/>
      <c r="M1273" s="13"/>
    </row>
    <row r="1274" spans="12:13" x14ac:dyDescent="0.2">
      <c r="L1274" s="12"/>
      <c r="M1274" s="13"/>
    </row>
    <row r="1275" spans="12:13" x14ac:dyDescent="0.2">
      <c r="L1275" s="12"/>
      <c r="M1275" s="13"/>
    </row>
    <row r="1276" spans="12:13" x14ac:dyDescent="0.2">
      <c r="L1276" s="12"/>
      <c r="M1276" s="13"/>
    </row>
    <row r="1277" spans="12:13" x14ac:dyDescent="0.2">
      <c r="L1277" s="12"/>
      <c r="M1277" s="13"/>
    </row>
    <row r="1278" spans="12:13" x14ac:dyDescent="0.2">
      <c r="L1278" s="12"/>
      <c r="M1278" s="13"/>
    </row>
    <row r="1279" spans="12:13" x14ac:dyDescent="0.2">
      <c r="L1279" s="12"/>
      <c r="M1279" s="13"/>
    </row>
    <row r="1280" spans="12:13" x14ac:dyDescent="0.2">
      <c r="L1280" s="12"/>
      <c r="M1280" s="13"/>
    </row>
    <row r="1281" spans="12:13" x14ac:dyDescent="0.2">
      <c r="L1281" s="12"/>
      <c r="M1281" s="13"/>
    </row>
    <row r="1282" spans="12:13" x14ac:dyDescent="0.2">
      <c r="L1282" s="17"/>
      <c r="M1282" s="18"/>
    </row>
    <row r="1283" spans="12:13" x14ac:dyDescent="0.2">
      <c r="L1283" s="12"/>
      <c r="M1283" s="13"/>
    </row>
    <row r="1284" spans="12:13" x14ac:dyDescent="0.2">
      <c r="L1284" s="12"/>
      <c r="M1284" s="13"/>
    </row>
    <row r="1285" spans="12:13" x14ac:dyDescent="0.2">
      <c r="L1285" s="12"/>
      <c r="M1285" s="13"/>
    </row>
    <row r="1286" spans="12:13" x14ac:dyDescent="0.2">
      <c r="L1286" s="12"/>
      <c r="M1286" s="13"/>
    </row>
    <row r="1287" spans="12:13" x14ac:dyDescent="0.2">
      <c r="L1287" s="12"/>
      <c r="M1287" s="13"/>
    </row>
    <row r="1288" spans="12:13" x14ac:dyDescent="0.2">
      <c r="L1288" s="12"/>
      <c r="M1288" s="13"/>
    </row>
    <row r="1289" spans="12:13" x14ac:dyDescent="0.2">
      <c r="L1289" s="12"/>
      <c r="M1289" s="13"/>
    </row>
    <row r="1290" spans="12:13" x14ac:dyDescent="0.2">
      <c r="L1290" s="12"/>
      <c r="M1290" s="13"/>
    </row>
    <row r="1291" spans="12:13" x14ac:dyDescent="0.2">
      <c r="L1291" s="12"/>
      <c r="M1291" s="13"/>
    </row>
    <row r="1292" spans="12:13" x14ac:dyDescent="0.2">
      <c r="L1292" s="12"/>
      <c r="M1292" s="13"/>
    </row>
    <row r="1293" spans="12:13" x14ac:dyDescent="0.2">
      <c r="L1293" s="12"/>
      <c r="M1293" s="13"/>
    </row>
    <row r="1294" spans="12:13" x14ac:dyDescent="0.2">
      <c r="L1294" s="12"/>
      <c r="M1294" s="13"/>
    </row>
    <row r="1295" spans="12:13" x14ac:dyDescent="0.2">
      <c r="L1295" s="12"/>
      <c r="M1295" s="13"/>
    </row>
    <row r="1296" spans="12:13" x14ac:dyDescent="0.2">
      <c r="L1296" s="12"/>
      <c r="M1296" s="13"/>
    </row>
    <row r="1297" spans="12:13" x14ac:dyDescent="0.2">
      <c r="L1297" s="12"/>
      <c r="M1297" s="13"/>
    </row>
    <row r="1298" spans="12:13" x14ac:dyDescent="0.2">
      <c r="L1298" s="12"/>
      <c r="M1298" s="13"/>
    </row>
    <row r="1299" spans="12:13" x14ac:dyDescent="0.2">
      <c r="L1299" s="12"/>
      <c r="M1299" s="13"/>
    </row>
    <row r="1300" spans="12:13" x14ac:dyDescent="0.2">
      <c r="L1300" s="12"/>
      <c r="M1300" s="13"/>
    </row>
    <row r="1301" spans="12:13" x14ac:dyDescent="0.2">
      <c r="L1301" s="12"/>
      <c r="M1301" s="13"/>
    </row>
    <row r="1302" spans="12:13" x14ac:dyDescent="0.2">
      <c r="L1302" s="12"/>
      <c r="M1302" s="13"/>
    </row>
    <row r="1303" spans="12:13" x14ac:dyDescent="0.2">
      <c r="L1303" s="12"/>
      <c r="M1303" s="13"/>
    </row>
    <row r="1304" spans="12:13" x14ac:dyDescent="0.2">
      <c r="L1304" s="12"/>
      <c r="M1304" s="13"/>
    </row>
    <row r="1305" spans="12:13" x14ac:dyDescent="0.2">
      <c r="L1305" s="12"/>
      <c r="M1305" s="13"/>
    </row>
    <row r="1306" spans="12:13" x14ac:dyDescent="0.2">
      <c r="L1306" s="12"/>
      <c r="M1306" s="13"/>
    </row>
    <row r="1307" spans="12:13" x14ac:dyDescent="0.2">
      <c r="L1307" s="12"/>
      <c r="M1307" s="13"/>
    </row>
    <row r="1308" spans="12:13" x14ac:dyDescent="0.2">
      <c r="L1308" s="12"/>
      <c r="M1308" s="13"/>
    </row>
    <row r="1309" spans="12:13" x14ac:dyDescent="0.2">
      <c r="L1309" s="12"/>
      <c r="M1309" s="13"/>
    </row>
    <row r="1310" spans="12:13" x14ac:dyDescent="0.2">
      <c r="L1310" s="12"/>
      <c r="M1310" s="13"/>
    </row>
    <row r="1311" spans="12:13" x14ac:dyDescent="0.2">
      <c r="L1311" s="12"/>
      <c r="M1311" s="13"/>
    </row>
    <row r="1312" spans="12:13" x14ac:dyDescent="0.2">
      <c r="L1312" s="12"/>
      <c r="M1312" s="13"/>
    </row>
    <row r="1313" spans="12:13" x14ac:dyDescent="0.2">
      <c r="L1313" s="12"/>
      <c r="M1313" s="13"/>
    </row>
    <row r="1314" spans="12:13" x14ac:dyDescent="0.2">
      <c r="L1314" s="12"/>
      <c r="M1314" s="13"/>
    </row>
    <row r="1315" spans="12:13" x14ac:dyDescent="0.2">
      <c r="L1315" s="12"/>
      <c r="M1315" s="13"/>
    </row>
    <row r="1316" spans="12:13" x14ac:dyDescent="0.2">
      <c r="L1316" s="12"/>
      <c r="M1316" s="13"/>
    </row>
    <row r="1317" spans="12:13" x14ac:dyDescent="0.2">
      <c r="L1317" s="12"/>
      <c r="M1317" s="13"/>
    </row>
    <row r="1318" spans="12:13" x14ac:dyDescent="0.2">
      <c r="L1318" s="12"/>
      <c r="M1318" s="13"/>
    </row>
    <row r="1319" spans="12:13" x14ac:dyDescent="0.2">
      <c r="L1319" s="12"/>
      <c r="M1319" s="13"/>
    </row>
    <row r="1320" spans="12:13" x14ac:dyDescent="0.2">
      <c r="L1320" s="12"/>
      <c r="M1320" s="13"/>
    </row>
    <row r="1321" spans="12:13" x14ac:dyDescent="0.2">
      <c r="L1321" s="12"/>
      <c r="M1321" s="13"/>
    </row>
    <row r="1322" spans="12:13" x14ac:dyDescent="0.2">
      <c r="L1322" s="12"/>
      <c r="M1322" s="13"/>
    </row>
    <row r="1323" spans="12:13" x14ac:dyDescent="0.2">
      <c r="L1323" s="12"/>
      <c r="M1323" s="13"/>
    </row>
    <row r="1324" spans="12:13" x14ac:dyDescent="0.2">
      <c r="L1324" s="12"/>
      <c r="M1324" s="13"/>
    </row>
    <row r="1325" spans="12:13" x14ac:dyDescent="0.2">
      <c r="L1325" s="12"/>
      <c r="M1325" s="13"/>
    </row>
    <row r="1326" spans="12:13" x14ac:dyDescent="0.2">
      <c r="L1326" s="12"/>
      <c r="M1326" s="13"/>
    </row>
    <row r="1327" spans="12:13" x14ac:dyDescent="0.2">
      <c r="L1327" s="12"/>
      <c r="M1327" s="13"/>
    </row>
    <row r="1328" spans="12:13" x14ac:dyDescent="0.2">
      <c r="L1328" s="12"/>
      <c r="M1328" s="13"/>
    </row>
    <row r="1329" spans="12:13" x14ac:dyDescent="0.2">
      <c r="L1329" s="12"/>
      <c r="M1329" s="13"/>
    </row>
    <row r="1330" spans="12:13" x14ac:dyDescent="0.2">
      <c r="L1330" s="12"/>
      <c r="M1330" s="13"/>
    </row>
    <row r="1331" spans="12:13" x14ac:dyDescent="0.2">
      <c r="L1331" s="12"/>
      <c r="M1331" s="13"/>
    </row>
    <row r="1332" spans="12:13" x14ac:dyDescent="0.2">
      <c r="L1332" s="12"/>
      <c r="M1332" s="13"/>
    </row>
    <row r="1333" spans="12:13" x14ac:dyDescent="0.2">
      <c r="L1333" s="12"/>
      <c r="M1333" s="13"/>
    </row>
    <row r="1334" spans="12:13" x14ac:dyDescent="0.2">
      <c r="L1334" s="12"/>
      <c r="M1334" s="13"/>
    </row>
    <row r="1335" spans="12:13" x14ac:dyDescent="0.2">
      <c r="L1335" s="12"/>
      <c r="M1335" s="13"/>
    </row>
    <row r="1336" spans="12:13" x14ac:dyDescent="0.2">
      <c r="L1336" s="12"/>
      <c r="M1336" s="13"/>
    </row>
    <row r="1337" spans="12:13" x14ac:dyDescent="0.2">
      <c r="L1337" s="12"/>
      <c r="M1337" s="13"/>
    </row>
    <row r="1338" spans="12:13" x14ac:dyDescent="0.2">
      <c r="L1338" s="12"/>
      <c r="M1338" s="13"/>
    </row>
    <row r="1339" spans="12:13" x14ac:dyDescent="0.2">
      <c r="L1339" s="12"/>
      <c r="M1339" s="13"/>
    </row>
    <row r="1340" spans="12:13" x14ac:dyDescent="0.2">
      <c r="L1340" s="12"/>
      <c r="M1340" s="13"/>
    </row>
    <row r="1341" spans="12:13" x14ac:dyDescent="0.2">
      <c r="L1341" s="12"/>
      <c r="M1341" s="13"/>
    </row>
    <row r="1342" spans="12:13" x14ac:dyDescent="0.2">
      <c r="L1342" s="12"/>
      <c r="M1342" s="13"/>
    </row>
    <row r="1343" spans="12:13" x14ac:dyDescent="0.2">
      <c r="L1343" s="12"/>
      <c r="M1343" s="13"/>
    </row>
    <row r="1344" spans="12:13" x14ac:dyDescent="0.2">
      <c r="L1344" s="12"/>
      <c r="M1344" s="13"/>
    </row>
    <row r="1345" spans="12:13" x14ac:dyDescent="0.2">
      <c r="L1345" s="12"/>
      <c r="M1345" s="13"/>
    </row>
    <row r="1346" spans="12:13" x14ac:dyDescent="0.2">
      <c r="L1346" s="12"/>
      <c r="M1346" s="13"/>
    </row>
    <row r="1347" spans="12:13" x14ac:dyDescent="0.2">
      <c r="L1347" s="12"/>
      <c r="M1347" s="13"/>
    </row>
    <row r="1348" spans="12:13" x14ac:dyDescent="0.2">
      <c r="L1348" s="12"/>
      <c r="M1348" s="13"/>
    </row>
    <row r="1349" spans="12:13" x14ac:dyDescent="0.2">
      <c r="L1349" s="12"/>
      <c r="M1349" s="13"/>
    </row>
    <row r="1350" spans="12:13" x14ac:dyDescent="0.2">
      <c r="L1350" s="12"/>
      <c r="M1350" s="13"/>
    </row>
    <row r="1351" spans="12:13" x14ac:dyDescent="0.2">
      <c r="L1351" s="12"/>
      <c r="M1351" s="13"/>
    </row>
    <row r="1352" spans="12:13" x14ac:dyDescent="0.2">
      <c r="L1352" s="12"/>
      <c r="M1352" s="13"/>
    </row>
    <row r="1353" spans="12:13" x14ac:dyDescent="0.2">
      <c r="L1353" s="12"/>
      <c r="M1353" s="13"/>
    </row>
    <row r="1354" spans="12:13" x14ac:dyDescent="0.2">
      <c r="L1354" s="12"/>
      <c r="M1354" s="13"/>
    </row>
    <row r="1355" spans="12:13" x14ac:dyDescent="0.2">
      <c r="L1355" s="12"/>
      <c r="M1355" s="13"/>
    </row>
    <row r="1356" spans="12:13" x14ac:dyDescent="0.2">
      <c r="L1356" s="12"/>
      <c r="M1356" s="13"/>
    </row>
    <row r="1357" spans="12:13" x14ac:dyDescent="0.2">
      <c r="L1357" s="12"/>
      <c r="M1357" s="13"/>
    </row>
    <row r="1358" spans="12:13" x14ac:dyDescent="0.2">
      <c r="L1358" s="12"/>
      <c r="M1358" s="13"/>
    </row>
    <row r="1359" spans="12:13" x14ac:dyDescent="0.2">
      <c r="L1359" s="12"/>
      <c r="M1359" s="13"/>
    </row>
    <row r="1360" spans="12:13" x14ac:dyDescent="0.2">
      <c r="L1360" s="12"/>
      <c r="M1360" s="13"/>
    </row>
    <row r="1361" spans="12:13" x14ac:dyDescent="0.2">
      <c r="L1361" s="12"/>
      <c r="M1361" s="13"/>
    </row>
    <row r="1362" spans="12:13" x14ac:dyDescent="0.2">
      <c r="L1362" s="12"/>
      <c r="M1362" s="13"/>
    </row>
    <row r="1363" spans="12:13" x14ac:dyDescent="0.2">
      <c r="L1363" s="12"/>
      <c r="M1363" s="13"/>
    </row>
    <row r="1364" spans="12:13" x14ac:dyDescent="0.2">
      <c r="L1364" s="12"/>
      <c r="M1364" s="13"/>
    </row>
    <row r="1365" spans="12:13" x14ac:dyDescent="0.2">
      <c r="L1365" s="12"/>
      <c r="M1365" s="13"/>
    </row>
    <row r="1366" spans="12:13" x14ac:dyDescent="0.2">
      <c r="L1366" s="12"/>
      <c r="M1366" s="13"/>
    </row>
    <row r="1367" spans="12:13" x14ac:dyDescent="0.2">
      <c r="L1367" s="12"/>
      <c r="M1367" s="13"/>
    </row>
    <row r="1368" spans="12:13" x14ac:dyDescent="0.2">
      <c r="L1368" s="12"/>
      <c r="M1368" s="13"/>
    </row>
    <row r="1369" spans="12:13" x14ac:dyDescent="0.2">
      <c r="L1369" s="12"/>
      <c r="M1369" s="13"/>
    </row>
    <row r="1370" spans="12:13" x14ac:dyDescent="0.2">
      <c r="L1370" s="12"/>
      <c r="M1370" s="13"/>
    </row>
    <row r="1371" spans="12:13" x14ac:dyDescent="0.2">
      <c r="L1371" s="12"/>
      <c r="M1371" s="13"/>
    </row>
    <row r="1372" spans="12:13" x14ac:dyDescent="0.2">
      <c r="L1372" s="12"/>
      <c r="M1372" s="13"/>
    </row>
    <row r="1373" spans="12:13" x14ac:dyDescent="0.2">
      <c r="L1373" s="12"/>
      <c r="M1373" s="13"/>
    </row>
    <row r="1374" spans="12:13" x14ac:dyDescent="0.2">
      <c r="L1374" s="12"/>
      <c r="M1374" s="13"/>
    </row>
    <row r="1375" spans="12:13" x14ac:dyDescent="0.2">
      <c r="L1375" s="12"/>
      <c r="M1375" s="13"/>
    </row>
    <row r="1376" spans="12:13" x14ac:dyDescent="0.2">
      <c r="L1376" s="12"/>
      <c r="M1376" s="13"/>
    </row>
    <row r="1377" spans="12:13" x14ac:dyDescent="0.2">
      <c r="L1377" s="12"/>
      <c r="M1377" s="13"/>
    </row>
    <row r="1378" spans="12:13" x14ac:dyDescent="0.2">
      <c r="L1378" s="12"/>
      <c r="M1378" s="13"/>
    </row>
    <row r="1379" spans="12:13" x14ac:dyDescent="0.2">
      <c r="L1379" s="12"/>
      <c r="M1379" s="13"/>
    </row>
    <row r="1380" spans="12:13" x14ac:dyDescent="0.2">
      <c r="L1380" s="12"/>
      <c r="M1380" s="13"/>
    </row>
    <row r="1381" spans="12:13" x14ac:dyDescent="0.2">
      <c r="L1381" s="12"/>
      <c r="M1381" s="13"/>
    </row>
    <row r="1382" spans="12:13" x14ac:dyDescent="0.2">
      <c r="L1382" s="12"/>
      <c r="M1382" s="13"/>
    </row>
    <row r="1383" spans="12:13" x14ac:dyDescent="0.2">
      <c r="L1383" s="12"/>
      <c r="M1383" s="13"/>
    </row>
    <row r="1384" spans="12:13" x14ac:dyDescent="0.2">
      <c r="L1384" s="12"/>
      <c r="M1384" s="13"/>
    </row>
    <row r="1385" spans="12:13" x14ac:dyDescent="0.2">
      <c r="L1385" s="12"/>
      <c r="M1385" s="13"/>
    </row>
    <row r="1386" spans="12:13" x14ac:dyDescent="0.2">
      <c r="L1386" s="12"/>
      <c r="M1386" s="13"/>
    </row>
    <row r="1387" spans="12:13" x14ac:dyDescent="0.2">
      <c r="L1387" s="12"/>
      <c r="M1387" s="13"/>
    </row>
    <row r="1388" spans="12:13" x14ac:dyDescent="0.2">
      <c r="L1388" s="12"/>
      <c r="M1388" s="13"/>
    </row>
    <row r="1389" spans="12:13" x14ac:dyDescent="0.2">
      <c r="L1389" s="12"/>
      <c r="M1389" s="13"/>
    </row>
    <row r="1390" spans="12:13" x14ac:dyDescent="0.2">
      <c r="L1390" s="12"/>
      <c r="M1390" s="13"/>
    </row>
    <row r="1391" spans="12:13" x14ac:dyDescent="0.2">
      <c r="L1391" s="12"/>
      <c r="M1391" s="13"/>
    </row>
    <row r="1392" spans="12:13" x14ac:dyDescent="0.2">
      <c r="L1392" s="12"/>
      <c r="M1392" s="13"/>
    </row>
    <row r="1393" spans="12:13" x14ac:dyDescent="0.2">
      <c r="L1393" s="12"/>
      <c r="M1393" s="13"/>
    </row>
    <row r="1394" spans="12:13" x14ac:dyDescent="0.2">
      <c r="L1394" s="12"/>
      <c r="M1394" s="13"/>
    </row>
    <row r="1395" spans="12:13" x14ac:dyDescent="0.2">
      <c r="L1395" s="12"/>
      <c r="M1395" s="13"/>
    </row>
    <row r="1396" spans="12:13" x14ac:dyDescent="0.2">
      <c r="L1396" s="12"/>
      <c r="M1396" s="13"/>
    </row>
    <row r="1397" spans="12:13" x14ac:dyDescent="0.2">
      <c r="L1397" s="12"/>
      <c r="M1397" s="13"/>
    </row>
    <row r="1398" spans="12:13" x14ac:dyDescent="0.2">
      <c r="L1398" s="12"/>
      <c r="M1398" s="13"/>
    </row>
    <row r="1399" spans="12:13" x14ac:dyDescent="0.2">
      <c r="L1399" s="12"/>
      <c r="M1399" s="13"/>
    </row>
    <row r="1400" spans="12:13" x14ac:dyDescent="0.2">
      <c r="L1400" s="12"/>
      <c r="M1400" s="13"/>
    </row>
    <row r="1401" spans="12:13" x14ac:dyDescent="0.2">
      <c r="L1401" s="12"/>
      <c r="M1401" s="13"/>
    </row>
    <row r="1402" spans="12:13" x14ac:dyDescent="0.2">
      <c r="L1402" s="12"/>
      <c r="M1402" s="13"/>
    </row>
    <row r="1403" spans="12:13" x14ac:dyDescent="0.2">
      <c r="L1403" s="12"/>
      <c r="M1403" s="13"/>
    </row>
    <row r="1404" spans="12:13" x14ac:dyDescent="0.2">
      <c r="L1404" s="12"/>
      <c r="M1404" s="13"/>
    </row>
    <row r="1405" spans="12:13" x14ac:dyDescent="0.2">
      <c r="L1405" s="12"/>
      <c r="M1405" s="13"/>
    </row>
    <row r="1406" spans="12:13" x14ac:dyDescent="0.2">
      <c r="L1406" s="12"/>
      <c r="M1406" s="13"/>
    </row>
    <row r="1407" spans="12:13" x14ac:dyDescent="0.2">
      <c r="L1407" s="12"/>
      <c r="M1407" s="13"/>
    </row>
    <row r="1408" spans="12:13" x14ac:dyDescent="0.2">
      <c r="L1408" s="12"/>
      <c r="M1408" s="13"/>
    </row>
    <row r="1409" spans="12:13" x14ac:dyDescent="0.2">
      <c r="L1409" s="12"/>
      <c r="M1409" s="13"/>
    </row>
    <row r="1410" spans="12:13" x14ac:dyDescent="0.2">
      <c r="L1410" s="12"/>
      <c r="M1410" s="13"/>
    </row>
    <row r="1411" spans="12:13" x14ac:dyDescent="0.2">
      <c r="L1411" s="12"/>
      <c r="M1411" s="13"/>
    </row>
    <row r="1412" spans="12:13" x14ac:dyDescent="0.2">
      <c r="L1412" s="12"/>
      <c r="M1412" s="13"/>
    </row>
    <row r="1413" spans="12:13" x14ac:dyDescent="0.2">
      <c r="L1413" s="12"/>
      <c r="M1413" s="13"/>
    </row>
    <row r="1414" spans="12:13" x14ac:dyDescent="0.2">
      <c r="L1414" s="12"/>
      <c r="M1414" s="13"/>
    </row>
    <row r="1415" spans="12:13" x14ac:dyDescent="0.2">
      <c r="L1415" s="12"/>
      <c r="M1415" s="13"/>
    </row>
    <row r="1416" spans="12:13" x14ac:dyDescent="0.2">
      <c r="L1416" s="12"/>
      <c r="M1416" s="13"/>
    </row>
    <row r="1417" spans="12:13" x14ac:dyDescent="0.2">
      <c r="L1417" s="12"/>
      <c r="M1417" s="13"/>
    </row>
    <row r="1418" spans="12:13" x14ac:dyDescent="0.2">
      <c r="L1418" s="12"/>
      <c r="M1418" s="13"/>
    </row>
    <row r="1419" spans="12:13" x14ac:dyDescent="0.2">
      <c r="L1419" s="12"/>
      <c r="M1419" s="13"/>
    </row>
    <row r="1420" spans="12:13" x14ac:dyDescent="0.2">
      <c r="L1420" s="12"/>
      <c r="M1420" s="13"/>
    </row>
    <row r="1421" spans="12:13" x14ac:dyDescent="0.2">
      <c r="L1421" s="12"/>
      <c r="M1421" s="13"/>
    </row>
    <row r="1422" spans="12:13" x14ac:dyDescent="0.2">
      <c r="L1422" s="12"/>
      <c r="M1422" s="13"/>
    </row>
    <row r="1423" spans="12:13" x14ac:dyDescent="0.2">
      <c r="L1423" s="12"/>
      <c r="M1423" s="13"/>
    </row>
    <row r="1424" spans="12:13" x14ac:dyDescent="0.2">
      <c r="L1424" s="12"/>
      <c r="M1424" s="13"/>
    </row>
    <row r="1425" spans="12:13" x14ac:dyDescent="0.2">
      <c r="L1425" s="12"/>
      <c r="M1425" s="13"/>
    </row>
    <row r="1426" spans="12:13" x14ac:dyDescent="0.2">
      <c r="L1426" s="12"/>
      <c r="M1426" s="13"/>
    </row>
    <row r="1427" spans="12:13" x14ac:dyDescent="0.2">
      <c r="L1427" s="12"/>
      <c r="M1427" s="13"/>
    </row>
    <row r="1428" spans="12:13" x14ac:dyDescent="0.2">
      <c r="L1428" s="12"/>
      <c r="M1428" s="13"/>
    </row>
    <row r="1429" spans="12:13" x14ac:dyDescent="0.2">
      <c r="L1429" s="12"/>
      <c r="M1429" s="13"/>
    </row>
    <row r="1430" spans="12:13" x14ac:dyDescent="0.2">
      <c r="L1430" s="12"/>
      <c r="M1430" s="13"/>
    </row>
    <row r="1431" spans="12:13" x14ac:dyDescent="0.2">
      <c r="L1431" s="12"/>
      <c r="M1431" s="13"/>
    </row>
    <row r="1432" spans="12:13" x14ac:dyDescent="0.2">
      <c r="L1432" s="12"/>
      <c r="M1432" s="13"/>
    </row>
    <row r="1433" spans="12:13" x14ac:dyDescent="0.2">
      <c r="L1433" s="12"/>
      <c r="M1433" s="13"/>
    </row>
    <row r="1434" spans="12:13" x14ac:dyDescent="0.2">
      <c r="L1434" s="12"/>
      <c r="M1434" s="13"/>
    </row>
    <row r="1435" spans="12:13" x14ac:dyDescent="0.2">
      <c r="L1435" s="12"/>
      <c r="M1435" s="13"/>
    </row>
    <row r="1436" spans="12:13" x14ac:dyDescent="0.2">
      <c r="L1436" s="12"/>
      <c r="M1436" s="13"/>
    </row>
    <row r="1437" spans="12:13" x14ac:dyDescent="0.2">
      <c r="L1437" s="12"/>
      <c r="M1437" s="13"/>
    </row>
    <row r="1438" spans="12:13" x14ac:dyDescent="0.2">
      <c r="L1438" s="12"/>
      <c r="M1438" s="13"/>
    </row>
    <row r="1439" spans="12:13" x14ac:dyDescent="0.2">
      <c r="L1439" s="12"/>
      <c r="M1439" s="13"/>
    </row>
    <row r="1440" spans="12:13" x14ac:dyDescent="0.2">
      <c r="L1440" s="12"/>
      <c r="M1440" s="13"/>
    </row>
    <row r="1441" spans="12:13" x14ac:dyDescent="0.2">
      <c r="L1441" s="12"/>
      <c r="M1441" s="13"/>
    </row>
    <row r="1442" spans="12:13" x14ac:dyDescent="0.2">
      <c r="L1442" s="12"/>
      <c r="M1442" s="13"/>
    </row>
    <row r="1443" spans="12:13" x14ac:dyDescent="0.2">
      <c r="L1443" s="12"/>
      <c r="M1443" s="13"/>
    </row>
    <row r="1444" spans="12:13" x14ac:dyDescent="0.2">
      <c r="L1444" s="12"/>
      <c r="M1444" s="13"/>
    </row>
    <row r="1445" spans="12:13" x14ac:dyDescent="0.2">
      <c r="L1445" s="12"/>
      <c r="M1445" s="13"/>
    </row>
    <row r="1446" spans="12:13" x14ac:dyDescent="0.2">
      <c r="L1446" s="12"/>
      <c r="M1446" s="13"/>
    </row>
    <row r="1447" spans="12:13" x14ac:dyDescent="0.2">
      <c r="L1447" s="12"/>
      <c r="M1447" s="13"/>
    </row>
    <row r="1448" spans="12:13" x14ac:dyDescent="0.2">
      <c r="L1448" s="12"/>
      <c r="M1448" s="13"/>
    </row>
    <row r="1449" spans="12:13" x14ac:dyDescent="0.2">
      <c r="L1449" s="12"/>
      <c r="M1449" s="13"/>
    </row>
    <row r="1450" spans="12:13" x14ac:dyDescent="0.2">
      <c r="L1450" s="12"/>
      <c r="M1450" s="13"/>
    </row>
    <row r="1451" spans="12:13" x14ac:dyDescent="0.2">
      <c r="L1451" s="12"/>
      <c r="M1451" s="13"/>
    </row>
    <row r="1452" spans="12:13" x14ac:dyDescent="0.2">
      <c r="L1452" s="12"/>
      <c r="M1452" s="13"/>
    </row>
    <row r="1453" spans="12:13" x14ac:dyDescent="0.2">
      <c r="L1453" s="12"/>
      <c r="M1453" s="13"/>
    </row>
    <row r="1454" spans="12:13" x14ac:dyDescent="0.2">
      <c r="L1454" s="12"/>
      <c r="M1454" s="13"/>
    </row>
    <row r="1455" spans="12:13" x14ac:dyDescent="0.2">
      <c r="L1455" s="12"/>
      <c r="M1455" s="13"/>
    </row>
    <row r="1456" spans="12:13" x14ac:dyDescent="0.2">
      <c r="L1456" s="12"/>
      <c r="M1456" s="13"/>
    </row>
    <row r="1457" spans="12:13" x14ac:dyDescent="0.2">
      <c r="L1457" s="12"/>
      <c r="M1457" s="13"/>
    </row>
    <row r="1458" spans="12:13" x14ac:dyDescent="0.2">
      <c r="L1458" s="12"/>
      <c r="M1458" s="13"/>
    </row>
    <row r="1459" spans="12:13" x14ac:dyDescent="0.2">
      <c r="L1459" s="12"/>
      <c r="M1459" s="13"/>
    </row>
    <row r="1460" spans="12:13" x14ac:dyDescent="0.2">
      <c r="L1460" s="12"/>
      <c r="M1460" s="13"/>
    </row>
    <row r="1461" spans="12:13" x14ac:dyDescent="0.2">
      <c r="L1461" s="12"/>
      <c r="M1461" s="13"/>
    </row>
    <row r="1462" spans="12:13" x14ac:dyDescent="0.2">
      <c r="L1462" s="12"/>
      <c r="M1462" s="13"/>
    </row>
    <row r="1463" spans="12:13" x14ac:dyDescent="0.2">
      <c r="L1463" s="12"/>
      <c r="M1463" s="13"/>
    </row>
    <row r="1464" spans="12:13" x14ac:dyDescent="0.2">
      <c r="L1464" s="12"/>
      <c r="M1464" s="13"/>
    </row>
    <row r="1465" spans="12:13" x14ac:dyDescent="0.2">
      <c r="L1465" s="12"/>
      <c r="M1465" s="13"/>
    </row>
    <row r="1466" spans="12:13" x14ac:dyDescent="0.2">
      <c r="L1466" s="12"/>
      <c r="M1466" s="13"/>
    </row>
    <row r="1467" spans="12:13" x14ac:dyDescent="0.2">
      <c r="L1467" s="12"/>
      <c r="M1467" s="13"/>
    </row>
    <row r="1468" spans="12:13" x14ac:dyDescent="0.2">
      <c r="L1468" s="12"/>
      <c r="M1468" s="13"/>
    </row>
    <row r="1469" spans="12:13" x14ac:dyDescent="0.2">
      <c r="L1469" s="12"/>
      <c r="M1469" s="13"/>
    </row>
    <row r="1470" spans="12:13" x14ac:dyDescent="0.2">
      <c r="L1470" s="12"/>
      <c r="M1470" s="13"/>
    </row>
    <row r="1471" spans="12:13" x14ac:dyDescent="0.2">
      <c r="L1471" s="12"/>
      <c r="M1471" s="13"/>
    </row>
    <row r="1472" spans="12:13" x14ac:dyDescent="0.2">
      <c r="L1472" s="12"/>
      <c r="M1472" s="13"/>
    </row>
    <row r="1473" spans="12:13" x14ac:dyDescent="0.2">
      <c r="L1473" s="12"/>
      <c r="M1473" s="13"/>
    </row>
    <row r="1474" spans="12:13" x14ac:dyDescent="0.2">
      <c r="L1474" s="12"/>
      <c r="M1474" s="13"/>
    </row>
    <row r="1475" spans="12:13" x14ac:dyDescent="0.2">
      <c r="L1475" s="12"/>
      <c r="M1475" s="13"/>
    </row>
    <row r="1476" spans="12:13" x14ac:dyDescent="0.2">
      <c r="L1476" s="12"/>
      <c r="M1476" s="13"/>
    </row>
    <row r="1477" spans="12:13" x14ac:dyDescent="0.2">
      <c r="L1477" s="12"/>
      <c r="M1477" s="13"/>
    </row>
    <row r="1478" spans="12:13" x14ac:dyDescent="0.2">
      <c r="L1478" s="12"/>
      <c r="M1478" s="13"/>
    </row>
    <row r="1479" spans="12:13" x14ac:dyDescent="0.2">
      <c r="L1479" s="12"/>
      <c r="M1479" s="13"/>
    </row>
    <row r="1480" spans="12:13" x14ac:dyDescent="0.2">
      <c r="L1480" s="12"/>
      <c r="M1480" s="13"/>
    </row>
    <row r="1481" spans="12:13" x14ac:dyDescent="0.2">
      <c r="L1481" s="12"/>
      <c r="M1481" s="13"/>
    </row>
    <row r="1482" spans="12:13" x14ac:dyDescent="0.2">
      <c r="L1482" s="12"/>
      <c r="M1482" s="13"/>
    </row>
    <row r="1483" spans="12:13" x14ac:dyDescent="0.2">
      <c r="L1483" s="12"/>
      <c r="M1483" s="13"/>
    </row>
    <row r="1484" spans="12:13" x14ac:dyDescent="0.2">
      <c r="L1484" s="12"/>
      <c r="M1484" s="13"/>
    </row>
    <row r="1485" spans="12:13" x14ac:dyDescent="0.2">
      <c r="L1485" s="12"/>
      <c r="M1485" s="13"/>
    </row>
    <row r="1486" spans="12:13" x14ac:dyDescent="0.2">
      <c r="L1486" s="12"/>
      <c r="M1486" s="13"/>
    </row>
    <row r="1487" spans="12:13" x14ac:dyDescent="0.2">
      <c r="L1487" s="12"/>
      <c r="M1487" s="13"/>
    </row>
    <row r="1488" spans="12:13" x14ac:dyDescent="0.2">
      <c r="L1488" s="12"/>
      <c r="M1488" s="13"/>
    </row>
    <row r="1489" spans="12:13" x14ac:dyDescent="0.2">
      <c r="L1489" s="12"/>
      <c r="M1489" s="13"/>
    </row>
    <row r="1490" spans="12:13" x14ac:dyDescent="0.2">
      <c r="L1490" s="12"/>
      <c r="M1490" s="13"/>
    </row>
    <row r="1491" spans="12:13" x14ac:dyDescent="0.2">
      <c r="L1491" s="12"/>
      <c r="M1491" s="13"/>
    </row>
    <row r="1492" spans="12:13" x14ac:dyDescent="0.2">
      <c r="L1492" s="12"/>
      <c r="M1492" s="13"/>
    </row>
    <row r="1493" spans="12:13" x14ac:dyDescent="0.2">
      <c r="L1493" s="12"/>
      <c r="M1493" s="13"/>
    </row>
    <row r="1494" spans="12:13" x14ac:dyDescent="0.2">
      <c r="L1494" s="12"/>
      <c r="M1494" s="13"/>
    </row>
    <row r="1495" spans="12:13" x14ac:dyDescent="0.2">
      <c r="L1495" s="12"/>
      <c r="M1495" s="13"/>
    </row>
    <row r="1496" spans="12:13" x14ac:dyDescent="0.2">
      <c r="L1496" s="12"/>
      <c r="M1496" s="13"/>
    </row>
    <row r="1497" spans="12:13" x14ac:dyDescent="0.2">
      <c r="L1497" s="12"/>
      <c r="M1497" s="13"/>
    </row>
    <row r="1498" spans="12:13" x14ac:dyDescent="0.2">
      <c r="L1498" s="12"/>
      <c r="M1498" s="13"/>
    </row>
    <row r="1499" spans="12:13" x14ac:dyDescent="0.2">
      <c r="L1499" s="12"/>
      <c r="M1499" s="13"/>
    </row>
    <row r="1500" spans="12:13" x14ac:dyDescent="0.2">
      <c r="L1500" s="12"/>
      <c r="M1500" s="13"/>
    </row>
    <row r="1501" spans="12:13" x14ac:dyDescent="0.2">
      <c r="L1501" s="12"/>
      <c r="M1501" s="13"/>
    </row>
    <row r="1502" spans="12:13" x14ac:dyDescent="0.2">
      <c r="L1502" s="12"/>
      <c r="M1502" s="13"/>
    </row>
    <row r="1503" spans="12:13" x14ac:dyDescent="0.2">
      <c r="L1503" s="12"/>
      <c r="M1503" s="13"/>
    </row>
    <row r="1504" spans="12:13" x14ac:dyDescent="0.2">
      <c r="L1504" s="12"/>
      <c r="M1504" s="13"/>
    </row>
    <row r="1505" spans="12:13" x14ac:dyDescent="0.2">
      <c r="L1505" s="12"/>
      <c r="M1505" s="13"/>
    </row>
    <row r="1506" spans="12:13" x14ac:dyDescent="0.2">
      <c r="L1506" s="12"/>
      <c r="M1506" s="13"/>
    </row>
    <row r="1507" spans="12:13" x14ac:dyDescent="0.2">
      <c r="L1507" s="12"/>
      <c r="M1507" s="13"/>
    </row>
    <row r="1508" spans="12:13" x14ac:dyDescent="0.2">
      <c r="L1508" s="12"/>
      <c r="M1508" s="13"/>
    </row>
    <row r="1509" spans="12:13" x14ac:dyDescent="0.2">
      <c r="L1509" s="12"/>
      <c r="M1509" s="13"/>
    </row>
    <row r="1510" spans="12:13" x14ac:dyDescent="0.2">
      <c r="L1510" s="12"/>
      <c r="M1510" s="13"/>
    </row>
    <row r="1511" spans="12:13" x14ac:dyDescent="0.2">
      <c r="L1511" s="12"/>
      <c r="M1511" s="13"/>
    </row>
    <row r="1512" spans="12:13" x14ac:dyDescent="0.2">
      <c r="L1512" s="12"/>
      <c r="M1512" s="13"/>
    </row>
    <row r="1513" spans="12:13" x14ac:dyDescent="0.2">
      <c r="L1513" s="12"/>
      <c r="M1513" s="13"/>
    </row>
    <row r="1514" spans="12:13" x14ac:dyDescent="0.2">
      <c r="L1514" s="12"/>
      <c r="M1514" s="13"/>
    </row>
    <row r="1515" spans="12:13" x14ac:dyDescent="0.2">
      <c r="L1515" s="12"/>
      <c r="M1515" s="13"/>
    </row>
    <row r="1516" spans="12:13" x14ac:dyDescent="0.2">
      <c r="L1516" s="12"/>
      <c r="M1516" s="13"/>
    </row>
    <row r="1517" spans="12:13" x14ac:dyDescent="0.2">
      <c r="L1517" s="12"/>
      <c r="M1517" s="13"/>
    </row>
    <row r="1518" spans="12:13" x14ac:dyDescent="0.2">
      <c r="L1518" s="12"/>
      <c r="M1518" s="13"/>
    </row>
    <row r="1519" spans="12:13" x14ac:dyDescent="0.2">
      <c r="L1519" s="12"/>
      <c r="M1519" s="13"/>
    </row>
    <row r="1520" spans="12:13" x14ac:dyDescent="0.2">
      <c r="L1520" s="12"/>
      <c r="M1520" s="13"/>
    </row>
    <row r="1521" spans="12:13" x14ac:dyDescent="0.2">
      <c r="L1521" s="12"/>
      <c r="M1521" s="13"/>
    </row>
    <row r="1522" spans="12:13" x14ac:dyDescent="0.2">
      <c r="L1522" s="12"/>
      <c r="M1522" s="13"/>
    </row>
    <row r="1523" spans="12:13" x14ac:dyDescent="0.2">
      <c r="L1523" s="12"/>
      <c r="M1523" s="13"/>
    </row>
    <row r="1524" spans="12:13" x14ac:dyDescent="0.2">
      <c r="L1524" s="12"/>
      <c r="M1524" s="13"/>
    </row>
    <row r="1525" spans="12:13" x14ac:dyDescent="0.2">
      <c r="L1525" s="12"/>
      <c r="M1525" s="13"/>
    </row>
    <row r="1526" spans="12:13" x14ac:dyDescent="0.2">
      <c r="L1526" s="12"/>
      <c r="M1526" s="13"/>
    </row>
    <row r="1527" spans="12:13" x14ac:dyDescent="0.2">
      <c r="L1527" s="12"/>
      <c r="M1527" s="13"/>
    </row>
    <row r="1528" spans="12:13" x14ac:dyDescent="0.2">
      <c r="L1528" s="12"/>
      <c r="M1528" s="13"/>
    </row>
    <row r="1529" spans="12:13" x14ac:dyDescent="0.2">
      <c r="L1529" s="12"/>
      <c r="M1529" s="13"/>
    </row>
    <row r="1530" spans="12:13" x14ac:dyDescent="0.2">
      <c r="L1530" s="12"/>
      <c r="M1530" s="13"/>
    </row>
    <row r="1531" spans="12:13" x14ac:dyDescent="0.2">
      <c r="L1531" s="12"/>
      <c r="M1531" s="13"/>
    </row>
    <row r="1532" spans="12:13" x14ac:dyDescent="0.2">
      <c r="L1532" s="12"/>
      <c r="M1532" s="13"/>
    </row>
    <row r="1533" spans="12:13" x14ac:dyDescent="0.2">
      <c r="L1533" s="12"/>
      <c r="M1533" s="13"/>
    </row>
    <row r="1534" spans="12:13" x14ac:dyDescent="0.2">
      <c r="L1534" s="12"/>
      <c r="M1534" s="13"/>
    </row>
    <row r="1535" spans="12:13" x14ac:dyDescent="0.2">
      <c r="L1535" s="12"/>
      <c r="M1535" s="13"/>
    </row>
    <row r="1536" spans="12:13" x14ac:dyDescent="0.2">
      <c r="L1536" s="12"/>
      <c r="M1536" s="13"/>
    </row>
    <row r="1537" spans="12:13" x14ac:dyDescent="0.2">
      <c r="L1537" s="12"/>
      <c r="M1537" s="13"/>
    </row>
    <row r="1538" spans="12:13" x14ac:dyDescent="0.2">
      <c r="L1538" s="17"/>
      <c r="M1538" s="18"/>
    </row>
    <row r="1539" spans="12:13" x14ac:dyDescent="0.2">
      <c r="L1539" s="12"/>
      <c r="M1539" s="13"/>
    </row>
    <row r="1540" spans="12:13" x14ac:dyDescent="0.2">
      <c r="L1540" s="12"/>
      <c r="M1540" s="13"/>
    </row>
    <row r="1541" spans="12:13" x14ac:dyDescent="0.2">
      <c r="L1541" s="12"/>
      <c r="M1541" s="13"/>
    </row>
    <row r="1542" spans="12:13" x14ac:dyDescent="0.2">
      <c r="L1542" s="12"/>
      <c r="M1542" s="13"/>
    </row>
    <row r="1543" spans="12:13" x14ac:dyDescent="0.2">
      <c r="L1543" s="12"/>
      <c r="M1543" s="13"/>
    </row>
    <row r="1544" spans="12:13" x14ac:dyDescent="0.2">
      <c r="L1544" s="12"/>
      <c r="M1544" s="13"/>
    </row>
    <row r="1545" spans="12:13" x14ac:dyDescent="0.2">
      <c r="L1545" s="12"/>
      <c r="M1545" s="13"/>
    </row>
    <row r="1546" spans="12:13" x14ac:dyDescent="0.2">
      <c r="L1546" s="12"/>
      <c r="M1546" s="13"/>
    </row>
    <row r="1547" spans="12:13" x14ac:dyDescent="0.2">
      <c r="L1547" s="12"/>
      <c r="M1547" s="13"/>
    </row>
    <row r="1548" spans="12:13" x14ac:dyDescent="0.2">
      <c r="L1548" s="12"/>
      <c r="M1548" s="13"/>
    </row>
    <row r="1549" spans="12:13" x14ac:dyDescent="0.2">
      <c r="L1549" s="12"/>
      <c r="M1549" s="13"/>
    </row>
    <row r="1550" spans="12:13" x14ac:dyDescent="0.2">
      <c r="L1550" s="12"/>
      <c r="M1550" s="13"/>
    </row>
    <row r="1551" spans="12:13" x14ac:dyDescent="0.2">
      <c r="L1551" s="12"/>
      <c r="M1551" s="13"/>
    </row>
    <row r="1552" spans="12:13" x14ac:dyDescent="0.2">
      <c r="L1552" s="12"/>
      <c r="M1552" s="13"/>
    </row>
    <row r="1553" spans="12:13" x14ac:dyDescent="0.2">
      <c r="L1553" s="12"/>
      <c r="M1553" s="13"/>
    </row>
    <row r="1554" spans="12:13" x14ac:dyDescent="0.2">
      <c r="L1554" s="12"/>
      <c r="M1554" s="13"/>
    </row>
    <row r="1555" spans="12:13" x14ac:dyDescent="0.2">
      <c r="L1555" s="12"/>
      <c r="M1555" s="13"/>
    </row>
    <row r="1556" spans="12:13" x14ac:dyDescent="0.2">
      <c r="L1556" s="12"/>
      <c r="M1556" s="13"/>
    </row>
    <row r="1557" spans="12:13" x14ac:dyDescent="0.2">
      <c r="L1557" s="12"/>
      <c r="M1557" s="13"/>
    </row>
    <row r="1558" spans="12:13" x14ac:dyDescent="0.2">
      <c r="L1558" s="12"/>
      <c r="M1558" s="13"/>
    </row>
    <row r="1559" spans="12:13" x14ac:dyDescent="0.2">
      <c r="L1559" s="12"/>
      <c r="M1559" s="13"/>
    </row>
    <row r="1560" spans="12:13" x14ac:dyDescent="0.2">
      <c r="L1560" s="12"/>
      <c r="M1560" s="13"/>
    </row>
    <row r="1561" spans="12:13" x14ac:dyDescent="0.2">
      <c r="L1561" s="12"/>
      <c r="M1561" s="13"/>
    </row>
    <row r="1562" spans="12:13" x14ac:dyDescent="0.2">
      <c r="L1562" s="12"/>
      <c r="M1562" s="13"/>
    </row>
    <row r="1563" spans="12:13" x14ac:dyDescent="0.2">
      <c r="L1563" s="12"/>
      <c r="M1563" s="13"/>
    </row>
    <row r="1564" spans="12:13" x14ac:dyDescent="0.2">
      <c r="L1564" s="12"/>
      <c r="M1564" s="13"/>
    </row>
    <row r="1565" spans="12:13" x14ac:dyDescent="0.2">
      <c r="L1565" s="12"/>
      <c r="M1565" s="13"/>
    </row>
    <row r="1566" spans="12:13" x14ac:dyDescent="0.2">
      <c r="L1566" s="12"/>
      <c r="M1566" s="13"/>
    </row>
    <row r="1567" spans="12:13" x14ac:dyDescent="0.2">
      <c r="L1567" s="12"/>
      <c r="M1567" s="13"/>
    </row>
    <row r="1568" spans="12:13" x14ac:dyDescent="0.2">
      <c r="L1568" s="12"/>
      <c r="M1568" s="13"/>
    </row>
    <row r="1569" spans="12:13" x14ac:dyDescent="0.2">
      <c r="L1569" s="12"/>
      <c r="M1569" s="13"/>
    </row>
    <row r="1570" spans="12:13" x14ac:dyDescent="0.2">
      <c r="L1570" s="12"/>
      <c r="M1570" s="13"/>
    </row>
    <row r="1571" spans="12:13" x14ac:dyDescent="0.2">
      <c r="L1571" s="12"/>
      <c r="M1571" s="13"/>
    </row>
    <row r="1572" spans="12:13" x14ac:dyDescent="0.2">
      <c r="L1572" s="12"/>
      <c r="M1572" s="13"/>
    </row>
    <row r="1573" spans="12:13" x14ac:dyDescent="0.2">
      <c r="L1573" s="12"/>
      <c r="M1573" s="13"/>
    </row>
    <row r="1574" spans="12:13" x14ac:dyDescent="0.2">
      <c r="L1574" s="12"/>
      <c r="M1574" s="13"/>
    </row>
    <row r="1575" spans="12:13" x14ac:dyDescent="0.2">
      <c r="L1575" s="12"/>
      <c r="M1575" s="13"/>
    </row>
    <row r="1576" spans="12:13" x14ac:dyDescent="0.2">
      <c r="L1576" s="12"/>
      <c r="M1576" s="13"/>
    </row>
    <row r="1577" spans="12:13" x14ac:dyDescent="0.2">
      <c r="L1577" s="12"/>
      <c r="M1577" s="13"/>
    </row>
    <row r="1578" spans="12:13" x14ac:dyDescent="0.2">
      <c r="L1578" s="12"/>
      <c r="M1578" s="13"/>
    </row>
    <row r="1579" spans="12:13" x14ac:dyDescent="0.2">
      <c r="L1579" s="12"/>
      <c r="M1579" s="13"/>
    </row>
    <row r="1580" spans="12:13" x14ac:dyDescent="0.2">
      <c r="L1580" s="12"/>
      <c r="M1580" s="13"/>
    </row>
    <row r="1581" spans="12:13" x14ac:dyDescent="0.2">
      <c r="L1581" s="12"/>
      <c r="M1581" s="13"/>
    </row>
    <row r="1582" spans="12:13" x14ac:dyDescent="0.2">
      <c r="L1582" s="12"/>
      <c r="M1582" s="13"/>
    </row>
    <row r="1583" spans="12:13" x14ac:dyDescent="0.2">
      <c r="L1583" s="12"/>
      <c r="M1583" s="13"/>
    </row>
    <row r="1584" spans="12:13" x14ac:dyDescent="0.2">
      <c r="L1584" s="12"/>
      <c r="M1584" s="13"/>
    </row>
    <row r="1585" spans="12:13" x14ac:dyDescent="0.2">
      <c r="L1585" s="12"/>
      <c r="M1585" s="13"/>
    </row>
    <row r="1586" spans="12:13" x14ac:dyDescent="0.2">
      <c r="L1586" s="12"/>
      <c r="M1586" s="13"/>
    </row>
    <row r="1587" spans="12:13" x14ac:dyDescent="0.2">
      <c r="L1587" s="12"/>
      <c r="M1587" s="13"/>
    </row>
    <row r="1588" spans="12:13" x14ac:dyDescent="0.2">
      <c r="L1588" s="12"/>
      <c r="M1588" s="13"/>
    </row>
    <row r="1589" spans="12:13" x14ac:dyDescent="0.2">
      <c r="L1589" s="12"/>
      <c r="M1589" s="13"/>
    </row>
    <row r="1590" spans="12:13" x14ac:dyDescent="0.2">
      <c r="L1590" s="12"/>
      <c r="M1590" s="13"/>
    </row>
    <row r="1591" spans="12:13" x14ac:dyDescent="0.2">
      <c r="L1591" s="12"/>
      <c r="M1591" s="13"/>
    </row>
    <row r="1592" spans="12:13" x14ac:dyDescent="0.2">
      <c r="L1592" s="12"/>
      <c r="M1592" s="13"/>
    </row>
    <row r="1593" spans="12:13" x14ac:dyDescent="0.2">
      <c r="L1593" s="12"/>
      <c r="M1593" s="13"/>
    </row>
    <row r="1594" spans="12:13" x14ac:dyDescent="0.2">
      <c r="L1594" s="12"/>
      <c r="M1594" s="13"/>
    </row>
    <row r="1595" spans="12:13" x14ac:dyDescent="0.2">
      <c r="L1595" s="12"/>
      <c r="M1595" s="13"/>
    </row>
    <row r="1596" spans="12:13" x14ac:dyDescent="0.2">
      <c r="L1596" s="12"/>
      <c r="M1596" s="13"/>
    </row>
    <row r="1597" spans="12:13" x14ac:dyDescent="0.2">
      <c r="L1597" s="12"/>
      <c r="M1597" s="13"/>
    </row>
    <row r="1598" spans="12:13" x14ac:dyDescent="0.2">
      <c r="L1598" s="12"/>
      <c r="M1598" s="13"/>
    </row>
    <row r="1599" spans="12:13" x14ac:dyDescent="0.2">
      <c r="L1599" s="12"/>
      <c r="M1599" s="13"/>
    </row>
    <row r="1600" spans="12:13" x14ac:dyDescent="0.2">
      <c r="L1600" s="12"/>
      <c r="M1600" s="13"/>
    </row>
    <row r="1601" spans="12:13" x14ac:dyDescent="0.2">
      <c r="L1601" s="12"/>
      <c r="M1601" s="13"/>
    </row>
    <row r="1602" spans="12:13" x14ac:dyDescent="0.2">
      <c r="L1602" s="12"/>
      <c r="M1602" s="13"/>
    </row>
    <row r="1603" spans="12:13" x14ac:dyDescent="0.2">
      <c r="L1603" s="12"/>
      <c r="M1603" s="13"/>
    </row>
    <row r="1604" spans="12:13" x14ac:dyDescent="0.2">
      <c r="L1604" s="12"/>
      <c r="M1604" s="13"/>
    </row>
    <row r="1605" spans="12:13" x14ac:dyDescent="0.2">
      <c r="L1605" s="12"/>
      <c r="M1605" s="13"/>
    </row>
    <row r="1606" spans="12:13" x14ac:dyDescent="0.2">
      <c r="L1606" s="12"/>
      <c r="M1606" s="13"/>
    </row>
    <row r="1607" spans="12:13" x14ac:dyDescent="0.2">
      <c r="L1607" s="12"/>
      <c r="M1607" s="13"/>
    </row>
    <row r="1608" spans="12:13" x14ac:dyDescent="0.2">
      <c r="L1608" s="12"/>
      <c r="M1608" s="13"/>
    </row>
    <row r="1609" spans="12:13" x14ac:dyDescent="0.2">
      <c r="L1609" s="12"/>
      <c r="M1609" s="13"/>
    </row>
    <row r="1610" spans="12:13" x14ac:dyDescent="0.2">
      <c r="L1610" s="12"/>
      <c r="M1610" s="13"/>
    </row>
    <row r="1611" spans="12:13" x14ac:dyDescent="0.2">
      <c r="L1611" s="12"/>
      <c r="M1611" s="13"/>
    </row>
    <row r="1612" spans="12:13" x14ac:dyDescent="0.2">
      <c r="L1612" s="12"/>
      <c r="M1612" s="13"/>
    </row>
    <row r="1613" spans="12:13" x14ac:dyDescent="0.2">
      <c r="L1613" s="12"/>
      <c r="M1613" s="13"/>
    </row>
    <row r="1614" spans="12:13" x14ac:dyDescent="0.2">
      <c r="L1614" s="12"/>
      <c r="M1614" s="13"/>
    </row>
    <row r="1615" spans="12:13" x14ac:dyDescent="0.2">
      <c r="L1615" s="12"/>
      <c r="M1615" s="13"/>
    </row>
    <row r="1616" spans="12:13" x14ac:dyDescent="0.2">
      <c r="L1616" s="12"/>
      <c r="M1616" s="13"/>
    </row>
    <row r="1617" spans="12:13" x14ac:dyDescent="0.2">
      <c r="L1617" s="12"/>
      <c r="M1617" s="13"/>
    </row>
    <row r="1618" spans="12:13" x14ac:dyDescent="0.2">
      <c r="L1618" s="12"/>
      <c r="M1618" s="13"/>
    </row>
    <row r="1619" spans="12:13" x14ac:dyDescent="0.2">
      <c r="L1619" s="12"/>
      <c r="M1619" s="13"/>
    </row>
    <row r="1620" spans="12:13" x14ac:dyDescent="0.2">
      <c r="L1620" s="12"/>
      <c r="M1620" s="13"/>
    </row>
    <row r="1621" spans="12:13" x14ac:dyDescent="0.2">
      <c r="L1621" s="12"/>
      <c r="M1621" s="13"/>
    </row>
    <row r="1622" spans="12:13" x14ac:dyDescent="0.2">
      <c r="L1622" s="12"/>
      <c r="M1622" s="13"/>
    </row>
    <row r="1623" spans="12:13" x14ac:dyDescent="0.2">
      <c r="L1623" s="12"/>
      <c r="M1623" s="13"/>
    </row>
    <row r="1624" spans="12:13" x14ac:dyDescent="0.2">
      <c r="L1624" s="12"/>
      <c r="M1624" s="13"/>
    </row>
    <row r="1625" spans="12:13" x14ac:dyDescent="0.2">
      <c r="L1625" s="12"/>
      <c r="M1625" s="13"/>
    </row>
    <row r="1626" spans="12:13" x14ac:dyDescent="0.2">
      <c r="L1626" s="12"/>
      <c r="M1626" s="13"/>
    </row>
    <row r="1627" spans="12:13" x14ac:dyDescent="0.2">
      <c r="L1627" s="12"/>
      <c r="M1627" s="13"/>
    </row>
    <row r="1628" spans="12:13" x14ac:dyDescent="0.2">
      <c r="L1628" s="12"/>
      <c r="M1628" s="13"/>
    </row>
    <row r="1629" spans="12:13" x14ac:dyDescent="0.2">
      <c r="L1629" s="12"/>
      <c r="M1629" s="13"/>
    </row>
    <row r="1630" spans="12:13" x14ac:dyDescent="0.2">
      <c r="L1630" s="12"/>
      <c r="M1630" s="13"/>
    </row>
    <row r="1631" spans="12:13" x14ac:dyDescent="0.2">
      <c r="L1631" s="12"/>
      <c r="M1631" s="13"/>
    </row>
    <row r="1632" spans="12:13" x14ac:dyDescent="0.2">
      <c r="L1632" s="12"/>
      <c r="M1632" s="13"/>
    </row>
    <row r="1633" spans="12:13" x14ac:dyDescent="0.2">
      <c r="L1633" s="12"/>
      <c r="M1633" s="13"/>
    </row>
    <row r="1634" spans="12:13" x14ac:dyDescent="0.2">
      <c r="L1634" s="12"/>
      <c r="M1634" s="13"/>
    </row>
    <row r="1635" spans="12:13" x14ac:dyDescent="0.2">
      <c r="L1635" s="12"/>
      <c r="M1635" s="13"/>
    </row>
    <row r="1636" spans="12:13" x14ac:dyDescent="0.2">
      <c r="L1636" s="12"/>
      <c r="M1636" s="13"/>
    </row>
    <row r="1637" spans="12:13" x14ac:dyDescent="0.2">
      <c r="L1637" s="12"/>
      <c r="M1637" s="13"/>
    </row>
    <row r="1638" spans="12:13" x14ac:dyDescent="0.2">
      <c r="L1638" s="12"/>
      <c r="M1638" s="13"/>
    </row>
    <row r="1639" spans="12:13" x14ac:dyDescent="0.2">
      <c r="L1639" s="12"/>
      <c r="M1639" s="13"/>
    </row>
    <row r="1640" spans="12:13" x14ac:dyDescent="0.2">
      <c r="L1640" s="12"/>
      <c r="M1640" s="13"/>
    </row>
    <row r="1641" spans="12:13" x14ac:dyDescent="0.2">
      <c r="L1641" s="12"/>
      <c r="M1641" s="13"/>
    </row>
    <row r="1642" spans="12:13" x14ac:dyDescent="0.2">
      <c r="L1642" s="12"/>
      <c r="M1642" s="13"/>
    </row>
    <row r="1643" spans="12:13" x14ac:dyDescent="0.2">
      <c r="L1643" s="12"/>
      <c r="M1643" s="13"/>
    </row>
    <row r="1644" spans="12:13" x14ac:dyDescent="0.2">
      <c r="L1644" s="12"/>
      <c r="M1644" s="13"/>
    </row>
    <row r="1645" spans="12:13" x14ac:dyDescent="0.2">
      <c r="L1645" s="12"/>
      <c r="M1645" s="13"/>
    </row>
    <row r="1646" spans="12:13" x14ac:dyDescent="0.2">
      <c r="L1646" s="12"/>
      <c r="M1646" s="13"/>
    </row>
    <row r="1647" spans="12:13" x14ac:dyDescent="0.2">
      <c r="L1647" s="12"/>
      <c r="M1647" s="13"/>
    </row>
    <row r="1648" spans="12:13" x14ac:dyDescent="0.2">
      <c r="L1648" s="12"/>
      <c r="M1648" s="13"/>
    </row>
    <row r="1649" spans="12:13" x14ac:dyDescent="0.2">
      <c r="L1649" s="12"/>
      <c r="M1649" s="13"/>
    </row>
    <row r="1650" spans="12:13" x14ac:dyDescent="0.2">
      <c r="L1650" s="12"/>
      <c r="M1650" s="13"/>
    </row>
    <row r="1651" spans="12:13" x14ac:dyDescent="0.2">
      <c r="L1651" s="12"/>
      <c r="M1651" s="13"/>
    </row>
    <row r="1652" spans="12:13" x14ac:dyDescent="0.2">
      <c r="L1652" s="12"/>
      <c r="M1652" s="13"/>
    </row>
    <row r="1653" spans="12:13" x14ac:dyDescent="0.2">
      <c r="L1653" s="12"/>
      <c r="M1653" s="13"/>
    </row>
    <row r="1654" spans="12:13" x14ac:dyDescent="0.2">
      <c r="L1654" s="12"/>
      <c r="M1654" s="13"/>
    </row>
    <row r="1655" spans="12:13" x14ac:dyDescent="0.2">
      <c r="L1655" s="12"/>
      <c r="M1655" s="13"/>
    </row>
    <row r="1656" spans="12:13" x14ac:dyDescent="0.2">
      <c r="L1656" s="12"/>
      <c r="M1656" s="13"/>
    </row>
    <row r="1657" spans="12:13" x14ac:dyDescent="0.2">
      <c r="L1657" s="12"/>
      <c r="M1657" s="13"/>
    </row>
    <row r="1658" spans="12:13" x14ac:dyDescent="0.2">
      <c r="L1658" s="12"/>
      <c r="M1658" s="13"/>
    </row>
    <row r="1659" spans="12:13" x14ac:dyDescent="0.2">
      <c r="L1659" s="12"/>
      <c r="M1659" s="13"/>
    </row>
    <row r="1660" spans="12:13" x14ac:dyDescent="0.2">
      <c r="L1660" s="12"/>
      <c r="M1660" s="13"/>
    </row>
    <row r="1661" spans="12:13" x14ac:dyDescent="0.2">
      <c r="L1661" s="12"/>
      <c r="M1661" s="13"/>
    </row>
    <row r="1662" spans="12:13" x14ac:dyDescent="0.2">
      <c r="L1662" s="12"/>
      <c r="M1662" s="13"/>
    </row>
    <row r="1663" spans="12:13" x14ac:dyDescent="0.2">
      <c r="L1663" s="12"/>
      <c r="M1663" s="13"/>
    </row>
    <row r="1664" spans="12:13" x14ac:dyDescent="0.2">
      <c r="L1664" s="12"/>
      <c r="M1664" s="13"/>
    </row>
    <row r="1665" spans="12:13" x14ac:dyDescent="0.2">
      <c r="L1665" s="12"/>
      <c r="M1665" s="13"/>
    </row>
    <row r="1666" spans="12:13" x14ac:dyDescent="0.2">
      <c r="L1666" s="12"/>
      <c r="M1666" s="13"/>
    </row>
    <row r="1667" spans="12:13" x14ac:dyDescent="0.2">
      <c r="L1667" s="12"/>
      <c r="M1667" s="13"/>
    </row>
    <row r="1668" spans="12:13" x14ac:dyDescent="0.2">
      <c r="L1668" s="12"/>
      <c r="M1668" s="13"/>
    </row>
    <row r="1669" spans="12:13" x14ac:dyDescent="0.2">
      <c r="L1669" s="12"/>
      <c r="M1669" s="13"/>
    </row>
    <row r="1670" spans="12:13" x14ac:dyDescent="0.2">
      <c r="L1670" s="12"/>
      <c r="M1670" s="13"/>
    </row>
    <row r="1671" spans="12:13" x14ac:dyDescent="0.2">
      <c r="L1671" s="12"/>
      <c r="M1671" s="13"/>
    </row>
    <row r="1672" spans="12:13" x14ac:dyDescent="0.2">
      <c r="L1672" s="12"/>
      <c r="M1672" s="13"/>
    </row>
    <row r="1673" spans="12:13" x14ac:dyDescent="0.2">
      <c r="L1673" s="12"/>
      <c r="M1673" s="13"/>
    </row>
    <row r="1674" spans="12:13" x14ac:dyDescent="0.2">
      <c r="L1674" s="12"/>
      <c r="M1674" s="13"/>
    </row>
    <row r="1675" spans="12:13" x14ac:dyDescent="0.2">
      <c r="L1675" s="12"/>
      <c r="M1675" s="13"/>
    </row>
    <row r="1676" spans="12:13" x14ac:dyDescent="0.2">
      <c r="L1676" s="12"/>
      <c r="M1676" s="13"/>
    </row>
    <row r="1677" spans="12:13" x14ac:dyDescent="0.2">
      <c r="L1677" s="12"/>
      <c r="M1677" s="13"/>
    </row>
    <row r="1678" spans="12:13" x14ac:dyDescent="0.2">
      <c r="L1678" s="12"/>
      <c r="M1678" s="13"/>
    </row>
    <row r="1679" spans="12:13" x14ac:dyDescent="0.2">
      <c r="L1679" s="12"/>
      <c r="M1679" s="13"/>
    </row>
    <row r="1680" spans="12:13" x14ac:dyDescent="0.2">
      <c r="L1680" s="12"/>
      <c r="M1680" s="13"/>
    </row>
    <row r="1681" spans="12:13" x14ac:dyDescent="0.2">
      <c r="L1681" s="12"/>
      <c r="M1681" s="13"/>
    </row>
    <row r="1682" spans="12:13" x14ac:dyDescent="0.2">
      <c r="L1682" s="12"/>
      <c r="M1682" s="13"/>
    </row>
    <row r="1683" spans="12:13" x14ac:dyDescent="0.2">
      <c r="L1683" s="12"/>
      <c r="M1683" s="13"/>
    </row>
    <row r="1684" spans="12:13" x14ac:dyDescent="0.2">
      <c r="L1684" s="12"/>
      <c r="M1684" s="13"/>
    </row>
    <row r="1685" spans="12:13" x14ac:dyDescent="0.2">
      <c r="L1685" s="12"/>
      <c r="M1685" s="13"/>
    </row>
    <row r="1686" spans="12:13" x14ac:dyDescent="0.2">
      <c r="L1686" s="12"/>
      <c r="M1686" s="13"/>
    </row>
    <row r="1687" spans="12:13" x14ac:dyDescent="0.2">
      <c r="L1687" s="12"/>
      <c r="M1687" s="13"/>
    </row>
    <row r="1688" spans="12:13" x14ac:dyDescent="0.2">
      <c r="L1688" s="12"/>
      <c r="M1688" s="13"/>
    </row>
    <row r="1689" spans="12:13" x14ac:dyDescent="0.2">
      <c r="L1689" s="12"/>
      <c r="M1689" s="13"/>
    </row>
    <row r="1690" spans="12:13" x14ac:dyDescent="0.2">
      <c r="L1690" s="12"/>
      <c r="M1690" s="13"/>
    </row>
    <row r="1691" spans="12:13" x14ac:dyDescent="0.2">
      <c r="L1691" s="12"/>
      <c r="M1691" s="13"/>
    </row>
    <row r="1692" spans="12:13" x14ac:dyDescent="0.2">
      <c r="L1692" s="12"/>
      <c r="M1692" s="13"/>
    </row>
    <row r="1693" spans="12:13" x14ac:dyDescent="0.2">
      <c r="L1693" s="12"/>
      <c r="M1693" s="13"/>
    </row>
    <row r="1694" spans="12:13" x14ac:dyDescent="0.2">
      <c r="L1694" s="12"/>
      <c r="M1694" s="13"/>
    </row>
    <row r="1695" spans="12:13" x14ac:dyDescent="0.2">
      <c r="L1695" s="12"/>
      <c r="M1695" s="13"/>
    </row>
    <row r="1696" spans="12:13" x14ac:dyDescent="0.2">
      <c r="L1696" s="12"/>
      <c r="M1696" s="13"/>
    </row>
    <row r="1697" spans="12:13" x14ac:dyDescent="0.2">
      <c r="L1697" s="12"/>
      <c r="M1697" s="13"/>
    </row>
    <row r="1698" spans="12:13" x14ac:dyDescent="0.2">
      <c r="L1698" s="12"/>
      <c r="M1698" s="13"/>
    </row>
    <row r="1699" spans="12:13" x14ac:dyDescent="0.2">
      <c r="L1699" s="12"/>
      <c r="M1699" s="13"/>
    </row>
    <row r="1700" spans="12:13" x14ac:dyDescent="0.2">
      <c r="L1700" s="12"/>
      <c r="M1700" s="13"/>
    </row>
    <row r="1701" spans="12:13" x14ac:dyDescent="0.2">
      <c r="L1701" s="12"/>
      <c r="M1701" s="13"/>
    </row>
    <row r="1702" spans="12:13" x14ac:dyDescent="0.2">
      <c r="L1702" s="12"/>
      <c r="M1702" s="13"/>
    </row>
    <row r="1703" spans="12:13" x14ac:dyDescent="0.2">
      <c r="L1703" s="12"/>
      <c r="M1703" s="13"/>
    </row>
    <row r="1704" spans="12:13" x14ac:dyDescent="0.2">
      <c r="L1704" s="12"/>
      <c r="M1704" s="13"/>
    </row>
    <row r="1705" spans="12:13" x14ac:dyDescent="0.2">
      <c r="L1705" s="12"/>
      <c r="M1705" s="13"/>
    </row>
    <row r="1706" spans="12:13" x14ac:dyDescent="0.2">
      <c r="L1706" s="12"/>
      <c r="M1706" s="13"/>
    </row>
    <row r="1707" spans="12:13" x14ac:dyDescent="0.2">
      <c r="L1707" s="12"/>
      <c r="M1707" s="13"/>
    </row>
    <row r="1708" spans="12:13" x14ac:dyDescent="0.2">
      <c r="L1708" s="12"/>
      <c r="M1708" s="13"/>
    </row>
    <row r="1709" spans="12:13" x14ac:dyDescent="0.2">
      <c r="L1709" s="12"/>
      <c r="M1709" s="13"/>
    </row>
    <row r="1710" spans="12:13" x14ac:dyDescent="0.2">
      <c r="L1710" s="12"/>
      <c r="M1710" s="13"/>
    </row>
    <row r="1711" spans="12:13" x14ac:dyDescent="0.2">
      <c r="L1711" s="12"/>
      <c r="M1711" s="13"/>
    </row>
    <row r="1712" spans="12:13" x14ac:dyDescent="0.2">
      <c r="L1712" s="12"/>
      <c r="M1712" s="13"/>
    </row>
    <row r="1713" spans="12:13" x14ac:dyDescent="0.2">
      <c r="L1713" s="12"/>
      <c r="M1713" s="13"/>
    </row>
    <row r="1714" spans="12:13" x14ac:dyDescent="0.2">
      <c r="L1714" s="12"/>
      <c r="M1714" s="13"/>
    </row>
    <row r="1715" spans="12:13" x14ac:dyDescent="0.2">
      <c r="L1715" s="12"/>
      <c r="M1715" s="13"/>
    </row>
    <row r="1716" spans="12:13" x14ac:dyDescent="0.2">
      <c r="L1716" s="12"/>
      <c r="M1716" s="13"/>
    </row>
    <row r="1717" spans="12:13" x14ac:dyDescent="0.2">
      <c r="L1717" s="12"/>
      <c r="M1717" s="13"/>
    </row>
    <row r="1718" spans="12:13" x14ac:dyDescent="0.2">
      <c r="L1718" s="12"/>
      <c r="M1718" s="13"/>
    </row>
    <row r="1719" spans="12:13" x14ac:dyDescent="0.2">
      <c r="L1719" s="12"/>
      <c r="M1719" s="13"/>
    </row>
    <row r="1720" spans="12:13" x14ac:dyDescent="0.2">
      <c r="L1720" s="12"/>
      <c r="M1720" s="13"/>
    </row>
    <row r="1721" spans="12:13" x14ac:dyDescent="0.2">
      <c r="L1721" s="12"/>
      <c r="M1721" s="13"/>
    </row>
    <row r="1722" spans="12:13" x14ac:dyDescent="0.2">
      <c r="L1722" s="12"/>
      <c r="M1722" s="13"/>
    </row>
    <row r="1723" spans="12:13" x14ac:dyDescent="0.2">
      <c r="L1723" s="12"/>
      <c r="M1723" s="13"/>
    </row>
    <row r="1724" spans="12:13" x14ac:dyDescent="0.2">
      <c r="L1724" s="12"/>
      <c r="M1724" s="13"/>
    </row>
    <row r="1725" spans="12:13" x14ac:dyDescent="0.2">
      <c r="L1725" s="12"/>
      <c r="M1725" s="13"/>
    </row>
    <row r="1726" spans="12:13" x14ac:dyDescent="0.2">
      <c r="L1726" s="12"/>
      <c r="M1726" s="13"/>
    </row>
    <row r="1727" spans="12:13" x14ac:dyDescent="0.2">
      <c r="L1727" s="12"/>
      <c r="M1727" s="13"/>
    </row>
    <row r="1728" spans="12:13" x14ac:dyDescent="0.2">
      <c r="L1728" s="12"/>
      <c r="M1728" s="13"/>
    </row>
    <row r="1729" spans="12:13" x14ac:dyDescent="0.2">
      <c r="L1729" s="12"/>
      <c r="M1729" s="13"/>
    </row>
    <row r="1730" spans="12:13" x14ac:dyDescent="0.2">
      <c r="L1730" s="12"/>
      <c r="M1730" s="13"/>
    </row>
    <row r="1731" spans="12:13" x14ac:dyDescent="0.2">
      <c r="L1731" s="12"/>
      <c r="M1731" s="13"/>
    </row>
    <row r="1732" spans="12:13" x14ac:dyDescent="0.2">
      <c r="L1732" s="12"/>
      <c r="M1732" s="13"/>
    </row>
    <row r="1733" spans="12:13" x14ac:dyDescent="0.2">
      <c r="L1733" s="12"/>
      <c r="M1733" s="13"/>
    </row>
    <row r="1734" spans="12:13" x14ac:dyDescent="0.2">
      <c r="L1734" s="12"/>
      <c r="M1734" s="13"/>
    </row>
    <row r="1735" spans="12:13" x14ac:dyDescent="0.2">
      <c r="L1735" s="12"/>
      <c r="M1735" s="13"/>
    </row>
    <row r="1736" spans="12:13" x14ac:dyDescent="0.2">
      <c r="L1736" s="12"/>
      <c r="M1736" s="13"/>
    </row>
    <row r="1737" spans="12:13" x14ac:dyDescent="0.2">
      <c r="L1737" s="12"/>
      <c r="M1737" s="13"/>
    </row>
    <row r="1738" spans="12:13" x14ac:dyDescent="0.2">
      <c r="L1738" s="12"/>
      <c r="M1738" s="13"/>
    </row>
    <row r="1739" spans="12:13" x14ac:dyDescent="0.2">
      <c r="L1739" s="12"/>
      <c r="M1739" s="13"/>
    </row>
    <row r="1740" spans="12:13" x14ac:dyDescent="0.2">
      <c r="L1740" s="12"/>
      <c r="M1740" s="13"/>
    </row>
    <row r="1741" spans="12:13" x14ac:dyDescent="0.2">
      <c r="L1741" s="12"/>
      <c r="M1741" s="13"/>
    </row>
    <row r="1742" spans="12:13" x14ac:dyDescent="0.2">
      <c r="L1742" s="12"/>
      <c r="M1742" s="13"/>
    </row>
    <row r="1743" spans="12:13" x14ac:dyDescent="0.2">
      <c r="L1743" s="12"/>
      <c r="M1743" s="13"/>
    </row>
    <row r="1744" spans="12:13" x14ac:dyDescent="0.2">
      <c r="L1744" s="12"/>
      <c r="M1744" s="13"/>
    </row>
    <row r="1745" spans="12:13" x14ac:dyDescent="0.2">
      <c r="L1745" s="12"/>
      <c r="M1745" s="13"/>
    </row>
    <row r="1746" spans="12:13" x14ac:dyDescent="0.2">
      <c r="L1746" s="12"/>
      <c r="M1746" s="13"/>
    </row>
    <row r="1747" spans="12:13" x14ac:dyDescent="0.2">
      <c r="L1747" s="12"/>
      <c r="M1747" s="13"/>
    </row>
    <row r="1748" spans="12:13" x14ac:dyDescent="0.2">
      <c r="L1748" s="12"/>
      <c r="M1748" s="13"/>
    </row>
    <row r="1749" spans="12:13" x14ac:dyDescent="0.2">
      <c r="L1749" s="12"/>
      <c r="M1749" s="13"/>
    </row>
    <row r="1750" spans="12:13" x14ac:dyDescent="0.2">
      <c r="L1750" s="12"/>
      <c r="M1750" s="13"/>
    </row>
    <row r="1751" spans="12:13" x14ac:dyDescent="0.2">
      <c r="L1751" s="12"/>
      <c r="M1751" s="13"/>
    </row>
    <row r="1752" spans="12:13" x14ac:dyDescent="0.2">
      <c r="L1752" s="12"/>
      <c r="M1752" s="13"/>
    </row>
    <row r="1753" spans="12:13" x14ac:dyDescent="0.2">
      <c r="L1753" s="12"/>
      <c r="M1753" s="13"/>
    </row>
    <row r="1754" spans="12:13" x14ac:dyDescent="0.2">
      <c r="L1754" s="12"/>
      <c r="M1754" s="13"/>
    </row>
    <row r="1755" spans="12:13" x14ac:dyDescent="0.2">
      <c r="L1755" s="12"/>
      <c r="M1755" s="13"/>
    </row>
    <row r="1756" spans="12:13" x14ac:dyDescent="0.2">
      <c r="L1756" s="12"/>
      <c r="M1756" s="13"/>
    </row>
    <row r="1757" spans="12:13" x14ac:dyDescent="0.2">
      <c r="L1757" s="12"/>
      <c r="M1757" s="13"/>
    </row>
    <row r="1758" spans="12:13" x14ac:dyDescent="0.2">
      <c r="L1758" s="12"/>
      <c r="M1758" s="13"/>
    </row>
    <row r="1759" spans="12:13" x14ac:dyDescent="0.2">
      <c r="L1759" s="12"/>
      <c r="M1759" s="13"/>
    </row>
    <row r="1760" spans="12:13" x14ac:dyDescent="0.2">
      <c r="L1760" s="12"/>
      <c r="M1760" s="13"/>
    </row>
    <row r="1761" spans="12:13" x14ac:dyDescent="0.2">
      <c r="L1761" s="12"/>
      <c r="M1761" s="13"/>
    </row>
    <row r="1762" spans="12:13" x14ac:dyDescent="0.2">
      <c r="L1762" s="12"/>
      <c r="M1762" s="13"/>
    </row>
    <row r="1763" spans="12:13" x14ac:dyDescent="0.2">
      <c r="L1763" s="12"/>
      <c r="M1763" s="13"/>
    </row>
    <row r="1764" spans="12:13" x14ac:dyDescent="0.2">
      <c r="L1764" s="12"/>
      <c r="M1764" s="13"/>
    </row>
    <row r="1765" spans="12:13" x14ac:dyDescent="0.2">
      <c r="L1765" s="12"/>
      <c r="M1765" s="13"/>
    </row>
    <row r="1766" spans="12:13" x14ac:dyDescent="0.2">
      <c r="L1766" s="12"/>
      <c r="M1766" s="13"/>
    </row>
    <row r="1767" spans="12:13" x14ac:dyDescent="0.2">
      <c r="L1767" s="12"/>
      <c r="M1767" s="13"/>
    </row>
    <row r="1768" spans="12:13" x14ac:dyDescent="0.2">
      <c r="L1768" s="12"/>
      <c r="M1768" s="13"/>
    </row>
    <row r="1769" spans="12:13" x14ac:dyDescent="0.2">
      <c r="L1769" s="12"/>
      <c r="M1769" s="13"/>
    </row>
    <row r="1770" spans="12:13" x14ac:dyDescent="0.2">
      <c r="L1770" s="12"/>
      <c r="M1770" s="13"/>
    </row>
    <row r="1771" spans="12:13" x14ac:dyDescent="0.2">
      <c r="L1771" s="12"/>
      <c r="M1771" s="13"/>
    </row>
    <row r="1772" spans="12:13" x14ac:dyDescent="0.2">
      <c r="L1772" s="12"/>
      <c r="M1772" s="13"/>
    </row>
    <row r="1773" spans="12:13" x14ac:dyDescent="0.2">
      <c r="L1773" s="12"/>
      <c r="M1773" s="13"/>
    </row>
    <row r="1774" spans="12:13" x14ac:dyDescent="0.2">
      <c r="L1774" s="12"/>
      <c r="M1774" s="13"/>
    </row>
    <row r="1775" spans="12:13" x14ac:dyDescent="0.2">
      <c r="L1775" s="12"/>
      <c r="M1775" s="13"/>
    </row>
    <row r="1776" spans="12:13" x14ac:dyDescent="0.2">
      <c r="L1776" s="12"/>
      <c r="M1776" s="13"/>
    </row>
    <row r="1777" spans="12:13" x14ac:dyDescent="0.2">
      <c r="L1777" s="12"/>
      <c r="M1777" s="13"/>
    </row>
    <row r="1778" spans="12:13" x14ac:dyDescent="0.2">
      <c r="L1778" s="12"/>
      <c r="M1778" s="13"/>
    </row>
    <row r="1779" spans="12:13" x14ac:dyDescent="0.2">
      <c r="L1779" s="12"/>
      <c r="M1779" s="13"/>
    </row>
    <row r="1780" spans="12:13" x14ac:dyDescent="0.2">
      <c r="L1780" s="12"/>
      <c r="M1780" s="13"/>
    </row>
    <row r="1781" spans="12:13" x14ac:dyDescent="0.2">
      <c r="L1781" s="12"/>
      <c r="M1781" s="13"/>
    </row>
    <row r="1782" spans="12:13" x14ac:dyDescent="0.2">
      <c r="L1782" s="12"/>
      <c r="M1782" s="13"/>
    </row>
    <row r="1783" spans="12:13" x14ac:dyDescent="0.2">
      <c r="L1783" s="12"/>
      <c r="M1783" s="13"/>
    </row>
    <row r="1784" spans="12:13" x14ac:dyDescent="0.2">
      <c r="L1784" s="12"/>
      <c r="M1784" s="13"/>
    </row>
    <row r="1785" spans="12:13" x14ac:dyDescent="0.2">
      <c r="L1785" s="12"/>
      <c r="M1785" s="13"/>
    </row>
    <row r="1786" spans="12:13" x14ac:dyDescent="0.2">
      <c r="L1786" s="12"/>
      <c r="M1786" s="13"/>
    </row>
    <row r="1787" spans="12:13" x14ac:dyDescent="0.2">
      <c r="L1787" s="12"/>
      <c r="M1787" s="13"/>
    </row>
    <row r="1788" spans="12:13" x14ac:dyDescent="0.2">
      <c r="L1788" s="12"/>
      <c r="M1788" s="13"/>
    </row>
    <row r="1789" spans="12:13" x14ac:dyDescent="0.2">
      <c r="L1789" s="12"/>
      <c r="M1789" s="13"/>
    </row>
    <row r="1790" spans="12:13" x14ac:dyDescent="0.2">
      <c r="L1790" s="12"/>
      <c r="M1790" s="13"/>
    </row>
    <row r="1791" spans="12:13" x14ac:dyDescent="0.2">
      <c r="L1791" s="12"/>
      <c r="M1791" s="13"/>
    </row>
    <row r="1792" spans="12:13" x14ac:dyDescent="0.2">
      <c r="L1792" s="12"/>
      <c r="M1792" s="13"/>
    </row>
    <row r="1793" spans="12:13" x14ac:dyDescent="0.2">
      <c r="L1793" s="12"/>
      <c r="M1793" s="13"/>
    </row>
    <row r="1794" spans="12:13" x14ac:dyDescent="0.2">
      <c r="L1794" s="17"/>
      <c r="M1794" s="18"/>
    </row>
    <row r="1795" spans="12:13" x14ac:dyDescent="0.2">
      <c r="L1795" s="12"/>
      <c r="M1795" s="13"/>
    </row>
    <row r="1796" spans="12:13" x14ac:dyDescent="0.2">
      <c r="L1796" s="12"/>
      <c r="M1796" s="13"/>
    </row>
    <row r="1797" spans="12:13" x14ac:dyDescent="0.2">
      <c r="L1797" s="12"/>
      <c r="M1797" s="13"/>
    </row>
    <row r="1798" spans="12:13" x14ac:dyDescent="0.2">
      <c r="L1798" s="12"/>
      <c r="M1798" s="13"/>
    </row>
    <row r="1799" spans="12:13" x14ac:dyDescent="0.2">
      <c r="L1799" s="12"/>
      <c r="M1799" s="13"/>
    </row>
    <row r="1800" spans="12:13" x14ac:dyDescent="0.2">
      <c r="L1800" s="12"/>
      <c r="M1800" s="13"/>
    </row>
    <row r="1801" spans="12:13" x14ac:dyDescent="0.2">
      <c r="L1801" s="12"/>
      <c r="M1801" s="13"/>
    </row>
    <row r="1802" spans="12:13" x14ac:dyDescent="0.2">
      <c r="L1802" s="12"/>
      <c r="M1802" s="13"/>
    </row>
    <row r="1803" spans="12:13" x14ac:dyDescent="0.2">
      <c r="L1803" s="12"/>
      <c r="M1803" s="13"/>
    </row>
    <row r="1804" spans="12:13" x14ac:dyDescent="0.2">
      <c r="L1804" s="12"/>
      <c r="M1804" s="13"/>
    </row>
    <row r="1805" spans="12:13" x14ac:dyDescent="0.2">
      <c r="L1805" s="12"/>
      <c r="M1805" s="13"/>
    </row>
    <row r="1806" spans="12:13" x14ac:dyDescent="0.2">
      <c r="L1806" s="12"/>
      <c r="M1806" s="13"/>
    </row>
    <row r="1807" spans="12:13" x14ac:dyDescent="0.2">
      <c r="L1807" s="12"/>
      <c r="M1807" s="13"/>
    </row>
    <row r="1808" spans="12:13" x14ac:dyDescent="0.2">
      <c r="L1808" s="12"/>
      <c r="M1808" s="13"/>
    </row>
    <row r="1809" spans="12:13" x14ac:dyDescent="0.2">
      <c r="L1809" s="12"/>
      <c r="M1809" s="13"/>
    </row>
    <row r="1810" spans="12:13" x14ac:dyDescent="0.2">
      <c r="L1810" s="12"/>
      <c r="M1810" s="13"/>
    </row>
    <row r="1811" spans="12:13" x14ac:dyDescent="0.2">
      <c r="L1811" s="12"/>
      <c r="M1811" s="13"/>
    </row>
    <row r="1812" spans="12:13" x14ac:dyDescent="0.2">
      <c r="L1812" s="12"/>
      <c r="M1812" s="13"/>
    </row>
    <row r="1813" spans="12:13" x14ac:dyDescent="0.2">
      <c r="L1813" s="12"/>
      <c r="M1813" s="13"/>
    </row>
    <row r="1814" spans="12:13" x14ac:dyDescent="0.2">
      <c r="L1814" s="12"/>
      <c r="M1814" s="13"/>
    </row>
    <row r="1815" spans="12:13" x14ac:dyDescent="0.2">
      <c r="L1815" s="12"/>
      <c r="M1815" s="13"/>
    </row>
    <row r="1816" spans="12:13" x14ac:dyDescent="0.2">
      <c r="L1816" s="12"/>
      <c r="M1816" s="13"/>
    </row>
    <row r="1817" spans="12:13" x14ac:dyDescent="0.2">
      <c r="L1817" s="12"/>
      <c r="M1817" s="13"/>
    </row>
    <row r="1818" spans="12:13" x14ac:dyDescent="0.2">
      <c r="L1818" s="12"/>
      <c r="M1818" s="13"/>
    </row>
    <row r="1819" spans="12:13" x14ac:dyDescent="0.2">
      <c r="L1819" s="12"/>
      <c r="M1819" s="13"/>
    </row>
    <row r="1820" spans="12:13" x14ac:dyDescent="0.2">
      <c r="L1820" s="12"/>
      <c r="M1820" s="13"/>
    </row>
    <row r="1821" spans="12:13" x14ac:dyDescent="0.2">
      <c r="L1821" s="12"/>
      <c r="M1821" s="13"/>
    </row>
    <row r="1822" spans="12:13" x14ac:dyDescent="0.2">
      <c r="L1822" s="12"/>
      <c r="M1822" s="13"/>
    </row>
    <row r="1823" spans="12:13" x14ac:dyDescent="0.2">
      <c r="L1823" s="12"/>
      <c r="M1823" s="13"/>
    </row>
    <row r="1824" spans="12:13" x14ac:dyDescent="0.2">
      <c r="L1824" s="12"/>
      <c r="M1824" s="13"/>
    </row>
    <row r="1825" spans="12:13" x14ac:dyDescent="0.2">
      <c r="L1825" s="12"/>
      <c r="M1825" s="13"/>
    </row>
    <row r="1826" spans="12:13" x14ac:dyDescent="0.2">
      <c r="L1826" s="12"/>
      <c r="M1826" s="13"/>
    </row>
    <row r="1827" spans="12:13" x14ac:dyDescent="0.2">
      <c r="L1827" s="12"/>
      <c r="M1827" s="13"/>
    </row>
    <row r="1828" spans="12:13" x14ac:dyDescent="0.2">
      <c r="L1828" s="12"/>
      <c r="M1828" s="13"/>
    </row>
    <row r="1829" spans="12:13" x14ac:dyDescent="0.2">
      <c r="L1829" s="12"/>
      <c r="M1829" s="13"/>
    </row>
    <row r="1830" spans="12:13" x14ac:dyDescent="0.2">
      <c r="L1830" s="12"/>
      <c r="M1830" s="13"/>
    </row>
    <row r="1831" spans="12:13" x14ac:dyDescent="0.2">
      <c r="L1831" s="12"/>
      <c r="M1831" s="13"/>
    </row>
    <row r="1832" spans="12:13" x14ac:dyDescent="0.2">
      <c r="L1832" s="12"/>
      <c r="M1832" s="13"/>
    </row>
    <row r="1833" spans="12:13" x14ac:dyDescent="0.2">
      <c r="L1833" s="12"/>
      <c r="M1833" s="13"/>
    </row>
    <row r="1834" spans="12:13" x14ac:dyDescent="0.2">
      <c r="L1834" s="12"/>
      <c r="M1834" s="13"/>
    </row>
    <row r="1835" spans="12:13" x14ac:dyDescent="0.2">
      <c r="L1835" s="12"/>
      <c r="M1835" s="13"/>
    </row>
    <row r="1836" spans="12:13" x14ac:dyDescent="0.2">
      <c r="L1836" s="12"/>
      <c r="M1836" s="13"/>
    </row>
    <row r="1837" spans="12:13" x14ac:dyDescent="0.2">
      <c r="L1837" s="12"/>
      <c r="M1837" s="13"/>
    </row>
    <row r="1838" spans="12:13" x14ac:dyDescent="0.2">
      <c r="L1838" s="12"/>
      <c r="M1838" s="13"/>
    </row>
    <row r="1839" spans="12:13" x14ac:dyDescent="0.2">
      <c r="L1839" s="12"/>
      <c r="M1839" s="13"/>
    </row>
    <row r="1840" spans="12:13" x14ac:dyDescent="0.2">
      <c r="L1840" s="12"/>
      <c r="M1840" s="13"/>
    </row>
    <row r="1841" spans="12:13" x14ac:dyDescent="0.2">
      <c r="L1841" s="12"/>
      <c r="M1841" s="13"/>
    </row>
    <row r="1842" spans="12:13" x14ac:dyDescent="0.2">
      <c r="L1842" s="12"/>
      <c r="M1842" s="13"/>
    </row>
    <row r="1843" spans="12:13" x14ac:dyDescent="0.2">
      <c r="L1843" s="12"/>
      <c r="M1843" s="13"/>
    </row>
    <row r="1844" spans="12:13" x14ac:dyDescent="0.2">
      <c r="L1844" s="12"/>
      <c r="M1844" s="13"/>
    </row>
    <row r="1845" spans="12:13" x14ac:dyDescent="0.2">
      <c r="L1845" s="12"/>
      <c r="M1845" s="13"/>
    </row>
    <row r="1846" spans="12:13" x14ac:dyDescent="0.2">
      <c r="L1846" s="12"/>
      <c r="M1846" s="13"/>
    </row>
    <row r="1847" spans="12:13" x14ac:dyDescent="0.2">
      <c r="L1847" s="12"/>
      <c r="M1847" s="13"/>
    </row>
    <row r="1848" spans="12:13" x14ac:dyDescent="0.2">
      <c r="L1848" s="12"/>
      <c r="M1848" s="13"/>
    </row>
    <row r="1849" spans="12:13" x14ac:dyDescent="0.2">
      <c r="L1849" s="12"/>
      <c r="M1849" s="13"/>
    </row>
    <row r="1850" spans="12:13" x14ac:dyDescent="0.2">
      <c r="L1850" s="12"/>
      <c r="M1850" s="13"/>
    </row>
    <row r="1851" spans="12:13" x14ac:dyDescent="0.2">
      <c r="L1851" s="12"/>
      <c r="M1851" s="13"/>
    </row>
    <row r="1852" spans="12:13" x14ac:dyDescent="0.2">
      <c r="L1852" s="12"/>
      <c r="M1852" s="13"/>
    </row>
    <row r="1853" spans="12:13" x14ac:dyDescent="0.2">
      <c r="L1853" s="12"/>
      <c r="M1853" s="13"/>
    </row>
    <row r="1854" spans="12:13" x14ac:dyDescent="0.2">
      <c r="L1854" s="12"/>
      <c r="M1854" s="13"/>
    </row>
    <row r="1855" spans="12:13" x14ac:dyDescent="0.2">
      <c r="L1855" s="12"/>
      <c r="M1855" s="13"/>
    </row>
    <row r="1856" spans="12:13" x14ac:dyDescent="0.2">
      <c r="L1856" s="12"/>
      <c r="M1856" s="13"/>
    </row>
    <row r="1857" spans="12:13" x14ac:dyDescent="0.2">
      <c r="L1857" s="12"/>
      <c r="M1857" s="13"/>
    </row>
    <row r="1858" spans="12:13" x14ac:dyDescent="0.2">
      <c r="L1858" s="12"/>
      <c r="M1858" s="13"/>
    </row>
    <row r="1859" spans="12:13" x14ac:dyDescent="0.2">
      <c r="L1859" s="12"/>
      <c r="M1859" s="13"/>
    </row>
    <row r="1860" spans="12:13" x14ac:dyDescent="0.2">
      <c r="L1860" s="12"/>
      <c r="M1860" s="13"/>
    </row>
    <row r="1861" spans="12:13" x14ac:dyDescent="0.2">
      <c r="L1861" s="12"/>
      <c r="M1861" s="13"/>
    </row>
    <row r="1862" spans="12:13" x14ac:dyDescent="0.2">
      <c r="L1862" s="12"/>
      <c r="M1862" s="13"/>
    </row>
    <row r="1863" spans="12:13" x14ac:dyDescent="0.2">
      <c r="L1863" s="12"/>
      <c r="M1863" s="13"/>
    </row>
    <row r="1864" spans="12:13" x14ac:dyDescent="0.2">
      <c r="L1864" s="12"/>
      <c r="M1864" s="13"/>
    </row>
    <row r="1865" spans="12:13" x14ac:dyDescent="0.2">
      <c r="L1865" s="12"/>
      <c r="M1865" s="13"/>
    </row>
    <row r="1866" spans="12:13" x14ac:dyDescent="0.2">
      <c r="L1866" s="12"/>
      <c r="M1866" s="13"/>
    </row>
    <row r="1867" spans="12:13" x14ac:dyDescent="0.2">
      <c r="L1867" s="12"/>
      <c r="M1867" s="13"/>
    </row>
    <row r="1868" spans="12:13" x14ac:dyDescent="0.2">
      <c r="L1868" s="12"/>
      <c r="M1868" s="13"/>
    </row>
    <row r="1869" spans="12:13" x14ac:dyDescent="0.2">
      <c r="L1869" s="12"/>
      <c r="M1869" s="13"/>
    </row>
    <row r="1870" spans="12:13" x14ac:dyDescent="0.2">
      <c r="L1870" s="12"/>
      <c r="M1870" s="13"/>
    </row>
    <row r="1871" spans="12:13" x14ac:dyDescent="0.2">
      <c r="L1871" s="12"/>
      <c r="M1871" s="13"/>
    </row>
    <row r="1872" spans="12:13" x14ac:dyDescent="0.2">
      <c r="L1872" s="12"/>
      <c r="M1872" s="13"/>
    </row>
    <row r="1873" spans="12:13" x14ac:dyDescent="0.2">
      <c r="L1873" s="12"/>
      <c r="M1873" s="13"/>
    </row>
    <row r="1874" spans="12:13" x14ac:dyDescent="0.2">
      <c r="L1874" s="12"/>
      <c r="M1874" s="13"/>
    </row>
    <row r="1875" spans="12:13" x14ac:dyDescent="0.2">
      <c r="L1875" s="12"/>
      <c r="M1875" s="13"/>
    </row>
    <row r="1876" spans="12:13" x14ac:dyDescent="0.2">
      <c r="L1876" s="12"/>
      <c r="M1876" s="13"/>
    </row>
    <row r="1877" spans="12:13" x14ac:dyDescent="0.2">
      <c r="L1877" s="12"/>
      <c r="M1877" s="13"/>
    </row>
    <row r="1878" spans="12:13" x14ac:dyDescent="0.2">
      <c r="L1878" s="12"/>
      <c r="M1878" s="13"/>
    </row>
    <row r="1879" spans="12:13" x14ac:dyDescent="0.2">
      <c r="L1879" s="12"/>
      <c r="M1879" s="13"/>
    </row>
    <row r="1880" spans="12:13" x14ac:dyDescent="0.2">
      <c r="L1880" s="12"/>
      <c r="M1880" s="13"/>
    </row>
    <row r="1881" spans="12:13" x14ac:dyDescent="0.2">
      <c r="L1881" s="12"/>
      <c r="M1881" s="13"/>
    </row>
    <row r="1882" spans="12:13" x14ac:dyDescent="0.2">
      <c r="L1882" s="12"/>
      <c r="M1882" s="13"/>
    </row>
    <row r="1883" spans="12:13" x14ac:dyDescent="0.2">
      <c r="L1883" s="12"/>
      <c r="M1883" s="13"/>
    </row>
    <row r="1884" spans="12:13" x14ac:dyDescent="0.2">
      <c r="L1884" s="12"/>
      <c r="M1884" s="13"/>
    </row>
    <row r="1885" spans="12:13" x14ac:dyDescent="0.2">
      <c r="L1885" s="12"/>
      <c r="M1885" s="13"/>
    </row>
    <row r="1886" spans="12:13" x14ac:dyDescent="0.2">
      <c r="L1886" s="12"/>
      <c r="M1886" s="13"/>
    </row>
    <row r="1887" spans="12:13" x14ac:dyDescent="0.2">
      <c r="L1887" s="12"/>
      <c r="M1887" s="13"/>
    </row>
    <row r="1888" spans="12:13" x14ac:dyDescent="0.2">
      <c r="L1888" s="12"/>
      <c r="M1888" s="13"/>
    </row>
    <row r="1889" spans="12:13" x14ac:dyDescent="0.2">
      <c r="L1889" s="12"/>
      <c r="M1889" s="13"/>
    </row>
    <row r="1890" spans="12:13" x14ac:dyDescent="0.2">
      <c r="L1890" s="12"/>
      <c r="M1890" s="13"/>
    </row>
    <row r="1891" spans="12:13" x14ac:dyDescent="0.2">
      <c r="L1891" s="12"/>
      <c r="M1891" s="13"/>
    </row>
    <row r="1892" spans="12:13" x14ac:dyDescent="0.2">
      <c r="L1892" s="12"/>
      <c r="M1892" s="13"/>
    </row>
    <row r="1893" spans="12:13" x14ac:dyDescent="0.2">
      <c r="L1893" s="12"/>
      <c r="M1893" s="13"/>
    </row>
    <row r="1894" spans="12:13" x14ac:dyDescent="0.2">
      <c r="L1894" s="12"/>
      <c r="M1894" s="13"/>
    </row>
    <row r="1895" spans="12:13" x14ac:dyDescent="0.2">
      <c r="L1895" s="12"/>
      <c r="M1895" s="13"/>
    </row>
    <row r="1896" spans="12:13" x14ac:dyDescent="0.2">
      <c r="L1896" s="12"/>
      <c r="M1896" s="13"/>
    </row>
    <row r="1897" spans="12:13" x14ac:dyDescent="0.2">
      <c r="L1897" s="12"/>
      <c r="M1897" s="13"/>
    </row>
    <row r="1898" spans="12:13" x14ac:dyDescent="0.2">
      <c r="L1898" s="12"/>
      <c r="M1898" s="13"/>
    </row>
    <row r="1899" spans="12:13" x14ac:dyDescent="0.2">
      <c r="L1899" s="12"/>
      <c r="M1899" s="13"/>
    </row>
    <row r="1900" spans="12:13" x14ac:dyDescent="0.2">
      <c r="L1900" s="12"/>
      <c r="M1900" s="13"/>
    </row>
    <row r="1901" spans="12:13" x14ac:dyDescent="0.2">
      <c r="L1901" s="12"/>
      <c r="M1901" s="13"/>
    </row>
    <row r="1902" spans="12:13" x14ac:dyDescent="0.2">
      <c r="L1902" s="12"/>
      <c r="M1902" s="13"/>
    </row>
    <row r="1903" spans="12:13" x14ac:dyDescent="0.2">
      <c r="L1903" s="12"/>
      <c r="M1903" s="13"/>
    </row>
    <row r="1904" spans="12:13" x14ac:dyDescent="0.2">
      <c r="L1904" s="12"/>
      <c r="M1904" s="13"/>
    </row>
    <row r="1905" spans="12:13" x14ac:dyDescent="0.2">
      <c r="L1905" s="12"/>
      <c r="M1905" s="13"/>
    </row>
    <row r="1906" spans="12:13" x14ac:dyDescent="0.2">
      <c r="L1906" s="12"/>
      <c r="M1906" s="13"/>
    </row>
    <row r="1907" spans="12:13" x14ac:dyDescent="0.2">
      <c r="L1907" s="12"/>
      <c r="M1907" s="13"/>
    </row>
    <row r="1908" spans="12:13" x14ac:dyDescent="0.2">
      <c r="L1908" s="12"/>
      <c r="M1908" s="13"/>
    </row>
    <row r="1909" spans="12:13" x14ac:dyDescent="0.2">
      <c r="L1909" s="12"/>
      <c r="M1909" s="13"/>
    </row>
    <row r="1910" spans="12:13" x14ac:dyDescent="0.2">
      <c r="L1910" s="12"/>
      <c r="M1910" s="13"/>
    </row>
    <row r="1911" spans="12:13" x14ac:dyDescent="0.2">
      <c r="L1911" s="12"/>
      <c r="M1911" s="13"/>
    </row>
    <row r="1912" spans="12:13" x14ac:dyDescent="0.2">
      <c r="L1912" s="12"/>
      <c r="M1912" s="13"/>
    </row>
    <row r="1913" spans="12:13" x14ac:dyDescent="0.2">
      <c r="L1913" s="12"/>
      <c r="M1913" s="13"/>
    </row>
    <row r="1914" spans="12:13" x14ac:dyDescent="0.2">
      <c r="L1914" s="12"/>
      <c r="M1914" s="13"/>
    </row>
    <row r="1915" spans="12:13" x14ac:dyDescent="0.2">
      <c r="L1915" s="12"/>
      <c r="M1915" s="13"/>
    </row>
    <row r="1916" spans="12:13" x14ac:dyDescent="0.2">
      <c r="L1916" s="12"/>
      <c r="M1916" s="13"/>
    </row>
    <row r="1917" spans="12:13" x14ac:dyDescent="0.2">
      <c r="L1917" s="12"/>
      <c r="M1917" s="13"/>
    </row>
    <row r="1918" spans="12:13" x14ac:dyDescent="0.2">
      <c r="L1918" s="12"/>
      <c r="M1918" s="13"/>
    </row>
    <row r="1919" spans="12:13" x14ac:dyDescent="0.2">
      <c r="L1919" s="12"/>
      <c r="M1919" s="13"/>
    </row>
    <row r="1920" spans="12:13" x14ac:dyDescent="0.2">
      <c r="L1920" s="12"/>
      <c r="M1920" s="13"/>
    </row>
    <row r="1921" spans="12:13" x14ac:dyDescent="0.2">
      <c r="L1921" s="12"/>
      <c r="M1921" s="13"/>
    </row>
    <row r="1922" spans="12:13" x14ac:dyDescent="0.2">
      <c r="L1922" s="12"/>
      <c r="M1922" s="13"/>
    </row>
    <row r="1923" spans="12:13" x14ac:dyDescent="0.2">
      <c r="L1923" s="12"/>
      <c r="M1923" s="13"/>
    </row>
    <row r="1924" spans="12:13" x14ac:dyDescent="0.2">
      <c r="L1924" s="12"/>
      <c r="M1924" s="13"/>
    </row>
    <row r="1925" spans="12:13" x14ac:dyDescent="0.2">
      <c r="L1925" s="12"/>
      <c r="M1925" s="13"/>
    </row>
    <row r="1926" spans="12:13" x14ac:dyDescent="0.2">
      <c r="L1926" s="12"/>
      <c r="M1926" s="13"/>
    </row>
    <row r="1927" spans="12:13" x14ac:dyDescent="0.2">
      <c r="L1927" s="12"/>
      <c r="M1927" s="13"/>
    </row>
    <row r="1928" spans="12:13" x14ac:dyDescent="0.2">
      <c r="L1928" s="12"/>
      <c r="M1928" s="13"/>
    </row>
    <row r="1929" spans="12:13" x14ac:dyDescent="0.2">
      <c r="L1929" s="12"/>
      <c r="M1929" s="13"/>
    </row>
    <row r="1930" spans="12:13" x14ac:dyDescent="0.2">
      <c r="L1930" s="12"/>
      <c r="M1930" s="13"/>
    </row>
    <row r="1931" spans="12:13" x14ac:dyDescent="0.2">
      <c r="L1931" s="12"/>
      <c r="M1931" s="13"/>
    </row>
    <row r="1932" spans="12:13" x14ac:dyDescent="0.2">
      <c r="L1932" s="12"/>
      <c r="M1932" s="13"/>
    </row>
    <row r="1933" spans="12:13" x14ac:dyDescent="0.2">
      <c r="L1933" s="12"/>
      <c r="M1933" s="13"/>
    </row>
    <row r="1934" spans="12:13" x14ac:dyDescent="0.2">
      <c r="L1934" s="12"/>
      <c r="M1934" s="13"/>
    </row>
    <row r="1935" spans="12:13" x14ac:dyDescent="0.2">
      <c r="L1935" s="12"/>
      <c r="M1935" s="13"/>
    </row>
    <row r="1936" spans="12:13" x14ac:dyDescent="0.2">
      <c r="L1936" s="12"/>
      <c r="M1936" s="13"/>
    </row>
    <row r="1937" spans="12:13" x14ac:dyDescent="0.2">
      <c r="L1937" s="12"/>
      <c r="M1937" s="13"/>
    </row>
    <row r="1938" spans="12:13" x14ac:dyDescent="0.2">
      <c r="L1938" s="12"/>
      <c r="M1938" s="13"/>
    </row>
    <row r="1939" spans="12:13" x14ac:dyDescent="0.2">
      <c r="L1939" s="12"/>
      <c r="M1939" s="13"/>
    </row>
    <row r="1940" spans="12:13" x14ac:dyDescent="0.2">
      <c r="L1940" s="12"/>
      <c r="M1940" s="13"/>
    </row>
    <row r="1941" spans="12:13" x14ac:dyDescent="0.2">
      <c r="L1941" s="12"/>
      <c r="M1941" s="13"/>
    </row>
    <row r="1942" spans="12:13" x14ac:dyDescent="0.2">
      <c r="L1942" s="12"/>
      <c r="M1942" s="13"/>
    </row>
    <row r="1943" spans="12:13" x14ac:dyDescent="0.2">
      <c r="L1943" s="12"/>
      <c r="M1943" s="13"/>
    </row>
    <row r="1944" spans="12:13" x14ac:dyDescent="0.2">
      <c r="L1944" s="12"/>
      <c r="M1944" s="13"/>
    </row>
    <row r="1945" spans="12:13" x14ac:dyDescent="0.2">
      <c r="L1945" s="12"/>
      <c r="M1945" s="13"/>
    </row>
    <row r="1946" spans="12:13" x14ac:dyDescent="0.2">
      <c r="L1946" s="12"/>
      <c r="M1946" s="13"/>
    </row>
    <row r="1947" spans="12:13" x14ac:dyDescent="0.2">
      <c r="L1947" s="12"/>
      <c r="M1947" s="13"/>
    </row>
    <row r="1948" spans="12:13" x14ac:dyDescent="0.2">
      <c r="L1948" s="12"/>
      <c r="M1948" s="13"/>
    </row>
    <row r="1949" spans="12:13" x14ac:dyDescent="0.2">
      <c r="L1949" s="12"/>
      <c r="M1949" s="13"/>
    </row>
    <row r="1950" spans="12:13" x14ac:dyDescent="0.2">
      <c r="L1950" s="12"/>
      <c r="M1950" s="13"/>
    </row>
    <row r="1951" spans="12:13" x14ac:dyDescent="0.2">
      <c r="L1951" s="12"/>
      <c r="M1951" s="13"/>
    </row>
    <row r="1952" spans="12:13" x14ac:dyDescent="0.2">
      <c r="L1952" s="12"/>
      <c r="M1952" s="13"/>
    </row>
    <row r="1953" spans="12:13" x14ac:dyDescent="0.2">
      <c r="L1953" s="12"/>
      <c r="M1953" s="13"/>
    </row>
    <row r="1954" spans="12:13" x14ac:dyDescent="0.2">
      <c r="L1954" s="12"/>
      <c r="M1954" s="13"/>
    </row>
    <row r="1955" spans="12:13" x14ac:dyDescent="0.2">
      <c r="L1955" s="12"/>
      <c r="M1955" s="13"/>
    </row>
    <row r="1956" spans="12:13" x14ac:dyDescent="0.2">
      <c r="L1956" s="12"/>
      <c r="M1956" s="13"/>
    </row>
    <row r="1957" spans="12:13" x14ac:dyDescent="0.2">
      <c r="L1957" s="12"/>
      <c r="M1957" s="13"/>
    </row>
    <row r="1958" spans="12:13" x14ac:dyDescent="0.2">
      <c r="L1958" s="12"/>
      <c r="M1958" s="13"/>
    </row>
    <row r="1959" spans="12:13" x14ac:dyDescent="0.2">
      <c r="L1959" s="12"/>
      <c r="M1959" s="13"/>
    </row>
    <row r="1960" spans="12:13" x14ac:dyDescent="0.2">
      <c r="L1960" s="12"/>
      <c r="M1960" s="13"/>
    </row>
    <row r="1961" spans="12:13" x14ac:dyDescent="0.2">
      <c r="L1961" s="12"/>
      <c r="M1961" s="13"/>
    </row>
    <row r="1962" spans="12:13" x14ac:dyDescent="0.2">
      <c r="L1962" s="12"/>
      <c r="M1962" s="13"/>
    </row>
    <row r="1963" spans="12:13" x14ac:dyDescent="0.2">
      <c r="L1963" s="12"/>
      <c r="M1963" s="13"/>
    </row>
    <row r="1964" spans="12:13" x14ac:dyDescent="0.2">
      <c r="L1964" s="12"/>
      <c r="M1964" s="13"/>
    </row>
    <row r="1965" spans="12:13" x14ac:dyDescent="0.2">
      <c r="L1965" s="12"/>
      <c r="M1965" s="13"/>
    </row>
    <row r="1966" spans="12:13" x14ac:dyDescent="0.2">
      <c r="L1966" s="12"/>
      <c r="M1966" s="13"/>
    </row>
    <row r="1967" spans="12:13" x14ac:dyDescent="0.2">
      <c r="L1967" s="12"/>
      <c r="M1967" s="13"/>
    </row>
    <row r="1968" spans="12:13" x14ac:dyDescent="0.2">
      <c r="L1968" s="12"/>
      <c r="M1968" s="13"/>
    </row>
    <row r="1969" spans="12:13" x14ac:dyDescent="0.2">
      <c r="L1969" s="12"/>
      <c r="M1969" s="13"/>
    </row>
    <row r="1970" spans="12:13" x14ac:dyDescent="0.2">
      <c r="L1970" s="12"/>
      <c r="M1970" s="13"/>
    </row>
    <row r="1971" spans="12:13" x14ac:dyDescent="0.2">
      <c r="L1971" s="12"/>
      <c r="M1971" s="13"/>
    </row>
    <row r="1972" spans="12:13" x14ac:dyDescent="0.2">
      <c r="L1972" s="12"/>
      <c r="M1972" s="13"/>
    </row>
    <row r="1973" spans="12:13" x14ac:dyDescent="0.2">
      <c r="L1973" s="12"/>
      <c r="M1973" s="13"/>
    </row>
    <row r="1974" spans="12:13" x14ac:dyDescent="0.2">
      <c r="L1974" s="12"/>
      <c r="M1974" s="13"/>
    </row>
    <row r="1975" spans="12:13" x14ac:dyDescent="0.2">
      <c r="L1975" s="12"/>
      <c r="M1975" s="13"/>
    </row>
    <row r="1976" spans="12:13" x14ac:dyDescent="0.2">
      <c r="L1976" s="12"/>
      <c r="M1976" s="13"/>
    </row>
    <row r="1977" spans="12:13" x14ac:dyDescent="0.2">
      <c r="L1977" s="12"/>
      <c r="M1977" s="13"/>
    </row>
    <row r="1978" spans="12:13" x14ac:dyDescent="0.2">
      <c r="L1978" s="12"/>
      <c r="M1978" s="13"/>
    </row>
    <row r="1979" spans="12:13" x14ac:dyDescent="0.2">
      <c r="L1979" s="12"/>
      <c r="M1979" s="13"/>
    </row>
    <row r="1980" spans="12:13" x14ac:dyDescent="0.2">
      <c r="L1980" s="12"/>
      <c r="M1980" s="13"/>
    </row>
    <row r="1981" spans="12:13" x14ac:dyDescent="0.2">
      <c r="L1981" s="12"/>
      <c r="M1981" s="13"/>
    </row>
    <row r="1982" spans="12:13" x14ac:dyDescent="0.2">
      <c r="L1982" s="12"/>
      <c r="M1982" s="13"/>
    </row>
    <row r="1983" spans="12:13" x14ac:dyDescent="0.2">
      <c r="L1983" s="12"/>
      <c r="M1983" s="13"/>
    </row>
    <row r="1984" spans="12:13" x14ac:dyDescent="0.2">
      <c r="L1984" s="12"/>
      <c r="M1984" s="13"/>
    </row>
    <row r="1985" spans="12:13" x14ac:dyDescent="0.2">
      <c r="L1985" s="12"/>
      <c r="M1985" s="13"/>
    </row>
    <row r="1986" spans="12:13" x14ac:dyDescent="0.2">
      <c r="L1986" s="12"/>
      <c r="M1986" s="13"/>
    </row>
    <row r="1987" spans="12:13" x14ac:dyDescent="0.2">
      <c r="L1987" s="12"/>
      <c r="M1987" s="13"/>
    </row>
    <row r="1988" spans="12:13" x14ac:dyDescent="0.2">
      <c r="L1988" s="12"/>
      <c r="M1988" s="13"/>
    </row>
    <row r="1989" spans="12:13" x14ac:dyDescent="0.2">
      <c r="L1989" s="12"/>
      <c r="M1989" s="13"/>
    </row>
    <row r="1990" spans="12:13" x14ac:dyDescent="0.2">
      <c r="L1990" s="12"/>
      <c r="M1990" s="13"/>
    </row>
    <row r="1991" spans="12:13" x14ac:dyDescent="0.2">
      <c r="L1991" s="12"/>
      <c r="M1991" s="13"/>
    </row>
    <row r="1992" spans="12:13" x14ac:dyDescent="0.2">
      <c r="L1992" s="12"/>
      <c r="M1992" s="13"/>
    </row>
    <row r="1993" spans="12:13" x14ac:dyDescent="0.2">
      <c r="L1993" s="12"/>
      <c r="M1993" s="13"/>
    </row>
    <row r="1994" spans="12:13" x14ac:dyDescent="0.2">
      <c r="L1994" s="12"/>
      <c r="M1994" s="13"/>
    </row>
    <row r="1995" spans="12:13" x14ac:dyDescent="0.2">
      <c r="L1995" s="12"/>
      <c r="M1995" s="13"/>
    </row>
    <row r="1996" spans="12:13" x14ac:dyDescent="0.2">
      <c r="L1996" s="12"/>
      <c r="M1996" s="13"/>
    </row>
    <row r="1997" spans="12:13" x14ac:dyDescent="0.2">
      <c r="L1997" s="12"/>
      <c r="M1997" s="13"/>
    </row>
    <row r="1998" spans="12:13" x14ac:dyDescent="0.2">
      <c r="L1998" s="12"/>
      <c r="M1998" s="13"/>
    </row>
    <row r="1999" spans="12:13" x14ac:dyDescent="0.2">
      <c r="L1999" s="12"/>
      <c r="M1999" s="13"/>
    </row>
    <row r="2000" spans="12:13" x14ac:dyDescent="0.2">
      <c r="L2000" s="12"/>
      <c r="M2000" s="13"/>
    </row>
    <row r="2001" spans="12:13" x14ac:dyDescent="0.2">
      <c r="L2001" s="12"/>
      <c r="M2001" s="13"/>
    </row>
    <row r="2002" spans="12:13" x14ac:dyDescent="0.2">
      <c r="L2002" s="12"/>
      <c r="M2002" s="13"/>
    </row>
    <row r="2003" spans="12:13" x14ac:dyDescent="0.2">
      <c r="L2003" s="12"/>
      <c r="M2003" s="13"/>
    </row>
    <row r="2004" spans="12:13" x14ac:dyDescent="0.2">
      <c r="L2004" s="12"/>
      <c r="M2004" s="13"/>
    </row>
    <row r="2005" spans="12:13" x14ac:dyDescent="0.2">
      <c r="L2005" s="12"/>
      <c r="M2005" s="13"/>
    </row>
    <row r="2006" spans="12:13" x14ac:dyDescent="0.2">
      <c r="L2006" s="12"/>
      <c r="M2006" s="13"/>
    </row>
    <row r="2007" spans="12:13" x14ac:dyDescent="0.2">
      <c r="L2007" s="12"/>
      <c r="M2007" s="13"/>
    </row>
    <row r="2008" spans="12:13" x14ac:dyDescent="0.2">
      <c r="L2008" s="12"/>
      <c r="M2008" s="13"/>
    </row>
    <row r="2009" spans="12:13" x14ac:dyDescent="0.2">
      <c r="L2009" s="12"/>
      <c r="M2009" s="13"/>
    </row>
    <row r="2010" spans="12:13" x14ac:dyDescent="0.2">
      <c r="L2010" s="12"/>
      <c r="M2010" s="13"/>
    </row>
    <row r="2011" spans="12:13" x14ac:dyDescent="0.2">
      <c r="L2011" s="12"/>
      <c r="M2011" s="13"/>
    </row>
    <row r="2012" spans="12:13" x14ac:dyDescent="0.2">
      <c r="L2012" s="12"/>
      <c r="M2012" s="13"/>
    </row>
    <row r="2013" spans="12:13" x14ac:dyDescent="0.2">
      <c r="L2013" s="12"/>
      <c r="M2013" s="13"/>
    </row>
    <row r="2014" spans="12:13" x14ac:dyDescent="0.2">
      <c r="L2014" s="12"/>
      <c r="M2014" s="13"/>
    </row>
    <row r="2015" spans="12:13" x14ac:dyDescent="0.2">
      <c r="L2015" s="12"/>
      <c r="M2015" s="13"/>
    </row>
    <row r="2016" spans="12:13" x14ac:dyDescent="0.2">
      <c r="L2016" s="12"/>
      <c r="M2016" s="13"/>
    </row>
    <row r="2017" spans="12:13" x14ac:dyDescent="0.2">
      <c r="L2017" s="12"/>
      <c r="M2017" s="13"/>
    </row>
    <row r="2018" spans="12:13" x14ac:dyDescent="0.2">
      <c r="L2018" s="12"/>
      <c r="M2018" s="13"/>
    </row>
    <row r="2019" spans="12:13" x14ac:dyDescent="0.2">
      <c r="L2019" s="12"/>
      <c r="M2019" s="13"/>
    </row>
    <row r="2020" spans="12:13" x14ac:dyDescent="0.2">
      <c r="L2020" s="12"/>
      <c r="M2020" s="13"/>
    </row>
    <row r="2021" spans="12:13" x14ac:dyDescent="0.2">
      <c r="L2021" s="12"/>
      <c r="M2021" s="13"/>
    </row>
    <row r="2022" spans="12:13" x14ac:dyDescent="0.2">
      <c r="L2022" s="12"/>
      <c r="M2022" s="13"/>
    </row>
    <row r="2023" spans="12:13" x14ac:dyDescent="0.2">
      <c r="L2023" s="12"/>
      <c r="M2023" s="13"/>
    </row>
    <row r="2024" spans="12:13" x14ac:dyDescent="0.2">
      <c r="L2024" s="12"/>
      <c r="M2024" s="13"/>
    </row>
    <row r="2025" spans="12:13" x14ac:dyDescent="0.2">
      <c r="L2025" s="12"/>
      <c r="M2025" s="13"/>
    </row>
    <row r="2026" spans="12:13" x14ac:dyDescent="0.2">
      <c r="L2026" s="12"/>
      <c r="M2026" s="13"/>
    </row>
    <row r="2027" spans="12:13" x14ac:dyDescent="0.2">
      <c r="L2027" s="12"/>
      <c r="M2027" s="13"/>
    </row>
    <row r="2028" spans="12:13" x14ac:dyDescent="0.2">
      <c r="L2028" s="12"/>
      <c r="M2028" s="13"/>
    </row>
    <row r="2029" spans="12:13" x14ac:dyDescent="0.2">
      <c r="L2029" s="12"/>
      <c r="M2029" s="13"/>
    </row>
    <row r="2030" spans="12:13" x14ac:dyDescent="0.2">
      <c r="L2030" s="12"/>
      <c r="M2030" s="13"/>
    </row>
    <row r="2031" spans="12:13" x14ac:dyDescent="0.2">
      <c r="L2031" s="12"/>
      <c r="M2031" s="13"/>
    </row>
    <row r="2032" spans="12:13" x14ac:dyDescent="0.2">
      <c r="L2032" s="12"/>
      <c r="M2032" s="13"/>
    </row>
    <row r="2033" spans="12:13" x14ac:dyDescent="0.2">
      <c r="L2033" s="12"/>
      <c r="M2033" s="13"/>
    </row>
    <row r="2034" spans="12:13" x14ac:dyDescent="0.2">
      <c r="L2034" s="12"/>
      <c r="M2034" s="13"/>
    </row>
    <row r="2035" spans="12:13" x14ac:dyDescent="0.2">
      <c r="L2035" s="12"/>
      <c r="M2035" s="13"/>
    </row>
    <row r="2036" spans="12:13" x14ac:dyDescent="0.2">
      <c r="L2036" s="12"/>
      <c r="M2036" s="13"/>
    </row>
    <row r="2037" spans="12:13" x14ac:dyDescent="0.2">
      <c r="L2037" s="12"/>
      <c r="M2037" s="13"/>
    </row>
    <row r="2038" spans="12:13" x14ac:dyDescent="0.2">
      <c r="L2038" s="12"/>
      <c r="M2038" s="13"/>
    </row>
    <row r="2039" spans="12:13" x14ac:dyDescent="0.2">
      <c r="L2039" s="12"/>
      <c r="M2039" s="13"/>
    </row>
    <row r="2040" spans="12:13" x14ac:dyDescent="0.2">
      <c r="L2040" s="12"/>
      <c r="M2040" s="13"/>
    </row>
    <row r="2041" spans="12:13" x14ac:dyDescent="0.2">
      <c r="L2041" s="12"/>
      <c r="M2041" s="13"/>
    </row>
    <row r="2042" spans="12:13" x14ac:dyDescent="0.2">
      <c r="L2042" s="12"/>
      <c r="M2042" s="13"/>
    </row>
    <row r="2043" spans="12:13" x14ac:dyDescent="0.2">
      <c r="L2043" s="12"/>
      <c r="M2043" s="13"/>
    </row>
    <row r="2044" spans="12:13" x14ac:dyDescent="0.2">
      <c r="L2044" s="12"/>
      <c r="M2044" s="13"/>
    </row>
    <row r="2045" spans="12:13" x14ac:dyDescent="0.2">
      <c r="L2045" s="12"/>
      <c r="M2045" s="13"/>
    </row>
    <row r="2046" spans="12:13" x14ac:dyDescent="0.2">
      <c r="L2046" s="12"/>
      <c r="M2046" s="13"/>
    </row>
    <row r="2047" spans="12:13" x14ac:dyDescent="0.2">
      <c r="L2047" s="12"/>
      <c r="M2047" s="13"/>
    </row>
    <row r="2048" spans="12:13" x14ac:dyDescent="0.2">
      <c r="L2048" s="12"/>
      <c r="M2048" s="13"/>
    </row>
    <row r="2049" spans="12:13" x14ac:dyDescent="0.2">
      <c r="L2049" s="12"/>
      <c r="M2049" s="13"/>
    </row>
    <row r="2050" spans="12:13" x14ac:dyDescent="0.2">
      <c r="L2050" s="17"/>
      <c r="M2050" s="18"/>
    </row>
    <row r="2051" spans="12:13" x14ac:dyDescent="0.2">
      <c r="L2051" s="12"/>
      <c r="M2051" s="13"/>
    </row>
    <row r="2052" spans="12:13" x14ac:dyDescent="0.2">
      <c r="L2052" s="12"/>
      <c r="M2052" s="13"/>
    </row>
    <row r="2053" spans="12:13" x14ac:dyDescent="0.2">
      <c r="L2053" s="12"/>
      <c r="M2053" s="13"/>
    </row>
    <row r="2054" spans="12:13" x14ac:dyDescent="0.2">
      <c r="L2054" s="12"/>
      <c r="M2054" s="13"/>
    </row>
    <row r="2055" spans="12:13" x14ac:dyDescent="0.2">
      <c r="L2055" s="12"/>
      <c r="M2055" s="13"/>
    </row>
    <row r="2056" spans="12:13" x14ac:dyDescent="0.2">
      <c r="L2056" s="12"/>
      <c r="M2056" s="13"/>
    </row>
    <row r="2057" spans="12:13" x14ac:dyDescent="0.2">
      <c r="L2057" s="12"/>
      <c r="M2057" s="13"/>
    </row>
    <row r="2058" spans="12:13" x14ac:dyDescent="0.2">
      <c r="L2058" s="12"/>
      <c r="M2058" s="13"/>
    </row>
    <row r="2059" spans="12:13" x14ac:dyDescent="0.2">
      <c r="L2059" s="12"/>
      <c r="M2059" s="13"/>
    </row>
    <row r="2060" spans="12:13" x14ac:dyDescent="0.2">
      <c r="L2060" s="12"/>
      <c r="M2060" s="13"/>
    </row>
    <row r="2061" spans="12:13" x14ac:dyDescent="0.2">
      <c r="L2061" s="12"/>
      <c r="M2061" s="13"/>
    </row>
    <row r="2062" spans="12:13" x14ac:dyDescent="0.2">
      <c r="L2062" s="12"/>
      <c r="M2062" s="13"/>
    </row>
    <row r="2063" spans="12:13" x14ac:dyDescent="0.2">
      <c r="L2063" s="12"/>
      <c r="M2063" s="13"/>
    </row>
    <row r="2064" spans="12:13" x14ac:dyDescent="0.2">
      <c r="L2064" s="12"/>
      <c r="M2064" s="13"/>
    </row>
    <row r="2065" spans="12:13" x14ac:dyDescent="0.2">
      <c r="L2065" s="12"/>
      <c r="M2065" s="13"/>
    </row>
    <row r="2066" spans="12:13" x14ac:dyDescent="0.2">
      <c r="L2066" s="12"/>
      <c r="M2066" s="13"/>
    </row>
    <row r="2067" spans="12:13" x14ac:dyDescent="0.2">
      <c r="L2067" s="12"/>
      <c r="M2067" s="13"/>
    </row>
    <row r="2068" spans="12:13" x14ac:dyDescent="0.2">
      <c r="L2068" s="12"/>
      <c r="M2068" s="13"/>
    </row>
    <row r="2069" spans="12:13" x14ac:dyDescent="0.2">
      <c r="L2069" s="12"/>
      <c r="M2069" s="13"/>
    </row>
    <row r="2070" spans="12:13" x14ac:dyDescent="0.2">
      <c r="L2070" s="12"/>
      <c r="M2070" s="13"/>
    </row>
    <row r="2071" spans="12:13" x14ac:dyDescent="0.2">
      <c r="L2071" s="12"/>
      <c r="M2071" s="13"/>
    </row>
    <row r="2072" spans="12:13" x14ac:dyDescent="0.2">
      <c r="L2072" s="12"/>
      <c r="M2072" s="13"/>
    </row>
    <row r="2073" spans="12:13" x14ac:dyDescent="0.2">
      <c r="L2073" s="12"/>
      <c r="M2073" s="13"/>
    </row>
    <row r="2074" spans="12:13" x14ac:dyDescent="0.2">
      <c r="L2074" s="12"/>
      <c r="M2074" s="13"/>
    </row>
    <row r="2075" spans="12:13" x14ac:dyDescent="0.2">
      <c r="L2075" s="12"/>
      <c r="M2075" s="13"/>
    </row>
    <row r="2076" spans="12:13" x14ac:dyDescent="0.2">
      <c r="L2076" s="12"/>
      <c r="M2076" s="13"/>
    </row>
    <row r="2077" spans="12:13" x14ac:dyDescent="0.2">
      <c r="L2077" s="12"/>
      <c r="M2077" s="13"/>
    </row>
    <row r="2078" spans="12:13" x14ac:dyDescent="0.2">
      <c r="L2078" s="12"/>
      <c r="M2078" s="13"/>
    </row>
    <row r="2079" spans="12:13" x14ac:dyDescent="0.2">
      <c r="L2079" s="12"/>
      <c r="M2079" s="13"/>
    </row>
    <row r="2080" spans="12:13" x14ac:dyDescent="0.2">
      <c r="L2080" s="12"/>
      <c r="M2080" s="13"/>
    </row>
    <row r="2081" spans="12:13" x14ac:dyDescent="0.2">
      <c r="L2081" s="12"/>
      <c r="M2081" s="13"/>
    </row>
    <row r="2082" spans="12:13" x14ac:dyDescent="0.2">
      <c r="L2082" s="12"/>
      <c r="M2082" s="13"/>
    </row>
    <row r="2083" spans="12:13" x14ac:dyDescent="0.2">
      <c r="L2083" s="12"/>
      <c r="M2083" s="13"/>
    </row>
    <row r="2084" spans="12:13" x14ac:dyDescent="0.2">
      <c r="L2084" s="12"/>
      <c r="M2084" s="13"/>
    </row>
    <row r="2085" spans="12:13" x14ac:dyDescent="0.2">
      <c r="L2085" s="12"/>
      <c r="M2085" s="13"/>
    </row>
    <row r="2086" spans="12:13" x14ac:dyDescent="0.2">
      <c r="L2086" s="12"/>
      <c r="M2086" s="13"/>
    </row>
    <row r="2087" spans="12:13" x14ac:dyDescent="0.2">
      <c r="L2087" s="12"/>
      <c r="M2087" s="13"/>
    </row>
    <row r="2088" spans="12:13" x14ac:dyDescent="0.2">
      <c r="L2088" s="12"/>
      <c r="M2088" s="13"/>
    </row>
    <row r="2089" spans="12:13" x14ac:dyDescent="0.2">
      <c r="L2089" s="12"/>
      <c r="M2089" s="13"/>
    </row>
    <row r="2090" spans="12:13" x14ac:dyDescent="0.2">
      <c r="L2090" s="12"/>
      <c r="M2090" s="13"/>
    </row>
    <row r="2091" spans="12:13" x14ac:dyDescent="0.2">
      <c r="L2091" s="12"/>
      <c r="M2091" s="13"/>
    </row>
    <row r="2092" spans="12:13" x14ac:dyDescent="0.2">
      <c r="L2092" s="12"/>
      <c r="M2092" s="13"/>
    </row>
    <row r="2093" spans="12:13" x14ac:dyDescent="0.2">
      <c r="L2093" s="12"/>
      <c r="M2093" s="13"/>
    </row>
    <row r="2094" spans="12:13" x14ac:dyDescent="0.2">
      <c r="L2094" s="12"/>
      <c r="M2094" s="13"/>
    </row>
    <row r="2095" spans="12:13" x14ac:dyDescent="0.2">
      <c r="L2095" s="12"/>
      <c r="M2095" s="13"/>
    </row>
    <row r="2096" spans="12:13" x14ac:dyDescent="0.2">
      <c r="L2096" s="12"/>
      <c r="M2096" s="13"/>
    </row>
    <row r="2097" spans="12:13" x14ac:dyDescent="0.2">
      <c r="L2097" s="12"/>
      <c r="M2097" s="13"/>
    </row>
    <row r="2098" spans="12:13" x14ac:dyDescent="0.2">
      <c r="L2098" s="12"/>
      <c r="M2098" s="13"/>
    </row>
    <row r="2099" spans="12:13" x14ac:dyDescent="0.2">
      <c r="L2099" s="12"/>
      <c r="M2099" s="13"/>
    </row>
    <row r="2100" spans="12:13" x14ac:dyDescent="0.2">
      <c r="L2100" s="12"/>
      <c r="M2100" s="13"/>
    </row>
    <row r="2101" spans="12:13" x14ac:dyDescent="0.2">
      <c r="L2101" s="12"/>
      <c r="M2101" s="13"/>
    </row>
    <row r="2102" spans="12:13" x14ac:dyDescent="0.2">
      <c r="L2102" s="12"/>
      <c r="M2102" s="13"/>
    </row>
    <row r="2103" spans="12:13" x14ac:dyDescent="0.2">
      <c r="L2103" s="12"/>
      <c r="M2103" s="13"/>
    </row>
    <row r="2104" spans="12:13" x14ac:dyDescent="0.2">
      <c r="L2104" s="12"/>
      <c r="M2104" s="13"/>
    </row>
    <row r="2105" spans="12:13" x14ac:dyDescent="0.2">
      <c r="L2105" s="12"/>
      <c r="M2105" s="13"/>
    </row>
    <row r="2106" spans="12:13" x14ac:dyDescent="0.2">
      <c r="L2106" s="12"/>
      <c r="M2106" s="13"/>
    </row>
    <row r="2107" spans="12:13" x14ac:dyDescent="0.2">
      <c r="L2107" s="12"/>
      <c r="M2107" s="13"/>
    </row>
    <row r="2108" spans="12:13" x14ac:dyDescent="0.2">
      <c r="L2108" s="12"/>
      <c r="M2108" s="13"/>
    </row>
    <row r="2109" spans="12:13" x14ac:dyDescent="0.2">
      <c r="L2109" s="12"/>
      <c r="M2109" s="13"/>
    </row>
    <row r="2110" spans="12:13" x14ac:dyDescent="0.2">
      <c r="L2110" s="12"/>
      <c r="M2110" s="13"/>
    </row>
    <row r="2111" spans="12:13" x14ac:dyDescent="0.2">
      <c r="L2111" s="12"/>
      <c r="M2111" s="13"/>
    </row>
    <row r="2112" spans="12:13" x14ac:dyDescent="0.2">
      <c r="L2112" s="12"/>
      <c r="M2112" s="13"/>
    </row>
    <row r="2113" spans="12:13" x14ac:dyDescent="0.2">
      <c r="L2113" s="12"/>
      <c r="M2113" s="13"/>
    </row>
    <row r="2114" spans="12:13" x14ac:dyDescent="0.2">
      <c r="L2114" s="12"/>
      <c r="M2114" s="13"/>
    </row>
    <row r="2115" spans="12:13" x14ac:dyDescent="0.2">
      <c r="L2115" s="12"/>
      <c r="M2115" s="13"/>
    </row>
    <row r="2116" spans="12:13" x14ac:dyDescent="0.2">
      <c r="L2116" s="12"/>
      <c r="M2116" s="13"/>
    </row>
    <row r="2117" spans="12:13" x14ac:dyDescent="0.2">
      <c r="L2117" s="12"/>
      <c r="M2117" s="13"/>
    </row>
    <row r="2118" spans="12:13" x14ac:dyDescent="0.2">
      <c r="L2118" s="12"/>
      <c r="M2118" s="13"/>
    </row>
    <row r="2119" spans="12:13" x14ac:dyDescent="0.2">
      <c r="L2119" s="12"/>
      <c r="M2119" s="13"/>
    </row>
    <row r="2120" spans="12:13" x14ac:dyDescent="0.2">
      <c r="L2120" s="12"/>
      <c r="M2120" s="13"/>
    </row>
    <row r="2121" spans="12:13" x14ac:dyDescent="0.2">
      <c r="L2121" s="12"/>
      <c r="M2121" s="13"/>
    </row>
    <row r="2122" spans="12:13" x14ac:dyDescent="0.2">
      <c r="L2122" s="12"/>
      <c r="M2122" s="13"/>
    </row>
    <row r="2123" spans="12:13" x14ac:dyDescent="0.2">
      <c r="L2123" s="12"/>
      <c r="M2123" s="13"/>
    </row>
    <row r="2124" spans="12:13" x14ac:dyDescent="0.2">
      <c r="L2124" s="12"/>
      <c r="M2124" s="13"/>
    </row>
    <row r="2125" spans="12:13" x14ac:dyDescent="0.2">
      <c r="L2125" s="12"/>
      <c r="M2125" s="13"/>
    </row>
    <row r="2126" spans="12:13" x14ac:dyDescent="0.2">
      <c r="L2126" s="12"/>
      <c r="M2126" s="13"/>
    </row>
    <row r="2127" spans="12:13" x14ac:dyDescent="0.2">
      <c r="L2127" s="12"/>
      <c r="M2127" s="13"/>
    </row>
    <row r="2128" spans="12:13" x14ac:dyDescent="0.2">
      <c r="L2128" s="12"/>
      <c r="M2128" s="13"/>
    </row>
    <row r="2129" spans="12:13" x14ac:dyDescent="0.2">
      <c r="L2129" s="12"/>
      <c r="M2129" s="13"/>
    </row>
    <row r="2130" spans="12:13" x14ac:dyDescent="0.2">
      <c r="L2130" s="12"/>
      <c r="M2130" s="13"/>
    </row>
    <row r="2131" spans="12:13" x14ac:dyDescent="0.2">
      <c r="L2131" s="12"/>
      <c r="M2131" s="13"/>
    </row>
    <row r="2132" spans="12:13" x14ac:dyDescent="0.2">
      <c r="L2132" s="12"/>
      <c r="M2132" s="13"/>
    </row>
    <row r="2133" spans="12:13" x14ac:dyDescent="0.2">
      <c r="L2133" s="12"/>
      <c r="M2133" s="13"/>
    </row>
    <row r="2134" spans="12:13" x14ac:dyDescent="0.2">
      <c r="L2134" s="12"/>
      <c r="M2134" s="13"/>
    </row>
    <row r="2135" spans="12:13" x14ac:dyDescent="0.2">
      <c r="L2135" s="12"/>
      <c r="M2135" s="13"/>
    </row>
    <row r="2136" spans="12:13" x14ac:dyDescent="0.2">
      <c r="L2136" s="12"/>
      <c r="M2136" s="13"/>
    </row>
    <row r="2137" spans="12:13" x14ac:dyDescent="0.2">
      <c r="L2137" s="12"/>
      <c r="M2137" s="13"/>
    </row>
    <row r="2138" spans="12:13" x14ac:dyDescent="0.2">
      <c r="L2138" s="12"/>
      <c r="M2138" s="13"/>
    </row>
    <row r="2139" spans="12:13" x14ac:dyDescent="0.2">
      <c r="L2139" s="12"/>
      <c r="M2139" s="13"/>
    </row>
    <row r="2140" spans="12:13" x14ac:dyDescent="0.2">
      <c r="L2140" s="12"/>
      <c r="M2140" s="13"/>
    </row>
    <row r="2141" spans="12:13" x14ac:dyDescent="0.2">
      <c r="L2141" s="12"/>
      <c r="M2141" s="13"/>
    </row>
    <row r="2142" spans="12:13" x14ac:dyDescent="0.2">
      <c r="L2142" s="12"/>
      <c r="M2142" s="13"/>
    </row>
    <row r="2143" spans="12:13" x14ac:dyDescent="0.2">
      <c r="L2143" s="12"/>
      <c r="M2143" s="13"/>
    </row>
    <row r="2144" spans="12:13" x14ac:dyDescent="0.2">
      <c r="L2144" s="12"/>
      <c r="M2144" s="13"/>
    </row>
    <row r="2145" spans="12:13" x14ac:dyDescent="0.2">
      <c r="L2145" s="12"/>
      <c r="M2145" s="13"/>
    </row>
    <row r="2146" spans="12:13" x14ac:dyDescent="0.2">
      <c r="L2146" s="12"/>
      <c r="M2146" s="13"/>
    </row>
    <row r="2147" spans="12:13" x14ac:dyDescent="0.2">
      <c r="L2147" s="12"/>
      <c r="M2147" s="13"/>
    </row>
    <row r="2148" spans="12:13" x14ac:dyDescent="0.2">
      <c r="L2148" s="12"/>
      <c r="M2148" s="13"/>
    </row>
    <row r="2149" spans="12:13" x14ac:dyDescent="0.2">
      <c r="L2149" s="12"/>
      <c r="M2149" s="13"/>
    </row>
    <row r="2150" spans="12:13" x14ac:dyDescent="0.2">
      <c r="L2150" s="12"/>
      <c r="M2150" s="13"/>
    </row>
    <row r="2151" spans="12:13" x14ac:dyDescent="0.2">
      <c r="L2151" s="12"/>
      <c r="M2151" s="13"/>
    </row>
    <row r="2152" spans="12:13" x14ac:dyDescent="0.2">
      <c r="L2152" s="12"/>
      <c r="M2152" s="13"/>
    </row>
    <row r="2153" spans="12:13" x14ac:dyDescent="0.2">
      <c r="L2153" s="12"/>
      <c r="M2153" s="13"/>
    </row>
    <row r="2154" spans="12:13" x14ac:dyDescent="0.2">
      <c r="L2154" s="12"/>
      <c r="M2154" s="13"/>
    </row>
    <row r="2155" spans="12:13" x14ac:dyDescent="0.2">
      <c r="L2155" s="12"/>
      <c r="M2155" s="13"/>
    </row>
    <row r="2156" spans="12:13" x14ac:dyDescent="0.2">
      <c r="L2156" s="12"/>
      <c r="M2156" s="13"/>
    </row>
    <row r="2157" spans="12:13" x14ac:dyDescent="0.2">
      <c r="L2157" s="12"/>
      <c r="M2157" s="13"/>
    </row>
    <row r="2158" spans="12:13" x14ac:dyDescent="0.2">
      <c r="L2158" s="12"/>
      <c r="M2158" s="13"/>
    </row>
    <row r="2159" spans="12:13" x14ac:dyDescent="0.2">
      <c r="L2159" s="12"/>
      <c r="M2159" s="13"/>
    </row>
    <row r="2160" spans="12:13" x14ac:dyDescent="0.2">
      <c r="L2160" s="12"/>
      <c r="M2160" s="13"/>
    </row>
    <row r="2161" spans="12:13" x14ac:dyDescent="0.2">
      <c r="L2161" s="12"/>
      <c r="M2161" s="13"/>
    </row>
    <row r="2162" spans="12:13" x14ac:dyDescent="0.2">
      <c r="L2162" s="12"/>
      <c r="M2162" s="13"/>
    </row>
    <row r="2163" spans="12:13" x14ac:dyDescent="0.2">
      <c r="L2163" s="12"/>
      <c r="M2163" s="13"/>
    </row>
    <row r="2164" spans="12:13" x14ac:dyDescent="0.2">
      <c r="L2164" s="12"/>
      <c r="M2164" s="13"/>
    </row>
    <row r="2165" spans="12:13" x14ac:dyDescent="0.2">
      <c r="L2165" s="12"/>
      <c r="M2165" s="13"/>
    </row>
    <row r="2166" spans="12:13" x14ac:dyDescent="0.2">
      <c r="L2166" s="12"/>
      <c r="M2166" s="13"/>
    </row>
    <row r="2167" spans="12:13" x14ac:dyDescent="0.2">
      <c r="L2167" s="12"/>
      <c r="M2167" s="13"/>
    </row>
    <row r="2168" spans="12:13" x14ac:dyDescent="0.2">
      <c r="L2168" s="12"/>
      <c r="M2168" s="13"/>
    </row>
    <row r="2169" spans="12:13" x14ac:dyDescent="0.2">
      <c r="L2169" s="12"/>
      <c r="M2169" s="13"/>
    </row>
    <row r="2170" spans="12:13" x14ac:dyDescent="0.2">
      <c r="L2170" s="12"/>
      <c r="M2170" s="13"/>
    </row>
    <row r="2171" spans="12:13" x14ac:dyDescent="0.2">
      <c r="L2171" s="12"/>
      <c r="M2171" s="13"/>
    </row>
    <row r="2172" spans="12:13" x14ac:dyDescent="0.2">
      <c r="L2172" s="12"/>
      <c r="M2172" s="13"/>
    </row>
    <row r="2173" spans="12:13" x14ac:dyDescent="0.2">
      <c r="L2173" s="12"/>
      <c r="M2173" s="13"/>
    </row>
    <row r="2174" spans="12:13" x14ac:dyDescent="0.2">
      <c r="L2174" s="12"/>
      <c r="M2174" s="13"/>
    </row>
    <row r="2175" spans="12:13" x14ac:dyDescent="0.2">
      <c r="L2175" s="12"/>
      <c r="M2175" s="13"/>
    </row>
    <row r="2176" spans="12:13" x14ac:dyDescent="0.2">
      <c r="L2176" s="12"/>
      <c r="M2176" s="13"/>
    </row>
    <row r="2177" spans="12:13" x14ac:dyDescent="0.2">
      <c r="L2177" s="12"/>
      <c r="M2177" s="13"/>
    </row>
    <row r="2178" spans="12:13" x14ac:dyDescent="0.2">
      <c r="L2178" s="12"/>
      <c r="M2178" s="13"/>
    </row>
    <row r="2179" spans="12:13" x14ac:dyDescent="0.2">
      <c r="L2179" s="12"/>
      <c r="M2179" s="13"/>
    </row>
    <row r="2180" spans="12:13" x14ac:dyDescent="0.2">
      <c r="L2180" s="12"/>
      <c r="M2180" s="13"/>
    </row>
    <row r="2181" spans="12:13" x14ac:dyDescent="0.2">
      <c r="L2181" s="12"/>
      <c r="M2181" s="13"/>
    </row>
    <row r="2182" spans="12:13" x14ac:dyDescent="0.2">
      <c r="L2182" s="12"/>
      <c r="M2182" s="13"/>
    </row>
    <row r="2183" spans="12:13" x14ac:dyDescent="0.2">
      <c r="L2183" s="12"/>
      <c r="M2183" s="13"/>
    </row>
    <row r="2184" spans="12:13" x14ac:dyDescent="0.2">
      <c r="L2184" s="12"/>
      <c r="M2184" s="13"/>
    </row>
    <row r="2185" spans="12:13" x14ac:dyDescent="0.2">
      <c r="L2185" s="12"/>
      <c r="M2185" s="13"/>
    </row>
    <row r="2186" spans="12:13" x14ac:dyDescent="0.2">
      <c r="L2186" s="12"/>
      <c r="M2186" s="13"/>
    </row>
    <row r="2187" spans="12:13" x14ac:dyDescent="0.2">
      <c r="L2187" s="12"/>
      <c r="M2187" s="13"/>
    </row>
    <row r="2188" spans="12:13" x14ac:dyDescent="0.2">
      <c r="L2188" s="12"/>
      <c r="M2188" s="13"/>
    </row>
    <row r="2189" spans="12:13" x14ac:dyDescent="0.2">
      <c r="L2189" s="12"/>
      <c r="M2189" s="13"/>
    </row>
    <row r="2190" spans="12:13" x14ac:dyDescent="0.2">
      <c r="L2190" s="12"/>
      <c r="M2190" s="13"/>
    </row>
    <row r="2191" spans="12:13" x14ac:dyDescent="0.2">
      <c r="L2191" s="12"/>
      <c r="M2191" s="13"/>
    </row>
    <row r="2192" spans="12:13" x14ac:dyDescent="0.2">
      <c r="L2192" s="12"/>
      <c r="M2192" s="13"/>
    </row>
    <row r="2193" spans="12:13" x14ac:dyDescent="0.2">
      <c r="L2193" s="12"/>
      <c r="M2193" s="13"/>
    </row>
    <row r="2194" spans="12:13" x14ac:dyDescent="0.2">
      <c r="L2194" s="12"/>
      <c r="M2194" s="13"/>
    </row>
    <row r="2195" spans="12:13" x14ac:dyDescent="0.2">
      <c r="L2195" s="12"/>
      <c r="M2195" s="13"/>
    </row>
    <row r="2196" spans="12:13" x14ac:dyDescent="0.2">
      <c r="L2196" s="12"/>
      <c r="M2196" s="13"/>
    </row>
    <row r="2197" spans="12:13" x14ac:dyDescent="0.2">
      <c r="L2197" s="12"/>
      <c r="M2197" s="13"/>
    </row>
    <row r="2198" spans="12:13" x14ac:dyDescent="0.2">
      <c r="L2198" s="12"/>
      <c r="M2198" s="13"/>
    </row>
    <row r="2199" spans="12:13" x14ac:dyDescent="0.2">
      <c r="L2199" s="12"/>
      <c r="M2199" s="13"/>
    </row>
    <row r="2200" spans="12:13" x14ac:dyDescent="0.2">
      <c r="L2200" s="12"/>
      <c r="M2200" s="13"/>
    </row>
    <row r="2201" spans="12:13" x14ac:dyDescent="0.2">
      <c r="L2201" s="12"/>
      <c r="M2201" s="13"/>
    </row>
    <row r="2202" spans="12:13" x14ac:dyDescent="0.2">
      <c r="L2202" s="12"/>
      <c r="M2202" s="13"/>
    </row>
    <row r="2203" spans="12:13" x14ac:dyDescent="0.2">
      <c r="L2203" s="12"/>
      <c r="M2203" s="13"/>
    </row>
    <row r="2204" spans="12:13" x14ac:dyDescent="0.2">
      <c r="L2204" s="12"/>
      <c r="M2204" s="13"/>
    </row>
    <row r="2205" spans="12:13" x14ac:dyDescent="0.2">
      <c r="L2205" s="12"/>
      <c r="M2205" s="13"/>
    </row>
    <row r="2206" spans="12:13" x14ac:dyDescent="0.2">
      <c r="L2206" s="12"/>
      <c r="M2206" s="13"/>
    </row>
    <row r="2207" spans="12:13" x14ac:dyDescent="0.2">
      <c r="L2207" s="12"/>
      <c r="M2207" s="13"/>
    </row>
    <row r="2208" spans="12:13" x14ac:dyDescent="0.2">
      <c r="L2208" s="12"/>
      <c r="M2208" s="13"/>
    </row>
    <row r="2209" spans="12:13" x14ac:dyDescent="0.2">
      <c r="L2209" s="12"/>
      <c r="M2209" s="13"/>
    </row>
    <row r="2210" spans="12:13" x14ac:dyDescent="0.2">
      <c r="L2210" s="12"/>
      <c r="M2210" s="13"/>
    </row>
    <row r="2211" spans="12:13" x14ac:dyDescent="0.2">
      <c r="L2211" s="12"/>
      <c r="M2211" s="13"/>
    </row>
    <row r="2212" spans="12:13" x14ac:dyDescent="0.2">
      <c r="L2212" s="12"/>
      <c r="M2212" s="13"/>
    </row>
    <row r="2213" spans="12:13" x14ac:dyDescent="0.2">
      <c r="L2213" s="12"/>
      <c r="M2213" s="13"/>
    </row>
    <row r="2214" spans="12:13" x14ac:dyDescent="0.2">
      <c r="L2214" s="12"/>
      <c r="M2214" s="13"/>
    </row>
    <row r="2215" spans="12:13" x14ac:dyDescent="0.2">
      <c r="L2215" s="12"/>
      <c r="M2215" s="13"/>
    </row>
    <row r="2216" spans="12:13" x14ac:dyDescent="0.2">
      <c r="L2216" s="12"/>
      <c r="M2216" s="13"/>
    </row>
    <row r="2217" spans="12:13" x14ac:dyDescent="0.2">
      <c r="L2217" s="12"/>
      <c r="M2217" s="13"/>
    </row>
    <row r="2218" spans="12:13" x14ac:dyDescent="0.2">
      <c r="L2218" s="12"/>
      <c r="M2218" s="13"/>
    </row>
    <row r="2219" spans="12:13" x14ac:dyDescent="0.2">
      <c r="L2219" s="12"/>
      <c r="M2219" s="13"/>
    </row>
    <row r="2220" spans="12:13" x14ac:dyDescent="0.2">
      <c r="L2220" s="12"/>
      <c r="M2220" s="13"/>
    </row>
    <row r="2221" spans="12:13" x14ac:dyDescent="0.2">
      <c r="L2221" s="12"/>
      <c r="M2221" s="13"/>
    </row>
    <row r="2222" spans="12:13" x14ac:dyDescent="0.2">
      <c r="L2222" s="12"/>
      <c r="M2222" s="13"/>
    </row>
    <row r="2223" spans="12:13" x14ac:dyDescent="0.2">
      <c r="L2223" s="12"/>
      <c r="M2223" s="13"/>
    </row>
    <row r="2224" spans="12:13" x14ac:dyDescent="0.2">
      <c r="L2224" s="12"/>
      <c r="M2224" s="13"/>
    </row>
    <row r="2225" spans="12:13" x14ac:dyDescent="0.2">
      <c r="L2225" s="12"/>
      <c r="M2225" s="13"/>
    </row>
    <row r="2226" spans="12:13" x14ac:dyDescent="0.2">
      <c r="L2226" s="12"/>
      <c r="M2226" s="13"/>
    </row>
    <row r="2227" spans="12:13" x14ac:dyDescent="0.2">
      <c r="L2227" s="12"/>
      <c r="M2227" s="13"/>
    </row>
    <row r="2228" spans="12:13" x14ac:dyDescent="0.2">
      <c r="L2228" s="12"/>
      <c r="M2228" s="13"/>
    </row>
    <row r="2229" spans="12:13" x14ac:dyDescent="0.2">
      <c r="L2229" s="12"/>
      <c r="M2229" s="13"/>
    </row>
    <row r="2230" spans="12:13" x14ac:dyDescent="0.2">
      <c r="L2230" s="12"/>
      <c r="M2230" s="13"/>
    </row>
    <row r="2231" spans="12:13" x14ac:dyDescent="0.2">
      <c r="L2231" s="12"/>
      <c r="M2231" s="13"/>
    </row>
    <row r="2232" spans="12:13" x14ac:dyDescent="0.2">
      <c r="L2232" s="12"/>
      <c r="M2232" s="13"/>
    </row>
    <row r="2233" spans="12:13" x14ac:dyDescent="0.2">
      <c r="L2233" s="12"/>
      <c r="M2233" s="13"/>
    </row>
    <row r="2234" spans="12:13" x14ac:dyDescent="0.2">
      <c r="L2234" s="12"/>
      <c r="M2234" s="13"/>
    </row>
    <row r="2235" spans="12:13" x14ac:dyDescent="0.2">
      <c r="L2235" s="12"/>
      <c r="M2235" s="13"/>
    </row>
    <row r="2236" spans="12:13" x14ac:dyDescent="0.2">
      <c r="L2236" s="12"/>
      <c r="M2236" s="13"/>
    </row>
    <row r="2237" spans="12:13" x14ac:dyDescent="0.2">
      <c r="L2237" s="12"/>
      <c r="M2237" s="13"/>
    </row>
    <row r="2238" spans="12:13" x14ac:dyDescent="0.2">
      <c r="L2238" s="12"/>
      <c r="M2238" s="13"/>
    </row>
    <row r="2239" spans="12:13" x14ac:dyDescent="0.2">
      <c r="L2239" s="12"/>
      <c r="M2239" s="13"/>
    </row>
    <row r="2240" spans="12:13" x14ac:dyDescent="0.2">
      <c r="L2240" s="12"/>
      <c r="M2240" s="13"/>
    </row>
    <row r="2241" spans="12:13" x14ac:dyDescent="0.2">
      <c r="L2241" s="12"/>
      <c r="M2241" s="13"/>
    </row>
    <row r="2242" spans="12:13" x14ac:dyDescent="0.2">
      <c r="L2242" s="12"/>
      <c r="M2242" s="13"/>
    </row>
    <row r="2243" spans="12:13" x14ac:dyDescent="0.2">
      <c r="L2243" s="12"/>
      <c r="M2243" s="13"/>
    </row>
    <row r="2244" spans="12:13" x14ac:dyDescent="0.2">
      <c r="L2244" s="12"/>
      <c r="M2244" s="13"/>
    </row>
    <row r="2245" spans="12:13" x14ac:dyDescent="0.2">
      <c r="L2245" s="12"/>
      <c r="M2245" s="13"/>
    </row>
    <row r="2246" spans="12:13" x14ac:dyDescent="0.2">
      <c r="L2246" s="12"/>
      <c r="M2246" s="13"/>
    </row>
    <row r="2247" spans="12:13" x14ac:dyDescent="0.2">
      <c r="L2247" s="12"/>
      <c r="M2247" s="13"/>
    </row>
    <row r="2248" spans="12:13" x14ac:dyDescent="0.2">
      <c r="L2248" s="12"/>
      <c r="M2248" s="13"/>
    </row>
    <row r="2249" spans="12:13" x14ac:dyDescent="0.2">
      <c r="L2249" s="12"/>
      <c r="M2249" s="13"/>
    </row>
    <row r="2250" spans="12:13" x14ac:dyDescent="0.2">
      <c r="L2250" s="12"/>
      <c r="M2250" s="13"/>
    </row>
    <row r="2251" spans="12:13" x14ac:dyDescent="0.2">
      <c r="L2251" s="12"/>
      <c r="M2251" s="13"/>
    </row>
    <row r="2252" spans="12:13" x14ac:dyDescent="0.2">
      <c r="L2252" s="12"/>
      <c r="M2252" s="13"/>
    </row>
    <row r="2253" spans="12:13" x14ac:dyDescent="0.2">
      <c r="L2253" s="12"/>
      <c r="M2253" s="13"/>
    </row>
    <row r="2254" spans="12:13" x14ac:dyDescent="0.2">
      <c r="L2254" s="12"/>
      <c r="M2254" s="13"/>
    </row>
    <row r="2255" spans="12:13" x14ac:dyDescent="0.2">
      <c r="L2255" s="12"/>
      <c r="M2255" s="13"/>
    </row>
    <row r="2256" spans="12:13" x14ac:dyDescent="0.2">
      <c r="L2256" s="12"/>
      <c r="M2256" s="13"/>
    </row>
    <row r="2257" spans="12:13" x14ac:dyDescent="0.2">
      <c r="L2257" s="12"/>
      <c r="M2257" s="13"/>
    </row>
    <row r="2258" spans="12:13" x14ac:dyDescent="0.2">
      <c r="L2258" s="12"/>
      <c r="M2258" s="13"/>
    </row>
    <row r="2259" spans="12:13" x14ac:dyDescent="0.2">
      <c r="L2259" s="12"/>
      <c r="M2259" s="13"/>
    </row>
    <row r="2260" spans="12:13" x14ac:dyDescent="0.2">
      <c r="L2260" s="12"/>
      <c r="M2260" s="13"/>
    </row>
    <row r="2261" spans="12:13" x14ac:dyDescent="0.2">
      <c r="L2261" s="12"/>
      <c r="M2261" s="13"/>
    </row>
    <row r="2262" spans="12:13" x14ac:dyDescent="0.2">
      <c r="L2262" s="12"/>
      <c r="M2262" s="13"/>
    </row>
    <row r="2263" spans="12:13" x14ac:dyDescent="0.2">
      <c r="L2263" s="12"/>
      <c r="M2263" s="13"/>
    </row>
    <row r="2264" spans="12:13" x14ac:dyDescent="0.2">
      <c r="L2264" s="12"/>
      <c r="M2264" s="13"/>
    </row>
    <row r="2265" spans="12:13" x14ac:dyDescent="0.2">
      <c r="L2265" s="12"/>
      <c r="M2265" s="13"/>
    </row>
    <row r="2266" spans="12:13" x14ac:dyDescent="0.2">
      <c r="L2266" s="12"/>
      <c r="M2266" s="13"/>
    </row>
    <row r="2267" spans="12:13" x14ac:dyDescent="0.2">
      <c r="L2267" s="12"/>
      <c r="M2267" s="13"/>
    </row>
    <row r="2268" spans="12:13" x14ac:dyDescent="0.2">
      <c r="L2268" s="12"/>
      <c r="M2268" s="13"/>
    </row>
    <row r="2269" spans="12:13" x14ac:dyDescent="0.2">
      <c r="L2269" s="12"/>
      <c r="M2269" s="13"/>
    </row>
    <row r="2270" spans="12:13" x14ac:dyDescent="0.2">
      <c r="L2270" s="12"/>
      <c r="M2270" s="13"/>
    </row>
    <row r="2271" spans="12:13" x14ac:dyDescent="0.2">
      <c r="L2271" s="12"/>
      <c r="M2271" s="13"/>
    </row>
    <row r="2272" spans="12:13" x14ac:dyDescent="0.2">
      <c r="L2272" s="12"/>
      <c r="M2272" s="13"/>
    </row>
    <row r="2273" spans="12:13" x14ac:dyDescent="0.2">
      <c r="L2273" s="12"/>
      <c r="M2273" s="13"/>
    </row>
    <row r="2274" spans="12:13" x14ac:dyDescent="0.2">
      <c r="L2274" s="12"/>
      <c r="M2274" s="13"/>
    </row>
    <row r="2275" spans="12:13" x14ac:dyDescent="0.2">
      <c r="L2275" s="12"/>
      <c r="M2275" s="13"/>
    </row>
    <row r="2276" spans="12:13" x14ac:dyDescent="0.2">
      <c r="L2276" s="12"/>
      <c r="M2276" s="13"/>
    </row>
    <row r="2277" spans="12:13" x14ac:dyDescent="0.2">
      <c r="L2277" s="12"/>
      <c r="M2277" s="13"/>
    </row>
    <row r="2278" spans="12:13" x14ac:dyDescent="0.2">
      <c r="L2278" s="12"/>
      <c r="M2278" s="13"/>
    </row>
    <row r="2279" spans="12:13" x14ac:dyDescent="0.2">
      <c r="L2279" s="12"/>
      <c r="M2279" s="13"/>
    </row>
    <row r="2280" spans="12:13" x14ac:dyDescent="0.2">
      <c r="L2280" s="12"/>
      <c r="M2280" s="13"/>
    </row>
    <row r="2281" spans="12:13" x14ac:dyDescent="0.2">
      <c r="L2281" s="12"/>
      <c r="M2281" s="13"/>
    </row>
    <row r="2282" spans="12:13" x14ac:dyDescent="0.2">
      <c r="L2282" s="12"/>
      <c r="M2282" s="13"/>
    </row>
    <row r="2283" spans="12:13" x14ac:dyDescent="0.2">
      <c r="L2283" s="12"/>
      <c r="M2283" s="13"/>
    </row>
    <row r="2284" spans="12:13" x14ac:dyDescent="0.2">
      <c r="L2284" s="12"/>
      <c r="M2284" s="13"/>
    </row>
    <row r="2285" spans="12:13" x14ac:dyDescent="0.2">
      <c r="L2285" s="12"/>
      <c r="M2285" s="13"/>
    </row>
    <row r="2286" spans="12:13" x14ac:dyDescent="0.2">
      <c r="L2286" s="12"/>
      <c r="M2286" s="13"/>
    </row>
    <row r="2287" spans="12:13" x14ac:dyDescent="0.2">
      <c r="L2287" s="12"/>
      <c r="M2287" s="13"/>
    </row>
    <row r="2288" spans="12:13" x14ac:dyDescent="0.2">
      <c r="L2288" s="12"/>
      <c r="M2288" s="13"/>
    </row>
    <row r="2289" spans="12:13" x14ac:dyDescent="0.2">
      <c r="L2289" s="12"/>
      <c r="M2289" s="13"/>
    </row>
    <row r="2290" spans="12:13" x14ac:dyDescent="0.2">
      <c r="L2290" s="12"/>
      <c r="M2290" s="13"/>
    </row>
    <row r="2291" spans="12:13" x14ac:dyDescent="0.2">
      <c r="L2291" s="12"/>
      <c r="M2291" s="13"/>
    </row>
    <row r="2292" spans="12:13" x14ac:dyDescent="0.2">
      <c r="L2292" s="12"/>
      <c r="M2292" s="13"/>
    </row>
    <row r="2293" spans="12:13" x14ac:dyDescent="0.2">
      <c r="L2293" s="12"/>
      <c r="M2293" s="13"/>
    </row>
    <row r="2294" spans="12:13" x14ac:dyDescent="0.2">
      <c r="L2294" s="12"/>
      <c r="M2294" s="13"/>
    </row>
    <row r="2295" spans="12:13" x14ac:dyDescent="0.2">
      <c r="L2295" s="12"/>
      <c r="M2295" s="13"/>
    </row>
    <row r="2296" spans="12:13" x14ac:dyDescent="0.2">
      <c r="L2296" s="12"/>
      <c r="M2296" s="13"/>
    </row>
    <row r="2297" spans="12:13" x14ac:dyDescent="0.2">
      <c r="L2297" s="12"/>
      <c r="M2297" s="13"/>
    </row>
    <row r="2298" spans="12:13" x14ac:dyDescent="0.2">
      <c r="L2298" s="12"/>
      <c r="M2298" s="13"/>
    </row>
    <row r="2299" spans="12:13" x14ac:dyDescent="0.2">
      <c r="L2299" s="12"/>
      <c r="M2299" s="13"/>
    </row>
    <row r="2300" spans="12:13" x14ac:dyDescent="0.2">
      <c r="L2300" s="12"/>
      <c r="M2300" s="13"/>
    </row>
    <row r="2301" spans="12:13" x14ac:dyDescent="0.2">
      <c r="L2301" s="12"/>
      <c r="M2301" s="13"/>
    </row>
    <row r="2302" spans="12:13" x14ac:dyDescent="0.2">
      <c r="L2302" s="12"/>
      <c r="M2302" s="13"/>
    </row>
    <row r="2303" spans="12:13" x14ac:dyDescent="0.2">
      <c r="L2303" s="12"/>
      <c r="M2303" s="13"/>
    </row>
    <row r="2304" spans="12:13" x14ac:dyDescent="0.2">
      <c r="L2304" s="12"/>
      <c r="M2304" s="13"/>
    </row>
    <row r="2305" spans="12:13" x14ac:dyDescent="0.2">
      <c r="L2305" s="12"/>
      <c r="M2305" s="13"/>
    </row>
    <row r="2306" spans="12:13" x14ac:dyDescent="0.2">
      <c r="L2306" s="17"/>
      <c r="M2306" s="18"/>
    </row>
    <row r="2307" spans="12:13" x14ac:dyDescent="0.2">
      <c r="L2307" s="12"/>
      <c r="M2307" s="13"/>
    </row>
    <row r="2308" spans="12:13" x14ac:dyDescent="0.2">
      <c r="L2308" s="12"/>
      <c r="M2308" s="13"/>
    </row>
    <row r="2309" spans="12:13" x14ac:dyDescent="0.2">
      <c r="L2309" s="12"/>
      <c r="M2309" s="13"/>
    </row>
    <row r="2310" spans="12:13" x14ac:dyDescent="0.2">
      <c r="L2310" s="12"/>
      <c r="M2310" s="13"/>
    </row>
    <row r="2311" spans="12:13" x14ac:dyDescent="0.2">
      <c r="L2311" s="12"/>
      <c r="M2311" s="13"/>
    </row>
    <row r="2312" spans="12:13" x14ac:dyDescent="0.2">
      <c r="L2312" s="12"/>
      <c r="M2312" s="13"/>
    </row>
    <row r="2313" spans="12:13" x14ac:dyDescent="0.2">
      <c r="L2313" s="12"/>
      <c r="M2313" s="13"/>
    </row>
    <row r="2314" spans="12:13" x14ac:dyDescent="0.2">
      <c r="L2314" s="12"/>
      <c r="M2314" s="13"/>
    </row>
    <row r="2315" spans="12:13" x14ac:dyDescent="0.2">
      <c r="L2315" s="12"/>
      <c r="M2315" s="13"/>
    </row>
    <row r="2316" spans="12:13" x14ac:dyDescent="0.2">
      <c r="L2316" s="12"/>
      <c r="M2316" s="13"/>
    </row>
    <row r="2317" spans="12:13" x14ac:dyDescent="0.2">
      <c r="L2317" s="12"/>
      <c r="M2317" s="13"/>
    </row>
    <row r="2318" spans="12:13" x14ac:dyDescent="0.2">
      <c r="L2318" s="12"/>
      <c r="M2318" s="13"/>
    </row>
    <row r="2319" spans="12:13" x14ac:dyDescent="0.2">
      <c r="L2319" s="12"/>
      <c r="M2319" s="13"/>
    </row>
    <row r="2320" spans="12:13" x14ac:dyDescent="0.2">
      <c r="L2320" s="12"/>
      <c r="M2320" s="13"/>
    </row>
    <row r="2321" spans="12:13" x14ac:dyDescent="0.2">
      <c r="L2321" s="12"/>
      <c r="M2321" s="13"/>
    </row>
    <row r="2322" spans="12:13" x14ac:dyDescent="0.2">
      <c r="L2322" s="12"/>
      <c r="M2322" s="13"/>
    </row>
    <row r="2323" spans="12:13" x14ac:dyDescent="0.2">
      <c r="L2323" s="12"/>
      <c r="M2323" s="13"/>
    </row>
    <row r="2324" spans="12:13" x14ac:dyDescent="0.2">
      <c r="L2324" s="12"/>
      <c r="M2324" s="13"/>
    </row>
    <row r="2325" spans="12:13" x14ac:dyDescent="0.2">
      <c r="L2325" s="12"/>
      <c r="M2325" s="13"/>
    </row>
    <row r="2326" spans="12:13" x14ac:dyDescent="0.2">
      <c r="L2326" s="12"/>
      <c r="M2326" s="13"/>
    </row>
    <row r="2327" spans="12:13" x14ac:dyDescent="0.2">
      <c r="L2327" s="12"/>
      <c r="M2327" s="13"/>
    </row>
    <row r="2328" spans="12:13" x14ac:dyDescent="0.2">
      <c r="L2328" s="12"/>
      <c r="M2328" s="13"/>
    </row>
    <row r="2329" spans="12:13" x14ac:dyDescent="0.2">
      <c r="L2329" s="12"/>
      <c r="M2329" s="13"/>
    </row>
    <row r="2330" spans="12:13" x14ac:dyDescent="0.2">
      <c r="L2330" s="12"/>
      <c r="M2330" s="13"/>
    </row>
    <row r="2331" spans="12:13" x14ac:dyDescent="0.2">
      <c r="L2331" s="12"/>
      <c r="M2331" s="13"/>
    </row>
    <row r="2332" spans="12:13" x14ac:dyDescent="0.2">
      <c r="L2332" s="12"/>
      <c r="M2332" s="13"/>
    </row>
    <row r="2333" spans="12:13" x14ac:dyDescent="0.2">
      <c r="L2333" s="12"/>
      <c r="M2333" s="13"/>
    </row>
    <row r="2334" spans="12:13" x14ac:dyDescent="0.2">
      <c r="L2334" s="12"/>
      <c r="M2334" s="13"/>
    </row>
    <row r="2335" spans="12:13" x14ac:dyDescent="0.2">
      <c r="L2335" s="12"/>
      <c r="M2335" s="13"/>
    </row>
    <row r="2336" spans="12:13" x14ac:dyDescent="0.2">
      <c r="L2336" s="12"/>
      <c r="M2336" s="13"/>
    </row>
    <row r="2337" spans="12:13" x14ac:dyDescent="0.2">
      <c r="L2337" s="12"/>
      <c r="M2337" s="13"/>
    </row>
    <row r="2338" spans="12:13" x14ac:dyDescent="0.2">
      <c r="L2338" s="12"/>
      <c r="M2338" s="13"/>
    </row>
    <row r="2339" spans="12:13" x14ac:dyDescent="0.2">
      <c r="L2339" s="12"/>
      <c r="M2339" s="13"/>
    </row>
    <row r="2340" spans="12:13" x14ac:dyDescent="0.2">
      <c r="L2340" s="12"/>
      <c r="M2340" s="13"/>
    </row>
    <row r="2341" spans="12:13" x14ac:dyDescent="0.2">
      <c r="L2341" s="12"/>
      <c r="M2341" s="13"/>
    </row>
    <row r="2342" spans="12:13" x14ac:dyDescent="0.2">
      <c r="L2342" s="12"/>
      <c r="M2342" s="13"/>
    </row>
    <row r="2343" spans="12:13" x14ac:dyDescent="0.2">
      <c r="L2343" s="12"/>
      <c r="M2343" s="13"/>
    </row>
    <row r="2344" spans="12:13" x14ac:dyDescent="0.2">
      <c r="L2344" s="12"/>
      <c r="M2344" s="13"/>
    </row>
    <row r="2345" spans="12:13" x14ac:dyDescent="0.2">
      <c r="L2345" s="12"/>
      <c r="M2345" s="13"/>
    </row>
    <row r="2346" spans="12:13" x14ac:dyDescent="0.2">
      <c r="L2346" s="12"/>
      <c r="M2346" s="13"/>
    </row>
    <row r="2347" spans="12:13" x14ac:dyDescent="0.2">
      <c r="L2347" s="12"/>
      <c r="M2347" s="13"/>
    </row>
    <row r="2348" spans="12:13" x14ac:dyDescent="0.2">
      <c r="L2348" s="12"/>
      <c r="M2348" s="13"/>
    </row>
    <row r="2349" spans="12:13" x14ac:dyDescent="0.2">
      <c r="L2349" s="12"/>
      <c r="M2349" s="13"/>
    </row>
    <row r="2350" spans="12:13" x14ac:dyDescent="0.2">
      <c r="L2350" s="12"/>
      <c r="M2350" s="13"/>
    </row>
    <row r="2351" spans="12:13" x14ac:dyDescent="0.2">
      <c r="L2351" s="12"/>
      <c r="M2351" s="13"/>
    </row>
    <row r="2352" spans="12:13" x14ac:dyDescent="0.2">
      <c r="L2352" s="12"/>
      <c r="M2352" s="13"/>
    </row>
    <row r="2353" spans="12:13" x14ac:dyDescent="0.2">
      <c r="L2353" s="12"/>
      <c r="M2353" s="13"/>
    </row>
    <row r="2354" spans="12:13" x14ac:dyDescent="0.2">
      <c r="L2354" s="12"/>
      <c r="M2354" s="13"/>
    </row>
    <row r="2355" spans="12:13" x14ac:dyDescent="0.2">
      <c r="L2355" s="12"/>
      <c r="M2355" s="13"/>
    </row>
    <row r="2356" spans="12:13" x14ac:dyDescent="0.2">
      <c r="L2356" s="12"/>
      <c r="M2356" s="13"/>
    </row>
    <row r="2357" spans="12:13" x14ac:dyDescent="0.2">
      <c r="L2357" s="12"/>
      <c r="M2357" s="13"/>
    </row>
    <row r="2358" spans="12:13" x14ac:dyDescent="0.2">
      <c r="L2358" s="12"/>
      <c r="M2358" s="13"/>
    </row>
    <row r="2359" spans="12:13" x14ac:dyDescent="0.2">
      <c r="L2359" s="12"/>
      <c r="M2359" s="13"/>
    </row>
    <row r="2360" spans="12:13" x14ac:dyDescent="0.2">
      <c r="L2360" s="12"/>
      <c r="M2360" s="13"/>
    </row>
    <row r="2361" spans="12:13" x14ac:dyDescent="0.2">
      <c r="L2361" s="12"/>
      <c r="M2361" s="13"/>
    </row>
    <row r="2362" spans="12:13" x14ac:dyDescent="0.2">
      <c r="L2362" s="12"/>
      <c r="M2362" s="13"/>
    </row>
    <row r="2363" spans="12:13" x14ac:dyDescent="0.2">
      <c r="L2363" s="12"/>
      <c r="M2363" s="13"/>
    </row>
    <row r="2364" spans="12:13" x14ac:dyDescent="0.2">
      <c r="L2364" s="12"/>
      <c r="M2364" s="13"/>
    </row>
    <row r="2365" spans="12:13" x14ac:dyDescent="0.2">
      <c r="L2365" s="12"/>
      <c r="M2365" s="13"/>
    </row>
    <row r="2366" spans="12:13" x14ac:dyDescent="0.2">
      <c r="L2366" s="12"/>
      <c r="M2366" s="13"/>
    </row>
    <row r="2367" spans="12:13" x14ac:dyDescent="0.2">
      <c r="L2367" s="12"/>
      <c r="M2367" s="13"/>
    </row>
    <row r="2368" spans="12:13" x14ac:dyDescent="0.2">
      <c r="L2368" s="12"/>
      <c r="M2368" s="13"/>
    </row>
    <row r="2369" spans="12:13" x14ac:dyDescent="0.2">
      <c r="L2369" s="12"/>
      <c r="M2369" s="13"/>
    </row>
    <row r="2370" spans="12:13" x14ac:dyDescent="0.2">
      <c r="L2370" s="12"/>
      <c r="M2370" s="13"/>
    </row>
    <row r="2371" spans="12:13" x14ac:dyDescent="0.2">
      <c r="L2371" s="12"/>
      <c r="M2371" s="13"/>
    </row>
    <row r="2372" spans="12:13" x14ac:dyDescent="0.2">
      <c r="L2372" s="12"/>
      <c r="M2372" s="13"/>
    </row>
    <row r="2373" spans="12:13" x14ac:dyDescent="0.2">
      <c r="L2373" s="12"/>
      <c r="M2373" s="13"/>
    </row>
    <row r="2374" spans="12:13" x14ac:dyDescent="0.2">
      <c r="L2374" s="12"/>
      <c r="M2374" s="13"/>
    </row>
    <row r="2375" spans="12:13" x14ac:dyDescent="0.2">
      <c r="L2375" s="12"/>
      <c r="M2375" s="13"/>
    </row>
    <row r="2376" spans="12:13" x14ac:dyDescent="0.2">
      <c r="L2376" s="12"/>
      <c r="M2376" s="13"/>
    </row>
    <row r="2377" spans="12:13" x14ac:dyDescent="0.2">
      <c r="L2377" s="12"/>
      <c r="M2377" s="13"/>
    </row>
    <row r="2378" spans="12:13" x14ac:dyDescent="0.2">
      <c r="L2378" s="12"/>
      <c r="M2378" s="13"/>
    </row>
    <row r="2379" spans="12:13" x14ac:dyDescent="0.2">
      <c r="L2379" s="12"/>
      <c r="M2379" s="13"/>
    </row>
    <row r="2380" spans="12:13" x14ac:dyDescent="0.2">
      <c r="L2380" s="12"/>
      <c r="M2380" s="13"/>
    </row>
    <row r="2381" spans="12:13" x14ac:dyDescent="0.2">
      <c r="L2381" s="12"/>
      <c r="M2381" s="13"/>
    </row>
    <row r="2382" spans="12:13" x14ac:dyDescent="0.2">
      <c r="L2382" s="12"/>
      <c r="M2382" s="13"/>
    </row>
    <row r="2383" spans="12:13" x14ac:dyDescent="0.2">
      <c r="L2383" s="12"/>
      <c r="M2383" s="13"/>
    </row>
    <row r="2384" spans="12:13" x14ac:dyDescent="0.2">
      <c r="L2384" s="12"/>
      <c r="M2384" s="13"/>
    </row>
    <row r="2385" spans="12:13" x14ac:dyDescent="0.2">
      <c r="L2385" s="12"/>
      <c r="M2385" s="13"/>
    </row>
    <row r="2386" spans="12:13" x14ac:dyDescent="0.2">
      <c r="L2386" s="12"/>
      <c r="M2386" s="13"/>
    </row>
    <row r="2387" spans="12:13" x14ac:dyDescent="0.2">
      <c r="L2387" s="12"/>
      <c r="M2387" s="13"/>
    </row>
    <row r="2388" spans="12:13" x14ac:dyDescent="0.2">
      <c r="L2388" s="12"/>
      <c r="M2388" s="13"/>
    </row>
    <row r="2389" spans="12:13" x14ac:dyDescent="0.2">
      <c r="L2389" s="12"/>
      <c r="M2389" s="13"/>
    </row>
    <row r="2390" spans="12:13" x14ac:dyDescent="0.2">
      <c r="L2390" s="12"/>
      <c r="M2390" s="13"/>
    </row>
    <row r="2391" spans="12:13" x14ac:dyDescent="0.2">
      <c r="L2391" s="12"/>
      <c r="M2391" s="13"/>
    </row>
    <row r="2392" spans="12:13" x14ac:dyDescent="0.2">
      <c r="L2392" s="12"/>
      <c r="M2392" s="13"/>
    </row>
    <row r="2393" spans="12:13" x14ac:dyDescent="0.2">
      <c r="L2393" s="12"/>
      <c r="M2393" s="13"/>
    </row>
    <row r="2394" spans="12:13" x14ac:dyDescent="0.2">
      <c r="L2394" s="12"/>
      <c r="M2394" s="13"/>
    </row>
    <row r="2395" spans="12:13" x14ac:dyDescent="0.2">
      <c r="L2395" s="12"/>
      <c r="M2395" s="13"/>
    </row>
    <row r="2396" spans="12:13" x14ac:dyDescent="0.2">
      <c r="L2396" s="12"/>
      <c r="M2396" s="13"/>
    </row>
    <row r="2397" spans="12:13" x14ac:dyDescent="0.2">
      <c r="L2397" s="12"/>
      <c r="M2397" s="13"/>
    </row>
    <row r="2398" spans="12:13" x14ac:dyDescent="0.2">
      <c r="L2398" s="12"/>
      <c r="M2398" s="13"/>
    </row>
    <row r="2399" spans="12:13" x14ac:dyDescent="0.2">
      <c r="L2399" s="12"/>
      <c r="M2399" s="13"/>
    </row>
    <row r="2400" spans="12:13" x14ac:dyDescent="0.2">
      <c r="L2400" s="12"/>
      <c r="M2400" s="13"/>
    </row>
    <row r="2401" spans="12:13" x14ac:dyDescent="0.2">
      <c r="L2401" s="12"/>
      <c r="M2401" s="13"/>
    </row>
    <row r="2402" spans="12:13" x14ac:dyDescent="0.2">
      <c r="L2402" s="12"/>
      <c r="M2402" s="13"/>
    </row>
    <row r="2403" spans="12:13" x14ac:dyDescent="0.2">
      <c r="L2403" s="12"/>
      <c r="M2403" s="13"/>
    </row>
    <row r="2404" spans="12:13" x14ac:dyDescent="0.2">
      <c r="L2404" s="12"/>
      <c r="M2404" s="13"/>
    </row>
    <row r="2405" spans="12:13" x14ac:dyDescent="0.2">
      <c r="L2405" s="12"/>
      <c r="M2405" s="13"/>
    </row>
    <row r="2406" spans="12:13" x14ac:dyDescent="0.2">
      <c r="L2406" s="12"/>
      <c r="M2406" s="13"/>
    </row>
    <row r="2407" spans="12:13" x14ac:dyDescent="0.2">
      <c r="L2407" s="12"/>
      <c r="M2407" s="13"/>
    </row>
    <row r="2408" spans="12:13" x14ac:dyDescent="0.2">
      <c r="L2408" s="12"/>
      <c r="M2408" s="13"/>
    </row>
    <row r="2409" spans="12:13" x14ac:dyDescent="0.2">
      <c r="L2409" s="12"/>
      <c r="M2409" s="13"/>
    </row>
    <row r="2410" spans="12:13" x14ac:dyDescent="0.2">
      <c r="L2410" s="12"/>
      <c r="M2410" s="13"/>
    </row>
    <row r="2411" spans="12:13" x14ac:dyDescent="0.2">
      <c r="L2411" s="12"/>
      <c r="M2411" s="13"/>
    </row>
    <row r="2412" spans="12:13" x14ac:dyDescent="0.2">
      <c r="L2412" s="12"/>
      <c r="M2412" s="13"/>
    </row>
    <row r="2413" spans="12:13" x14ac:dyDescent="0.2">
      <c r="L2413" s="12"/>
      <c r="M2413" s="13"/>
    </row>
    <row r="2414" spans="12:13" x14ac:dyDescent="0.2">
      <c r="L2414" s="12"/>
      <c r="M2414" s="13"/>
    </row>
    <row r="2415" spans="12:13" x14ac:dyDescent="0.2">
      <c r="L2415" s="12"/>
      <c r="M2415" s="13"/>
    </row>
    <row r="2416" spans="12:13" x14ac:dyDescent="0.2">
      <c r="L2416" s="12"/>
      <c r="M2416" s="13"/>
    </row>
    <row r="2417" spans="12:13" x14ac:dyDescent="0.2">
      <c r="L2417" s="12"/>
      <c r="M2417" s="13"/>
    </row>
    <row r="2418" spans="12:13" x14ac:dyDescent="0.2">
      <c r="L2418" s="12"/>
      <c r="M2418" s="13"/>
    </row>
    <row r="2419" spans="12:13" x14ac:dyDescent="0.2">
      <c r="L2419" s="12"/>
      <c r="M2419" s="13"/>
    </row>
    <row r="2420" spans="12:13" x14ac:dyDescent="0.2">
      <c r="L2420" s="12"/>
      <c r="M2420" s="13"/>
    </row>
    <row r="2421" spans="12:13" x14ac:dyDescent="0.2">
      <c r="L2421" s="12"/>
      <c r="M2421" s="13"/>
    </row>
    <row r="2422" spans="12:13" x14ac:dyDescent="0.2">
      <c r="L2422" s="12"/>
      <c r="M2422" s="13"/>
    </row>
    <row r="2423" spans="12:13" x14ac:dyDescent="0.2">
      <c r="L2423" s="12"/>
      <c r="M2423" s="13"/>
    </row>
    <row r="2424" spans="12:13" x14ac:dyDescent="0.2">
      <c r="L2424" s="12"/>
      <c r="M2424" s="13"/>
    </row>
    <row r="2425" spans="12:13" x14ac:dyDescent="0.2">
      <c r="L2425" s="12"/>
      <c r="M2425" s="13"/>
    </row>
    <row r="2426" spans="12:13" x14ac:dyDescent="0.2">
      <c r="L2426" s="12"/>
      <c r="M2426" s="13"/>
    </row>
    <row r="2427" spans="12:13" x14ac:dyDescent="0.2">
      <c r="L2427" s="12"/>
      <c r="M2427" s="13"/>
    </row>
    <row r="2428" spans="12:13" x14ac:dyDescent="0.2">
      <c r="L2428" s="12"/>
      <c r="M2428" s="13"/>
    </row>
    <row r="2429" spans="12:13" x14ac:dyDescent="0.2">
      <c r="L2429" s="12"/>
      <c r="M2429" s="13"/>
    </row>
    <row r="2430" spans="12:13" x14ac:dyDescent="0.2">
      <c r="L2430" s="12"/>
      <c r="M2430" s="13"/>
    </row>
    <row r="2431" spans="12:13" x14ac:dyDescent="0.2">
      <c r="L2431" s="12"/>
      <c r="M2431" s="13"/>
    </row>
    <row r="2432" spans="12:13" x14ac:dyDescent="0.2">
      <c r="L2432" s="12"/>
      <c r="M2432" s="13"/>
    </row>
    <row r="2433" spans="12:13" x14ac:dyDescent="0.2">
      <c r="L2433" s="12"/>
      <c r="M2433" s="13"/>
    </row>
    <row r="2434" spans="12:13" x14ac:dyDescent="0.2">
      <c r="L2434" s="12"/>
      <c r="M2434" s="13"/>
    </row>
    <row r="2435" spans="12:13" x14ac:dyDescent="0.2">
      <c r="L2435" s="12"/>
      <c r="M2435" s="13"/>
    </row>
    <row r="2436" spans="12:13" x14ac:dyDescent="0.2">
      <c r="L2436" s="12"/>
      <c r="M2436" s="13"/>
    </row>
    <row r="2437" spans="12:13" x14ac:dyDescent="0.2">
      <c r="L2437" s="12"/>
      <c r="M2437" s="13"/>
    </row>
    <row r="2438" spans="12:13" x14ac:dyDescent="0.2">
      <c r="L2438" s="12"/>
      <c r="M2438" s="13"/>
    </row>
    <row r="2439" spans="12:13" x14ac:dyDescent="0.2">
      <c r="L2439" s="12"/>
      <c r="M2439" s="13"/>
    </row>
    <row r="2440" spans="12:13" x14ac:dyDescent="0.2">
      <c r="L2440" s="12"/>
      <c r="M2440" s="13"/>
    </row>
    <row r="2441" spans="12:13" x14ac:dyDescent="0.2">
      <c r="L2441" s="12"/>
      <c r="M2441" s="13"/>
    </row>
    <row r="2442" spans="12:13" x14ac:dyDescent="0.2">
      <c r="L2442" s="12"/>
      <c r="M2442" s="13"/>
    </row>
    <row r="2443" spans="12:13" x14ac:dyDescent="0.2">
      <c r="L2443" s="12"/>
      <c r="M2443" s="13"/>
    </row>
    <row r="2444" spans="12:13" x14ac:dyDescent="0.2">
      <c r="L2444" s="12"/>
      <c r="M2444" s="13"/>
    </row>
    <row r="2445" spans="12:13" x14ac:dyDescent="0.2">
      <c r="L2445" s="12"/>
      <c r="M2445" s="13"/>
    </row>
    <row r="2446" spans="12:13" x14ac:dyDescent="0.2">
      <c r="L2446" s="12"/>
      <c r="M2446" s="13"/>
    </row>
    <row r="2447" spans="12:13" x14ac:dyDescent="0.2">
      <c r="L2447" s="12"/>
      <c r="M2447" s="13"/>
    </row>
    <row r="2448" spans="12:13" x14ac:dyDescent="0.2">
      <c r="L2448" s="12"/>
      <c r="M2448" s="13"/>
    </row>
    <row r="2449" spans="12:13" x14ac:dyDescent="0.2">
      <c r="L2449" s="12"/>
      <c r="M2449" s="13"/>
    </row>
    <row r="2450" spans="12:13" x14ac:dyDescent="0.2">
      <c r="L2450" s="12"/>
      <c r="M2450" s="13"/>
    </row>
    <row r="2451" spans="12:13" x14ac:dyDescent="0.2">
      <c r="L2451" s="12"/>
      <c r="M2451" s="13"/>
    </row>
    <row r="2452" spans="12:13" x14ac:dyDescent="0.2">
      <c r="L2452" s="12"/>
      <c r="M2452" s="13"/>
    </row>
    <row r="2453" spans="12:13" x14ac:dyDescent="0.2">
      <c r="L2453" s="12"/>
      <c r="M2453" s="13"/>
    </row>
    <row r="2454" spans="12:13" x14ac:dyDescent="0.2">
      <c r="L2454" s="12"/>
      <c r="M2454" s="13"/>
    </row>
    <row r="2455" spans="12:13" x14ac:dyDescent="0.2">
      <c r="L2455" s="12"/>
      <c r="M2455" s="13"/>
    </row>
    <row r="2456" spans="12:13" x14ac:dyDescent="0.2">
      <c r="L2456" s="12"/>
      <c r="M2456" s="13"/>
    </row>
    <row r="2457" spans="12:13" x14ac:dyDescent="0.2">
      <c r="L2457" s="12"/>
      <c r="M2457" s="13"/>
    </row>
    <row r="2458" spans="12:13" x14ac:dyDescent="0.2">
      <c r="L2458" s="12"/>
      <c r="M2458" s="13"/>
    </row>
    <row r="2459" spans="12:13" x14ac:dyDescent="0.2">
      <c r="L2459" s="12"/>
      <c r="M2459" s="13"/>
    </row>
    <row r="2460" spans="12:13" x14ac:dyDescent="0.2">
      <c r="L2460" s="12"/>
      <c r="M2460" s="13"/>
    </row>
    <row r="2461" spans="12:13" x14ac:dyDescent="0.2">
      <c r="L2461" s="12"/>
      <c r="M2461" s="13"/>
    </row>
    <row r="2462" spans="12:13" x14ac:dyDescent="0.2">
      <c r="L2462" s="12"/>
      <c r="M2462" s="13"/>
    </row>
    <row r="2463" spans="12:13" x14ac:dyDescent="0.2">
      <c r="L2463" s="12"/>
      <c r="M2463" s="13"/>
    </row>
    <row r="2464" spans="12:13" x14ac:dyDescent="0.2">
      <c r="L2464" s="12"/>
      <c r="M2464" s="13"/>
    </row>
    <row r="2465" spans="12:13" x14ac:dyDescent="0.2">
      <c r="L2465" s="12"/>
      <c r="M2465" s="13"/>
    </row>
    <row r="2466" spans="12:13" x14ac:dyDescent="0.2">
      <c r="L2466" s="12"/>
      <c r="M2466" s="13"/>
    </row>
    <row r="2467" spans="12:13" x14ac:dyDescent="0.2">
      <c r="L2467" s="12"/>
      <c r="M2467" s="13"/>
    </row>
    <row r="2468" spans="12:13" x14ac:dyDescent="0.2">
      <c r="L2468" s="12"/>
      <c r="M2468" s="13"/>
    </row>
    <row r="2469" spans="12:13" x14ac:dyDescent="0.2">
      <c r="L2469" s="12"/>
      <c r="M2469" s="13"/>
    </row>
    <row r="2470" spans="12:13" x14ac:dyDescent="0.2">
      <c r="L2470" s="12"/>
      <c r="M2470" s="13"/>
    </row>
    <row r="2471" spans="12:13" x14ac:dyDescent="0.2">
      <c r="L2471" s="12"/>
      <c r="M2471" s="13"/>
    </row>
    <row r="2472" spans="12:13" x14ac:dyDescent="0.2">
      <c r="L2472" s="12"/>
      <c r="M2472" s="13"/>
    </row>
    <row r="2473" spans="12:13" x14ac:dyDescent="0.2">
      <c r="L2473" s="12"/>
      <c r="M2473" s="13"/>
    </row>
    <row r="2474" spans="12:13" x14ac:dyDescent="0.2">
      <c r="L2474" s="12"/>
      <c r="M2474" s="13"/>
    </row>
    <row r="2475" spans="12:13" x14ac:dyDescent="0.2">
      <c r="L2475" s="12"/>
      <c r="M2475" s="13"/>
    </row>
    <row r="2476" spans="12:13" x14ac:dyDescent="0.2">
      <c r="L2476" s="12"/>
      <c r="M2476" s="13"/>
    </row>
    <row r="2477" spans="12:13" x14ac:dyDescent="0.2">
      <c r="L2477" s="12"/>
      <c r="M2477" s="13"/>
    </row>
    <row r="2478" spans="12:13" x14ac:dyDescent="0.2">
      <c r="L2478" s="12"/>
      <c r="M2478" s="13"/>
    </row>
    <row r="2479" spans="12:13" x14ac:dyDescent="0.2">
      <c r="L2479" s="12"/>
      <c r="M2479" s="13"/>
    </row>
    <row r="2480" spans="12:13" x14ac:dyDescent="0.2">
      <c r="L2480" s="12"/>
      <c r="M2480" s="13"/>
    </row>
    <row r="2481" spans="12:13" x14ac:dyDescent="0.2">
      <c r="L2481" s="12"/>
      <c r="M2481" s="13"/>
    </row>
    <row r="2482" spans="12:13" x14ac:dyDescent="0.2">
      <c r="L2482" s="12"/>
      <c r="M2482" s="13"/>
    </row>
    <row r="2483" spans="12:13" x14ac:dyDescent="0.2">
      <c r="L2483" s="12"/>
      <c r="M2483" s="13"/>
    </row>
    <row r="2484" spans="12:13" x14ac:dyDescent="0.2">
      <c r="L2484" s="12"/>
      <c r="M2484" s="13"/>
    </row>
    <row r="2485" spans="12:13" x14ac:dyDescent="0.2">
      <c r="L2485" s="12"/>
      <c r="M2485" s="13"/>
    </row>
    <row r="2486" spans="12:13" x14ac:dyDescent="0.2">
      <c r="L2486" s="12"/>
      <c r="M2486" s="13"/>
    </row>
    <row r="2487" spans="12:13" x14ac:dyDescent="0.2">
      <c r="L2487" s="12"/>
      <c r="M2487" s="13"/>
    </row>
    <row r="2488" spans="12:13" x14ac:dyDescent="0.2">
      <c r="L2488" s="12"/>
      <c r="M2488" s="13"/>
    </row>
    <row r="2489" spans="12:13" x14ac:dyDescent="0.2">
      <c r="L2489" s="12"/>
      <c r="M2489" s="13"/>
    </row>
    <row r="2490" spans="12:13" x14ac:dyDescent="0.2">
      <c r="L2490" s="12"/>
      <c r="M2490" s="13"/>
    </row>
    <row r="2491" spans="12:13" x14ac:dyDescent="0.2">
      <c r="L2491" s="12"/>
      <c r="M2491" s="13"/>
    </row>
    <row r="2492" spans="12:13" x14ac:dyDescent="0.2">
      <c r="L2492" s="12"/>
      <c r="M2492" s="13"/>
    </row>
    <row r="2493" spans="12:13" x14ac:dyDescent="0.2">
      <c r="L2493" s="12"/>
      <c r="M2493" s="13"/>
    </row>
    <row r="2494" spans="12:13" x14ac:dyDescent="0.2">
      <c r="L2494" s="12"/>
      <c r="M2494" s="13"/>
    </row>
    <row r="2495" spans="12:13" x14ac:dyDescent="0.2">
      <c r="L2495" s="12"/>
      <c r="M2495" s="13"/>
    </row>
    <row r="2496" spans="12:13" x14ac:dyDescent="0.2">
      <c r="L2496" s="12"/>
      <c r="M2496" s="13"/>
    </row>
    <row r="2497" spans="12:13" x14ac:dyDescent="0.2">
      <c r="L2497" s="12"/>
      <c r="M2497" s="13"/>
    </row>
    <row r="2498" spans="12:13" x14ac:dyDescent="0.2">
      <c r="L2498" s="12"/>
      <c r="M2498" s="13"/>
    </row>
    <row r="2499" spans="12:13" x14ac:dyDescent="0.2">
      <c r="L2499" s="12"/>
      <c r="M2499" s="13"/>
    </row>
    <row r="2500" spans="12:13" x14ac:dyDescent="0.2">
      <c r="L2500" s="12"/>
      <c r="M2500" s="13"/>
    </row>
    <row r="2501" spans="12:13" x14ac:dyDescent="0.2">
      <c r="L2501" s="12"/>
      <c r="M2501" s="13"/>
    </row>
    <row r="2502" spans="12:13" x14ac:dyDescent="0.2">
      <c r="L2502" s="12"/>
      <c r="M2502" s="13"/>
    </row>
    <row r="2503" spans="12:13" x14ac:dyDescent="0.2">
      <c r="L2503" s="12"/>
      <c r="M2503" s="13"/>
    </row>
    <row r="2504" spans="12:13" x14ac:dyDescent="0.2">
      <c r="L2504" s="12"/>
      <c r="M2504" s="13"/>
    </row>
    <row r="2505" spans="12:13" x14ac:dyDescent="0.2">
      <c r="L2505" s="12"/>
      <c r="M2505" s="13"/>
    </row>
    <row r="2506" spans="12:13" x14ac:dyDescent="0.2">
      <c r="L2506" s="12"/>
      <c r="M2506" s="13"/>
    </row>
    <row r="2507" spans="12:13" x14ac:dyDescent="0.2">
      <c r="L2507" s="12"/>
      <c r="M2507" s="13"/>
    </row>
    <row r="2508" spans="12:13" x14ac:dyDescent="0.2">
      <c r="L2508" s="12"/>
      <c r="M2508" s="13"/>
    </row>
    <row r="2509" spans="12:13" x14ac:dyDescent="0.2">
      <c r="L2509" s="12"/>
      <c r="M2509" s="13"/>
    </row>
    <row r="2510" spans="12:13" x14ac:dyDescent="0.2">
      <c r="L2510" s="12"/>
      <c r="M2510" s="13"/>
    </row>
    <row r="2511" spans="12:13" x14ac:dyDescent="0.2">
      <c r="L2511" s="12"/>
      <c r="M2511" s="13"/>
    </row>
    <row r="2512" spans="12:13" x14ac:dyDescent="0.2">
      <c r="L2512" s="12"/>
      <c r="M2512" s="13"/>
    </row>
    <row r="2513" spans="12:13" x14ac:dyDescent="0.2">
      <c r="L2513" s="12"/>
      <c r="M2513" s="13"/>
    </row>
    <row r="2514" spans="12:13" x14ac:dyDescent="0.2">
      <c r="L2514" s="12"/>
      <c r="M2514" s="13"/>
    </row>
    <row r="2515" spans="12:13" x14ac:dyDescent="0.2">
      <c r="L2515" s="12"/>
      <c r="M2515" s="13"/>
    </row>
    <row r="2516" spans="12:13" x14ac:dyDescent="0.2">
      <c r="L2516" s="12"/>
      <c r="M2516" s="13"/>
    </row>
    <row r="2517" spans="12:13" x14ac:dyDescent="0.2">
      <c r="L2517" s="12"/>
      <c r="M2517" s="13"/>
    </row>
    <row r="2518" spans="12:13" x14ac:dyDescent="0.2">
      <c r="L2518" s="12"/>
      <c r="M2518" s="13"/>
    </row>
    <row r="2519" spans="12:13" x14ac:dyDescent="0.2">
      <c r="L2519" s="12"/>
      <c r="M2519" s="13"/>
    </row>
    <row r="2520" spans="12:13" x14ac:dyDescent="0.2">
      <c r="L2520" s="12"/>
      <c r="M2520" s="13"/>
    </row>
    <row r="2521" spans="12:13" x14ac:dyDescent="0.2">
      <c r="L2521" s="12"/>
      <c r="M2521" s="13"/>
    </row>
    <row r="2522" spans="12:13" x14ac:dyDescent="0.2">
      <c r="L2522" s="12"/>
      <c r="M2522" s="13"/>
    </row>
    <row r="2523" spans="12:13" x14ac:dyDescent="0.2">
      <c r="L2523" s="12"/>
      <c r="M2523" s="13"/>
    </row>
    <row r="2524" spans="12:13" x14ac:dyDescent="0.2">
      <c r="L2524" s="12"/>
      <c r="M2524" s="13"/>
    </row>
    <row r="2525" spans="12:13" x14ac:dyDescent="0.2">
      <c r="L2525" s="12"/>
      <c r="M2525" s="13"/>
    </row>
    <row r="2526" spans="12:13" x14ac:dyDescent="0.2">
      <c r="L2526" s="12"/>
      <c r="M2526" s="13"/>
    </row>
    <row r="2527" spans="12:13" x14ac:dyDescent="0.2">
      <c r="L2527" s="12"/>
      <c r="M2527" s="13"/>
    </row>
    <row r="2528" spans="12:13" x14ac:dyDescent="0.2">
      <c r="L2528" s="12"/>
      <c r="M2528" s="13"/>
    </row>
    <row r="2529" spans="12:13" x14ac:dyDescent="0.2">
      <c r="L2529" s="12"/>
      <c r="M2529" s="13"/>
    </row>
    <row r="2530" spans="12:13" x14ac:dyDescent="0.2">
      <c r="L2530" s="12"/>
      <c r="M2530" s="13"/>
    </row>
    <row r="2531" spans="12:13" x14ac:dyDescent="0.2">
      <c r="L2531" s="12"/>
      <c r="M2531" s="13"/>
    </row>
    <row r="2532" spans="12:13" x14ac:dyDescent="0.2">
      <c r="L2532" s="12"/>
      <c r="M2532" s="13"/>
    </row>
    <row r="2533" spans="12:13" x14ac:dyDescent="0.2">
      <c r="L2533" s="12"/>
      <c r="M2533" s="13"/>
    </row>
    <row r="2534" spans="12:13" x14ac:dyDescent="0.2">
      <c r="L2534" s="12"/>
      <c r="M2534" s="13"/>
    </row>
    <row r="2535" spans="12:13" x14ac:dyDescent="0.2">
      <c r="L2535" s="12"/>
      <c r="M2535" s="13"/>
    </row>
    <row r="2536" spans="12:13" x14ac:dyDescent="0.2">
      <c r="L2536" s="12"/>
      <c r="M2536" s="13"/>
    </row>
    <row r="2537" spans="12:13" x14ac:dyDescent="0.2">
      <c r="L2537" s="12"/>
      <c r="M2537" s="13"/>
    </row>
    <row r="2538" spans="12:13" x14ac:dyDescent="0.2">
      <c r="L2538" s="12"/>
      <c r="M2538" s="13"/>
    </row>
    <row r="2539" spans="12:13" x14ac:dyDescent="0.2">
      <c r="L2539" s="12"/>
      <c r="M2539" s="13"/>
    </row>
    <row r="2540" spans="12:13" x14ac:dyDescent="0.2">
      <c r="L2540" s="12"/>
      <c r="M2540" s="13"/>
    </row>
    <row r="2541" spans="12:13" x14ac:dyDescent="0.2">
      <c r="L2541" s="12"/>
      <c r="M2541" s="13"/>
    </row>
    <row r="2542" spans="12:13" x14ac:dyDescent="0.2">
      <c r="L2542" s="12"/>
      <c r="M2542" s="13"/>
    </row>
    <row r="2543" spans="12:13" x14ac:dyDescent="0.2">
      <c r="L2543" s="12"/>
      <c r="M2543" s="13"/>
    </row>
    <row r="2544" spans="12:13" x14ac:dyDescent="0.2">
      <c r="L2544" s="12"/>
      <c r="M2544" s="13"/>
    </row>
    <row r="2545" spans="12:13" x14ac:dyDescent="0.2">
      <c r="L2545" s="12"/>
      <c r="M2545" s="13"/>
    </row>
    <row r="2546" spans="12:13" x14ac:dyDescent="0.2">
      <c r="L2546" s="12"/>
      <c r="M2546" s="13"/>
    </row>
    <row r="2547" spans="12:13" x14ac:dyDescent="0.2">
      <c r="L2547" s="12"/>
      <c r="M2547" s="13"/>
    </row>
    <row r="2548" spans="12:13" x14ac:dyDescent="0.2">
      <c r="L2548" s="12"/>
      <c r="M2548" s="13"/>
    </row>
    <row r="2549" spans="12:13" x14ac:dyDescent="0.2">
      <c r="L2549" s="12"/>
      <c r="M2549" s="13"/>
    </row>
    <row r="2550" spans="12:13" x14ac:dyDescent="0.2">
      <c r="L2550" s="12"/>
      <c r="M2550" s="13"/>
    </row>
    <row r="2551" spans="12:13" x14ac:dyDescent="0.2">
      <c r="L2551" s="12"/>
      <c r="M2551" s="13"/>
    </row>
    <row r="2552" spans="12:13" x14ac:dyDescent="0.2">
      <c r="L2552" s="12"/>
      <c r="M2552" s="13"/>
    </row>
    <row r="2553" spans="12:13" x14ac:dyDescent="0.2">
      <c r="L2553" s="12"/>
      <c r="M2553" s="13"/>
    </row>
    <row r="2554" spans="12:13" x14ac:dyDescent="0.2">
      <c r="L2554" s="12"/>
      <c r="M2554" s="13"/>
    </row>
    <row r="2555" spans="12:13" x14ac:dyDescent="0.2">
      <c r="L2555" s="12"/>
      <c r="M2555" s="13"/>
    </row>
    <row r="2556" spans="12:13" x14ac:dyDescent="0.2">
      <c r="L2556" s="12"/>
      <c r="M2556" s="13"/>
    </row>
    <row r="2557" spans="12:13" x14ac:dyDescent="0.2">
      <c r="L2557" s="12"/>
      <c r="M2557" s="13"/>
    </row>
    <row r="2558" spans="12:13" x14ac:dyDescent="0.2">
      <c r="L2558" s="12"/>
      <c r="M2558" s="13"/>
    </row>
    <row r="2559" spans="12:13" x14ac:dyDescent="0.2">
      <c r="L2559" s="12"/>
      <c r="M2559" s="13"/>
    </row>
    <row r="2560" spans="12:13" x14ac:dyDescent="0.2">
      <c r="L2560" s="12"/>
      <c r="M2560" s="13"/>
    </row>
    <row r="2561" spans="12:13" x14ac:dyDescent="0.2">
      <c r="L2561" s="12"/>
      <c r="M2561" s="13"/>
    </row>
    <row r="2562" spans="12:13" x14ac:dyDescent="0.2">
      <c r="L2562" s="17"/>
      <c r="M2562" s="18"/>
    </row>
    <row r="2563" spans="12:13" x14ac:dyDescent="0.2">
      <c r="L2563" s="12"/>
      <c r="M2563" s="13"/>
    </row>
    <row r="2564" spans="12:13" x14ac:dyDescent="0.2">
      <c r="L2564" s="12"/>
      <c r="M2564" s="13"/>
    </row>
    <row r="2565" spans="12:13" x14ac:dyDescent="0.2">
      <c r="L2565" s="12"/>
      <c r="M2565" s="13"/>
    </row>
    <row r="2566" spans="12:13" x14ac:dyDescent="0.2">
      <c r="L2566" s="12"/>
      <c r="M2566" s="13"/>
    </row>
    <row r="2567" spans="12:13" x14ac:dyDescent="0.2">
      <c r="L2567" s="12"/>
      <c r="M2567" s="13"/>
    </row>
    <row r="2568" spans="12:13" x14ac:dyDescent="0.2">
      <c r="L2568" s="12"/>
      <c r="M2568" s="13"/>
    </row>
    <row r="2569" spans="12:13" x14ac:dyDescent="0.2">
      <c r="L2569" s="12"/>
      <c r="M2569" s="13"/>
    </row>
    <row r="2570" spans="12:13" x14ac:dyDescent="0.2">
      <c r="L2570" s="12"/>
      <c r="M2570" s="13"/>
    </row>
    <row r="2571" spans="12:13" x14ac:dyDescent="0.2">
      <c r="L2571" s="12"/>
      <c r="M2571" s="13"/>
    </row>
    <row r="2572" spans="12:13" x14ac:dyDescent="0.2">
      <c r="L2572" s="12"/>
      <c r="M2572" s="13"/>
    </row>
    <row r="2573" spans="12:13" x14ac:dyDescent="0.2">
      <c r="L2573" s="12"/>
      <c r="M2573" s="13"/>
    </row>
    <row r="2574" spans="12:13" x14ac:dyDescent="0.2">
      <c r="L2574" s="12"/>
      <c r="M2574" s="13"/>
    </row>
    <row r="2575" spans="12:13" x14ac:dyDescent="0.2">
      <c r="L2575" s="12"/>
      <c r="M2575" s="13"/>
    </row>
    <row r="2576" spans="12:13" x14ac:dyDescent="0.2">
      <c r="L2576" s="12"/>
      <c r="M2576" s="13"/>
    </row>
    <row r="2577" spans="12:13" x14ac:dyDescent="0.2">
      <c r="L2577" s="12"/>
      <c r="M2577" s="13"/>
    </row>
    <row r="2578" spans="12:13" x14ac:dyDescent="0.2">
      <c r="L2578" s="12"/>
      <c r="M2578" s="13"/>
    </row>
    <row r="2579" spans="12:13" x14ac:dyDescent="0.2">
      <c r="L2579" s="12"/>
      <c r="M2579" s="13"/>
    </row>
    <row r="2580" spans="12:13" x14ac:dyDescent="0.2">
      <c r="L2580" s="12"/>
      <c r="M2580" s="13"/>
    </row>
    <row r="2581" spans="12:13" x14ac:dyDescent="0.2">
      <c r="L2581" s="12"/>
      <c r="M2581" s="13"/>
    </row>
    <row r="2582" spans="12:13" x14ac:dyDescent="0.2">
      <c r="L2582" s="12"/>
      <c r="M2582" s="13"/>
    </row>
    <row r="2583" spans="12:13" x14ac:dyDescent="0.2">
      <c r="L2583" s="12"/>
      <c r="M2583" s="13"/>
    </row>
    <row r="2584" spans="12:13" x14ac:dyDescent="0.2">
      <c r="L2584" s="12"/>
      <c r="M2584" s="13"/>
    </row>
    <row r="2585" spans="12:13" x14ac:dyDescent="0.2">
      <c r="L2585" s="12"/>
      <c r="M2585" s="13"/>
    </row>
    <row r="2586" spans="12:13" x14ac:dyDescent="0.2">
      <c r="L2586" s="12"/>
      <c r="M2586" s="13"/>
    </row>
    <row r="2587" spans="12:13" x14ac:dyDescent="0.2">
      <c r="L2587" s="12"/>
      <c r="M2587" s="13"/>
    </row>
    <row r="2588" spans="12:13" x14ac:dyDescent="0.2">
      <c r="L2588" s="12"/>
      <c r="M2588" s="13"/>
    </row>
    <row r="2589" spans="12:13" x14ac:dyDescent="0.2">
      <c r="L2589" s="12"/>
      <c r="M2589" s="13"/>
    </row>
    <row r="2590" spans="12:13" x14ac:dyDescent="0.2">
      <c r="L2590" s="12"/>
      <c r="M2590" s="13"/>
    </row>
    <row r="2591" spans="12:13" x14ac:dyDescent="0.2">
      <c r="L2591" s="12"/>
      <c r="M2591" s="13"/>
    </row>
    <row r="2592" spans="12:13" x14ac:dyDescent="0.2">
      <c r="L2592" s="12"/>
      <c r="M2592" s="13"/>
    </row>
    <row r="2593" spans="12:13" x14ac:dyDescent="0.2">
      <c r="L2593" s="12"/>
      <c r="M2593" s="13"/>
    </row>
    <row r="2594" spans="12:13" x14ac:dyDescent="0.2">
      <c r="L2594" s="12"/>
      <c r="M2594" s="13"/>
    </row>
    <row r="2595" spans="12:13" x14ac:dyDescent="0.2">
      <c r="L2595" s="12"/>
      <c r="M2595" s="13"/>
    </row>
    <row r="2596" spans="12:13" x14ac:dyDescent="0.2">
      <c r="L2596" s="12"/>
      <c r="M2596" s="13"/>
    </row>
    <row r="2597" spans="12:13" x14ac:dyDescent="0.2">
      <c r="L2597" s="12"/>
      <c r="M2597" s="13"/>
    </row>
    <row r="2598" spans="12:13" x14ac:dyDescent="0.2">
      <c r="L2598" s="12"/>
      <c r="M2598" s="13"/>
    </row>
    <row r="2599" spans="12:13" x14ac:dyDescent="0.2">
      <c r="L2599" s="12"/>
      <c r="M2599" s="13"/>
    </row>
    <row r="2600" spans="12:13" x14ac:dyDescent="0.2">
      <c r="L2600" s="12"/>
      <c r="M2600" s="13"/>
    </row>
    <row r="2601" spans="12:13" x14ac:dyDescent="0.2">
      <c r="L2601" s="12"/>
      <c r="M2601" s="13"/>
    </row>
    <row r="2602" spans="12:13" x14ac:dyDescent="0.2">
      <c r="L2602" s="12"/>
      <c r="M2602" s="13"/>
    </row>
    <row r="2603" spans="12:13" x14ac:dyDescent="0.2">
      <c r="L2603" s="12"/>
      <c r="M2603" s="13"/>
    </row>
    <row r="2604" spans="12:13" x14ac:dyDescent="0.2">
      <c r="L2604" s="12"/>
      <c r="M2604" s="13"/>
    </row>
    <row r="2605" spans="12:13" x14ac:dyDescent="0.2">
      <c r="L2605" s="12"/>
      <c r="M2605" s="13"/>
    </row>
    <row r="2606" spans="12:13" x14ac:dyDescent="0.2">
      <c r="L2606" s="12"/>
      <c r="M2606" s="13"/>
    </row>
    <row r="2607" spans="12:13" x14ac:dyDescent="0.2">
      <c r="L2607" s="12"/>
      <c r="M2607" s="13"/>
    </row>
    <row r="2608" spans="12:13" x14ac:dyDescent="0.2">
      <c r="L2608" s="12"/>
      <c r="M2608" s="13"/>
    </row>
    <row r="2609" spans="12:13" x14ac:dyDescent="0.2">
      <c r="L2609" s="12"/>
      <c r="M2609" s="13"/>
    </row>
    <row r="2610" spans="12:13" x14ac:dyDescent="0.2">
      <c r="L2610" s="12"/>
      <c r="M2610" s="13"/>
    </row>
    <row r="2611" spans="12:13" x14ac:dyDescent="0.2">
      <c r="L2611" s="12"/>
      <c r="M2611" s="13"/>
    </row>
    <row r="2612" spans="12:13" x14ac:dyDescent="0.2">
      <c r="L2612" s="12"/>
      <c r="M2612" s="13"/>
    </row>
    <row r="2613" spans="12:13" x14ac:dyDescent="0.2">
      <c r="L2613" s="12"/>
      <c r="M2613" s="13"/>
    </row>
    <row r="2614" spans="12:13" x14ac:dyDescent="0.2">
      <c r="L2614" s="12"/>
      <c r="M2614" s="13"/>
    </row>
    <row r="2615" spans="12:13" x14ac:dyDescent="0.2">
      <c r="L2615" s="12"/>
      <c r="M2615" s="13"/>
    </row>
    <row r="2616" spans="12:13" x14ac:dyDescent="0.2">
      <c r="L2616" s="12"/>
      <c r="M2616" s="13"/>
    </row>
    <row r="2617" spans="12:13" x14ac:dyDescent="0.2">
      <c r="L2617" s="12"/>
      <c r="M2617" s="13"/>
    </row>
    <row r="2618" spans="12:13" x14ac:dyDescent="0.2">
      <c r="L2618" s="12"/>
      <c r="M2618" s="13"/>
    </row>
    <row r="2619" spans="12:13" x14ac:dyDescent="0.2">
      <c r="L2619" s="12"/>
      <c r="M2619" s="13"/>
    </row>
    <row r="2620" spans="12:13" x14ac:dyDescent="0.2">
      <c r="L2620" s="12"/>
      <c r="M2620" s="13"/>
    </row>
    <row r="2621" spans="12:13" x14ac:dyDescent="0.2">
      <c r="L2621" s="12"/>
      <c r="M2621" s="13"/>
    </row>
    <row r="2622" spans="12:13" x14ac:dyDescent="0.2">
      <c r="L2622" s="12"/>
      <c r="M2622" s="13"/>
    </row>
    <row r="2623" spans="12:13" x14ac:dyDescent="0.2">
      <c r="L2623" s="12"/>
      <c r="M2623" s="13"/>
    </row>
    <row r="2624" spans="12:13" x14ac:dyDescent="0.2">
      <c r="L2624" s="12"/>
      <c r="M2624" s="13"/>
    </row>
    <row r="2625" spans="12:13" x14ac:dyDescent="0.2">
      <c r="L2625" s="12"/>
      <c r="M2625" s="13"/>
    </row>
    <row r="2626" spans="12:13" x14ac:dyDescent="0.2">
      <c r="L2626" s="12"/>
      <c r="M2626" s="13"/>
    </row>
    <row r="2627" spans="12:13" x14ac:dyDescent="0.2">
      <c r="L2627" s="12"/>
      <c r="M2627" s="13"/>
    </row>
    <row r="2628" spans="12:13" x14ac:dyDescent="0.2">
      <c r="L2628" s="12"/>
      <c r="M2628" s="13"/>
    </row>
    <row r="2629" spans="12:13" x14ac:dyDescent="0.2">
      <c r="L2629" s="12"/>
      <c r="M2629" s="13"/>
    </row>
    <row r="2630" spans="12:13" x14ac:dyDescent="0.2">
      <c r="L2630" s="12"/>
      <c r="M2630" s="13"/>
    </row>
    <row r="2631" spans="12:13" x14ac:dyDescent="0.2">
      <c r="L2631" s="12"/>
      <c r="M2631" s="13"/>
    </row>
    <row r="2632" spans="12:13" x14ac:dyDescent="0.2">
      <c r="L2632" s="12"/>
      <c r="M2632" s="13"/>
    </row>
    <row r="2633" spans="12:13" x14ac:dyDescent="0.2">
      <c r="L2633" s="12"/>
      <c r="M2633" s="13"/>
    </row>
    <row r="2634" spans="12:13" x14ac:dyDescent="0.2">
      <c r="L2634" s="12"/>
      <c r="M2634" s="13"/>
    </row>
    <row r="2635" spans="12:13" x14ac:dyDescent="0.2">
      <c r="L2635" s="12"/>
      <c r="M2635" s="13"/>
    </row>
    <row r="2636" spans="12:13" x14ac:dyDescent="0.2">
      <c r="L2636" s="12"/>
      <c r="M2636" s="13"/>
    </row>
    <row r="2637" spans="12:13" x14ac:dyDescent="0.2">
      <c r="L2637" s="12"/>
      <c r="M2637" s="13"/>
    </row>
    <row r="2638" spans="12:13" x14ac:dyDescent="0.2">
      <c r="L2638" s="12"/>
      <c r="M2638" s="13"/>
    </row>
    <row r="2639" spans="12:13" x14ac:dyDescent="0.2">
      <c r="L2639" s="12"/>
      <c r="M2639" s="13"/>
    </row>
    <row r="2640" spans="12:13" x14ac:dyDescent="0.2">
      <c r="L2640" s="12"/>
      <c r="M2640" s="13"/>
    </row>
    <row r="2641" spans="12:13" x14ac:dyDescent="0.2">
      <c r="L2641" s="12"/>
      <c r="M2641" s="13"/>
    </row>
    <row r="2642" spans="12:13" x14ac:dyDescent="0.2">
      <c r="L2642" s="12"/>
      <c r="M2642" s="13"/>
    </row>
    <row r="2643" spans="12:13" x14ac:dyDescent="0.2">
      <c r="L2643" s="12"/>
      <c r="M2643" s="13"/>
    </row>
    <row r="2644" spans="12:13" x14ac:dyDescent="0.2">
      <c r="L2644" s="12"/>
      <c r="M2644" s="13"/>
    </row>
    <row r="2645" spans="12:13" x14ac:dyDescent="0.2">
      <c r="L2645" s="12"/>
      <c r="M2645" s="13"/>
    </row>
    <row r="2646" spans="12:13" x14ac:dyDescent="0.2">
      <c r="L2646" s="12"/>
      <c r="M2646" s="13"/>
    </row>
    <row r="2647" spans="12:13" x14ac:dyDescent="0.2">
      <c r="L2647" s="12"/>
      <c r="M2647" s="13"/>
    </row>
    <row r="2648" spans="12:13" x14ac:dyDescent="0.2">
      <c r="L2648" s="12"/>
      <c r="M2648" s="13"/>
    </row>
    <row r="2649" spans="12:13" x14ac:dyDescent="0.2">
      <c r="L2649" s="12"/>
      <c r="M2649" s="13"/>
    </row>
    <row r="2650" spans="12:13" x14ac:dyDescent="0.2">
      <c r="L2650" s="12"/>
      <c r="M2650" s="13"/>
    </row>
    <row r="2651" spans="12:13" x14ac:dyDescent="0.2">
      <c r="L2651" s="12"/>
      <c r="M2651" s="13"/>
    </row>
    <row r="2652" spans="12:13" x14ac:dyDescent="0.2">
      <c r="L2652" s="12"/>
      <c r="M2652" s="13"/>
    </row>
    <row r="2653" spans="12:13" x14ac:dyDescent="0.2">
      <c r="L2653" s="12"/>
      <c r="M2653" s="13"/>
    </row>
    <row r="2654" spans="12:13" x14ac:dyDescent="0.2">
      <c r="L2654" s="12"/>
      <c r="M2654" s="13"/>
    </row>
    <row r="2655" spans="12:13" x14ac:dyDescent="0.2">
      <c r="L2655" s="12"/>
      <c r="M2655" s="13"/>
    </row>
    <row r="2656" spans="12:13" x14ac:dyDescent="0.2">
      <c r="L2656" s="12"/>
      <c r="M2656" s="13"/>
    </row>
    <row r="2657" spans="12:13" x14ac:dyDescent="0.2">
      <c r="L2657" s="12"/>
      <c r="M2657" s="13"/>
    </row>
    <row r="2658" spans="12:13" x14ac:dyDescent="0.2">
      <c r="L2658" s="12"/>
      <c r="M2658" s="13"/>
    </row>
    <row r="2659" spans="12:13" x14ac:dyDescent="0.2">
      <c r="L2659" s="12"/>
      <c r="M2659" s="13"/>
    </row>
    <row r="2660" spans="12:13" x14ac:dyDescent="0.2">
      <c r="L2660" s="12"/>
      <c r="M2660" s="13"/>
    </row>
    <row r="2661" spans="12:13" x14ac:dyDescent="0.2">
      <c r="L2661" s="12"/>
      <c r="M2661" s="13"/>
    </row>
    <row r="2662" spans="12:13" x14ac:dyDescent="0.2">
      <c r="L2662" s="12"/>
      <c r="M2662" s="13"/>
    </row>
    <row r="2663" spans="12:13" x14ac:dyDescent="0.2">
      <c r="L2663" s="12"/>
      <c r="M2663" s="13"/>
    </row>
    <row r="2664" spans="12:13" x14ac:dyDescent="0.2">
      <c r="L2664" s="12"/>
      <c r="M2664" s="13"/>
    </row>
    <row r="2665" spans="12:13" x14ac:dyDescent="0.2">
      <c r="L2665" s="12"/>
      <c r="M2665" s="13"/>
    </row>
    <row r="2666" spans="12:13" x14ac:dyDescent="0.2">
      <c r="L2666" s="12"/>
      <c r="M2666" s="13"/>
    </row>
    <row r="2667" spans="12:13" x14ac:dyDescent="0.2">
      <c r="L2667" s="12"/>
      <c r="M2667" s="13"/>
    </row>
    <row r="2668" spans="12:13" x14ac:dyDescent="0.2">
      <c r="L2668" s="12"/>
      <c r="M2668" s="13"/>
    </row>
    <row r="2669" spans="12:13" x14ac:dyDescent="0.2">
      <c r="L2669" s="12"/>
      <c r="M2669" s="13"/>
    </row>
    <row r="2670" spans="12:13" x14ac:dyDescent="0.2">
      <c r="L2670" s="12"/>
      <c r="M2670" s="13"/>
    </row>
    <row r="2671" spans="12:13" x14ac:dyDescent="0.2">
      <c r="L2671" s="12"/>
      <c r="M2671" s="13"/>
    </row>
    <row r="2672" spans="12:13" x14ac:dyDescent="0.2">
      <c r="L2672" s="12"/>
      <c r="M2672" s="13"/>
    </row>
    <row r="2673" spans="12:13" x14ac:dyDescent="0.2">
      <c r="L2673" s="12"/>
      <c r="M2673" s="13"/>
    </row>
    <row r="2674" spans="12:13" x14ac:dyDescent="0.2">
      <c r="L2674" s="12"/>
      <c r="M2674" s="13"/>
    </row>
    <row r="2675" spans="12:13" x14ac:dyDescent="0.2">
      <c r="L2675" s="12"/>
      <c r="M2675" s="13"/>
    </row>
    <row r="2676" spans="12:13" x14ac:dyDescent="0.2">
      <c r="L2676" s="12"/>
      <c r="M2676" s="13"/>
    </row>
    <row r="2677" spans="12:13" x14ac:dyDescent="0.2">
      <c r="L2677" s="12"/>
      <c r="M2677" s="13"/>
    </row>
    <row r="2678" spans="12:13" x14ac:dyDescent="0.2">
      <c r="L2678" s="12"/>
      <c r="M2678" s="13"/>
    </row>
    <row r="2679" spans="12:13" x14ac:dyDescent="0.2">
      <c r="L2679" s="12"/>
      <c r="M2679" s="13"/>
    </row>
    <row r="2680" spans="12:13" x14ac:dyDescent="0.2">
      <c r="L2680" s="12"/>
      <c r="M2680" s="13"/>
    </row>
    <row r="2681" spans="12:13" x14ac:dyDescent="0.2">
      <c r="L2681" s="12"/>
      <c r="M2681" s="13"/>
    </row>
    <row r="2682" spans="12:13" x14ac:dyDescent="0.2">
      <c r="L2682" s="12"/>
      <c r="M2682" s="13"/>
    </row>
    <row r="2683" spans="12:13" x14ac:dyDescent="0.2">
      <c r="L2683" s="12"/>
      <c r="M2683" s="13"/>
    </row>
    <row r="2684" spans="12:13" x14ac:dyDescent="0.2">
      <c r="L2684" s="12"/>
      <c r="M2684" s="13"/>
    </row>
    <row r="2685" spans="12:13" x14ac:dyDescent="0.2">
      <c r="L2685" s="12"/>
      <c r="M2685" s="13"/>
    </row>
    <row r="2686" spans="12:13" x14ac:dyDescent="0.2">
      <c r="L2686" s="12"/>
      <c r="M2686" s="13"/>
    </row>
    <row r="2687" spans="12:13" x14ac:dyDescent="0.2">
      <c r="L2687" s="12"/>
      <c r="M2687" s="13"/>
    </row>
    <row r="2688" spans="12:13" x14ac:dyDescent="0.2">
      <c r="L2688" s="12"/>
      <c r="M2688" s="13"/>
    </row>
    <row r="2689" spans="12:13" x14ac:dyDescent="0.2">
      <c r="L2689" s="12"/>
      <c r="M2689" s="13"/>
    </row>
    <row r="2690" spans="12:13" x14ac:dyDescent="0.2">
      <c r="L2690" s="12"/>
      <c r="M2690" s="13"/>
    </row>
    <row r="2691" spans="12:13" x14ac:dyDescent="0.2">
      <c r="L2691" s="12"/>
      <c r="M2691" s="13"/>
    </row>
    <row r="2692" spans="12:13" x14ac:dyDescent="0.2">
      <c r="L2692" s="12"/>
      <c r="M2692" s="13"/>
    </row>
    <row r="2693" spans="12:13" x14ac:dyDescent="0.2">
      <c r="L2693" s="12"/>
      <c r="M2693" s="13"/>
    </row>
    <row r="2694" spans="12:13" x14ac:dyDescent="0.2">
      <c r="L2694" s="12"/>
      <c r="M2694" s="13"/>
    </row>
    <row r="2695" spans="12:13" x14ac:dyDescent="0.2">
      <c r="L2695" s="12"/>
      <c r="M2695" s="13"/>
    </row>
    <row r="2696" spans="12:13" x14ac:dyDescent="0.2">
      <c r="L2696" s="12"/>
      <c r="M2696" s="13"/>
    </row>
    <row r="2697" spans="12:13" x14ac:dyDescent="0.2">
      <c r="L2697" s="12"/>
      <c r="M2697" s="13"/>
    </row>
    <row r="2698" spans="12:13" x14ac:dyDescent="0.2">
      <c r="L2698" s="12"/>
      <c r="M2698" s="13"/>
    </row>
    <row r="2699" spans="12:13" x14ac:dyDescent="0.2">
      <c r="L2699" s="12"/>
      <c r="M2699" s="13"/>
    </row>
    <row r="2700" spans="12:13" x14ac:dyDescent="0.2">
      <c r="L2700" s="12"/>
      <c r="M2700" s="13"/>
    </row>
    <row r="2701" spans="12:13" x14ac:dyDescent="0.2">
      <c r="L2701" s="12"/>
      <c r="M2701" s="13"/>
    </row>
    <row r="2702" spans="12:13" x14ac:dyDescent="0.2">
      <c r="L2702" s="12"/>
      <c r="M2702" s="13"/>
    </row>
    <row r="2703" spans="12:13" x14ac:dyDescent="0.2">
      <c r="L2703" s="12"/>
      <c r="M2703" s="13"/>
    </row>
    <row r="2704" spans="12:13" x14ac:dyDescent="0.2">
      <c r="L2704" s="12"/>
      <c r="M2704" s="13"/>
    </row>
    <row r="2705" spans="12:13" x14ac:dyDescent="0.2">
      <c r="L2705" s="12"/>
      <c r="M2705" s="13"/>
    </row>
    <row r="2706" spans="12:13" x14ac:dyDescent="0.2">
      <c r="L2706" s="12"/>
      <c r="M2706" s="13"/>
    </row>
    <row r="2707" spans="12:13" x14ac:dyDescent="0.2">
      <c r="L2707" s="12"/>
      <c r="M2707" s="13"/>
    </row>
    <row r="2708" spans="12:13" x14ac:dyDescent="0.2">
      <c r="L2708" s="12"/>
      <c r="M2708" s="13"/>
    </row>
    <row r="2709" spans="12:13" x14ac:dyDescent="0.2">
      <c r="L2709" s="12"/>
      <c r="M2709" s="13"/>
    </row>
    <row r="2710" spans="12:13" x14ac:dyDescent="0.2">
      <c r="L2710" s="12"/>
      <c r="M2710" s="13"/>
    </row>
    <row r="2711" spans="12:13" x14ac:dyDescent="0.2">
      <c r="L2711" s="12"/>
      <c r="M2711" s="13"/>
    </row>
    <row r="2712" spans="12:13" x14ac:dyDescent="0.2">
      <c r="L2712" s="12"/>
      <c r="M2712" s="13"/>
    </row>
    <row r="2713" spans="12:13" x14ac:dyDescent="0.2">
      <c r="L2713" s="12"/>
      <c r="M2713" s="13"/>
    </row>
    <row r="2714" spans="12:13" x14ac:dyDescent="0.2">
      <c r="L2714" s="12"/>
      <c r="M2714" s="13"/>
    </row>
    <row r="2715" spans="12:13" x14ac:dyDescent="0.2">
      <c r="L2715" s="12"/>
      <c r="M2715" s="13"/>
    </row>
    <row r="2716" spans="12:13" x14ac:dyDescent="0.2">
      <c r="L2716" s="12"/>
      <c r="M2716" s="13"/>
    </row>
    <row r="2717" spans="12:13" x14ac:dyDescent="0.2">
      <c r="L2717" s="12"/>
      <c r="M2717" s="13"/>
    </row>
    <row r="2718" spans="12:13" x14ac:dyDescent="0.2">
      <c r="L2718" s="12"/>
      <c r="M2718" s="13"/>
    </row>
    <row r="2719" spans="12:13" x14ac:dyDescent="0.2">
      <c r="L2719" s="12"/>
      <c r="M2719" s="13"/>
    </row>
    <row r="2720" spans="12:13" x14ac:dyDescent="0.2">
      <c r="L2720" s="12"/>
      <c r="M2720" s="13"/>
    </row>
    <row r="2721" spans="12:13" x14ac:dyDescent="0.2">
      <c r="L2721" s="12"/>
      <c r="M2721" s="13"/>
    </row>
    <row r="2722" spans="12:13" x14ac:dyDescent="0.2">
      <c r="L2722" s="12"/>
      <c r="M2722" s="13"/>
    </row>
    <row r="2723" spans="12:13" x14ac:dyDescent="0.2">
      <c r="L2723" s="12"/>
      <c r="M2723" s="13"/>
    </row>
    <row r="2724" spans="12:13" x14ac:dyDescent="0.2">
      <c r="L2724" s="12"/>
      <c r="M2724" s="13"/>
    </row>
    <row r="2725" spans="12:13" x14ac:dyDescent="0.2">
      <c r="L2725" s="12"/>
      <c r="M2725" s="13"/>
    </row>
    <row r="2726" spans="12:13" x14ac:dyDescent="0.2">
      <c r="L2726" s="12"/>
      <c r="M2726" s="13"/>
    </row>
    <row r="2727" spans="12:13" x14ac:dyDescent="0.2">
      <c r="L2727" s="12"/>
      <c r="M2727" s="13"/>
    </row>
    <row r="2728" spans="12:13" x14ac:dyDescent="0.2">
      <c r="L2728" s="12"/>
      <c r="M2728" s="13"/>
    </row>
    <row r="2729" spans="12:13" x14ac:dyDescent="0.2">
      <c r="L2729" s="12"/>
      <c r="M2729" s="13"/>
    </row>
    <row r="2730" spans="12:13" x14ac:dyDescent="0.2">
      <c r="L2730" s="12"/>
      <c r="M2730" s="13"/>
    </row>
    <row r="2731" spans="12:13" x14ac:dyDescent="0.2">
      <c r="L2731" s="12"/>
      <c r="M2731" s="13"/>
    </row>
    <row r="2732" spans="12:13" x14ac:dyDescent="0.2">
      <c r="L2732" s="12"/>
      <c r="M2732" s="13"/>
    </row>
    <row r="2733" spans="12:13" x14ac:dyDescent="0.2">
      <c r="L2733" s="12"/>
      <c r="M2733" s="13"/>
    </row>
    <row r="2734" spans="12:13" x14ac:dyDescent="0.2">
      <c r="L2734" s="12"/>
      <c r="M2734" s="13"/>
    </row>
    <row r="2735" spans="12:13" x14ac:dyDescent="0.2">
      <c r="L2735" s="12"/>
      <c r="M2735" s="13"/>
    </row>
    <row r="2736" spans="12:13" x14ac:dyDescent="0.2">
      <c r="L2736" s="12"/>
      <c r="M2736" s="13"/>
    </row>
    <row r="2737" spans="12:13" x14ac:dyDescent="0.2">
      <c r="L2737" s="12"/>
      <c r="M2737" s="13"/>
    </row>
    <row r="2738" spans="12:13" x14ac:dyDescent="0.2">
      <c r="L2738" s="12"/>
      <c r="M2738" s="13"/>
    </row>
    <row r="2739" spans="12:13" x14ac:dyDescent="0.2">
      <c r="L2739" s="12"/>
      <c r="M2739" s="13"/>
    </row>
    <row r="2740" spans="12:13" x14ac:dyDescent="0.2">
      <c r="L2740" s="12"/>
      <c r="M2740" s="13"/>
    </row>
    <row r="2741" spans="12:13" x14ac:dyDescent="0.2">
      <c r="L2741" s="12"/>
      <c r="M2741" s="13"/>
    </row>
    <row r="2742" spans="12:13" x14ac:dyDescent="0.2">
      <c r="L2742" s="12"/>
      <c r="M2742" s="13"/>
    </row>
    <row r="2743" spans="12:13" x14ac:dyDescent="0.2">
      <c r="L2743" s="12"/>
      <c r="M2743" s="13"/>
    </row>
    <row r="2744" spans="12:13" x14ac:dyDescent="0.2">
      <c r="L2744" s="12"/>
      <c r="M2744" s="13"/>
    </row>
    <row r="2745" spans="12:13" x14ac:dyDescent="0.2">
      <c r="L2745" s="12"/>
      <c r="M2745" s="13"/>
    </row>
    <row r="2746" spans="12:13" x14ac:dyDescent="0.2">
      <c r="L2746" s="12"/>
      <c r="M2746" s="13"/>
    </row>
    <row r="2747" spans="12:13" x14ac:dyDescent="0.2">
      <c r="L2747" s="12"/>
      <c r="M2747" s="13"/>
    </row>
    <row r="2748" spans="12:13" x14ac:dyDescent="0.2">
      <c r="L2748" s="12"/>
      <c r="M2748" s="13"/>
    </row>
    <row r="2749" spans="12:13" x14ac:dyDescent="0.2">
      <c r="L2749" s="12"/>
      <c r="M2749" s="13"/>
    </row>
    <row r="2750" spans="12:13" x14ac:dyDescent="0.2">
      <c r="L2750" s="12"/>
      <c r="M2750" s="13"/>
    </row>
    <row r="2751" spans="12:13" x14ac:dyDescent="0.2">
      <c r="L2751" s="12"/>
      <c r="M2751" s="13"/>
    </row>
    <row r="2752" spans="12:13" x14ac:dyDescent="0.2">
      <c r="L2752" s="12"/>
      <c r="M2752" s="13"/>
    </row>
    <row r="2753" spans="12:13" x14ac:dyDescent="0.2">
      <c r="L2753" s="12"/>
      <c r="M2753" s="13"/>
    </row>
    <row r="2754" spans="12:13" x14ac:dyDescent="0.2">
      <c r="L2754" s="12"/>
      <c r="M2754" s="13"/>
    </row>
    <row r="2755" spans="12:13" x14ac:dyDescent="0.2">
      <c r="L2755" s="12"/>
      <c r="M2755" s="13"/>
    </row>
    <row r="2756" spans="12:13" x14ac:dyDescent="0.2">
      <c r="L2756" s="12"/>
      <c r="M2756" s="13"/>
    </row>
    <row r="2757" spans="12:13" x14ac:dyDescent="0.2">
      <c r="L2757" s="12"/>
      <c r="M2757" s="13"/>
    </row>
    <row r="2758" spans="12:13" x14ac:dyDescent="0.2">
      <c r="L2758" s="12"/>
      <c r="M2758" s="13"/>
    </row>
    <row r="2759" spans="12:13" x14ac:dyDescent="0.2">
      <c r="L2759" s="12"/>
      <c r="M2759" s="13"/>
    </row>
    <row r="2760" spans="12:13" x14ac:dyDescent="0.2">
      <c r="L2760" s="12"/>
      <c r="M2760" s="13"/>
    </row>
    <row r="2761" spans="12:13" x14ac:dyDescent="0.2">
      <c r="L2761" s="12"/>
      <c r="M2761" s="13"/>
    </row>
    <row r="2762" spans="12:13" x14ac:dyDescent="0.2">
      <c r="L2762" s="12"/>
      <c r="M2762" s="13"/>
    </row>
    <row r="2763" spans="12:13" x14ac:dyDescent="0.2">
      <c r="L2763" s="12"/>
      <c r="M2763" s="13"/>
    </row>
    <row r="2764" spans="12:13" x14ac:dyDescent="0.2">
      <c r="L2764" s="12"/>
      <c r="M2764" s="13"/>
    </row>
    <row r="2765" spans="12:13" x14ac:dyDescent="0.2">
      <c r="L2765" s="12"/>
      <c r="M2765" s="13"/>
    </row>
    <row r="2766" spans="12:13" x14ac:dyDescent="0.2">
      <c r="L2766" s="12"/>
      <c r="M2766" s="13"/>
    </row>
    <row r="2767" spans="12:13" x14ac:dyDescent="0.2">
      <c r="L2767" s="12"/>
      <c r="M2767" s="13"/>
    </row>
    <row r="2768" spans="12:13" x14ac:dyDescent="0.2">
      <c r="L2768" s="12"/>
      <c r="M2768" s="13"/>
    </row>
    <row r="2769" spans="12:13" x14ac:dyDescent="0.2">
      <c r="L2769" s="12"/>
      <c r="M2769" s="13"/>
    </row>
    <row r="2770" spans="12:13" x14ac:dyDescent="0.2">
      <c r="L2770" s="12"/>
      <c r="M2770" s="13"/>
    </row>
    <row r="2771" spans="12:13" x14ac:dyDescent="0.2">
      <c r="L2771" s="12"/>
      <c r="M2771" s="13"/>
    </row>
    <row r="2772" spans="12:13" x14ac:dyDescent="0.2">
      <c r="L2772" s="12"/>
      <c r="M2772" s="13"/>
    </row>
    <row r="2773" spans="12:13" x14ac:dyDescent="0.2">
      <c r="L2773" s="12"/>
      <c r="M2773" s="13"/>
    </row>
    <row r="2774" spans="12:13" x14ac:dyDescent="0.2">
      <c r="L2774" s="12"/>
      <c r="M2774" s="13"/>
    </row>
    <row r="2775" spans="12:13" x14ac:dyDescent="0.2">
      <c r="L2775" s="12"/>
      <c r="M2775" s="13"/>
    </row>
    <row r="2776" spans="12:13" x14ac:dyDescent="0.2">
      <c r="L2776" s="12"/>
      <c r="M2776" s="13"/>
    </row>
    <row r="2777" spans="12:13" x14ac:dyDescent="0.2">
      <c r="L2777" s="12"/>
      <c r="M2777" s="13"/>
    </row>
    <row r="2778" spans="12:13" x14ac:dyDescent="0.2">
      <c r="L2778" s="12"/>
      <c r="M2778" s="13"/>
    </row>
    <row r="2779" spans="12:13" x14ac:dyDescent="0.2">
      <c r="L2779" s="12"/>
      <c r="M2779" s="13"/>
    </row>
    <row r="2780" spans="12:13" x14ac:dyDescent="0.2">
      <c r="L2780" s="12"/>
      <c r="M2780" s="13"/>
    </row>
    <row r="2781" spans="12:13" x14ac:dyDescent="0.2">
      <c r="L2781" s="12"/>
      <c r="M2781" s="13"/>
    </row>
    <row r="2782" spans="12:13" x14ac:dyDescent="0.2">
      <c r="L2782" s="12"/>
      <c r="M2782" s="13"/>
    </row>
    <row r="2783" spans="12:13" x14ac:dyDescent="0.2">
      <c r="L2783" s="12"/>
      <c r="M2783" s="13"/>
    </row>
    <row r="2784" spans="12:13" x14ac:dyDescent="0.2">
      <c r="L2784" s="12"/>
      <c r="M2784" s="13"/>
    </row>
    <row r="2785" spans="12:13" x14ac:dyDescent="0.2">
      <c r="L2785" s="12"/>
      <c r="M2785" s="13"/>
    </row>
    <row r="2786" spans="12:13" x14ac:dyDescent="0.2">
      <c r="L2786" s="12"/>
      <c r="M2786" s="13"/>
    </row>
    <row r="2787" spans="12:13" x14ac:dyDescent="0.2">
      <c r="L2787" s="12"/>
      <c r="M2787" s="13"/>
    </row>
    <row r="2788" spans="12:13" x14ac:dyDescent="0.2">
      <c r="L2788" s="12"/>
      <c r="M2788" s="13"/>
    </row>
    <row r="2789" spans="12:13" x14ac:dyDescent="0.2">
      <c r="L2789" s="12"/>
      <c r="M2789" s="13"/>
    </row>
    <row r="2790" spans="12:13" x14ac:dyDescent="0.2">
      <c r="L2790" s="12"/>
      <c r="M2790" s="13"/>
    </row>
    <row r="2791" spans="12:13" x14ac:dyDescent="0.2">
      <c r="L2791" s="12"/>
      <c r="M2791" s="13"/>
    </row>
    <row r="2792" spans="12:13" x14ac:dyDescent="0.2">
      <c r="L2792" s="12"/>
      <c r="M2792" s="13"/>
    </row>
    <row r="2793" spans="12:13" x14ac:dyDescent="0.2">
      <c r="L2793" s="12"/>
      <c r="M2793" s="13"/>
    </row>
    <row r="2794" spans="12:13" x14ac:dyDescent="0.2">
      <c r="L2794" s="12"/>
      <c r="M2794" s="13"/>
    </row>
    <row r="2795" spans="12:13" x14ac:dyDescent="0.2">
      <c r="L2795" s="12"/>
      <c r="M2795" s="13"/>
    </row>
    <row r="2796" spans="12:13" x14ac:dyDescent="0.2">
      <c r="L2796" s="12"/>
      <c r="M2796" s="13"/>
    </row>
    <row r="2797" spans="12:13" x14ac:dyDescent="0.2">
      <c r="L2797" s="12"/>
      <c r="M2797" s="13"/>
    </row>
    <row r="2798" spans="12:13" x14ac:dyDescent="0.2">
      <c r="L2798" s="12"/>
      <c r="M2798" s="13"/>
    </row>
    <row r="2799" spans="12:13" x14ac:dyDescent="0.2">
      <c r="L2799" s="12"/>
      <c r="M2799" s="13"/>
    </row>
    <row r="2800" spans="12:13" x14ac:dyDescent="0.2">
      <c r="L2800" s="12"/>
      <c r="M2800" s="13"/>
    </row>
    <row r="2801" spans="12:13" x14ac:dyDescent="0.2">
      <c r="L2801" s="12"/>
      <c r="M2801" s="13"/>
    </row>
    <row r="2802" spans="12:13" x14ac:dyDescent="0.2">
      <c r="L2802" s="12"/>
      <c r="M2802" s="13"/>
    </row>
    <row r="2803" spans="12:13" x14ac:dyDescent="0.2">
      <c r="L2803" s="12"/>
      <c r="M2803" s="13"/>
    </row>
    <row r="2804" spans="12:13" x14ac:dyDescent="0.2">
      <c r="L2804" s="12"/>
      <c r="M2804" s="13"/>
    </row>
    <row r="2805" spans="12:13" x14ac:dyDescent="0.2">
      <c r="L2805" s="12"/>
      <c r="M2805" s="13"/>
    </row>
    <row r="2806" spans="12:13" x14ac:dyDescent="0.2">
      <c r="L2806" s="12"/>
      <c r="M2806" s="13"/>
    </row>
    <row r="2807" spans="12:13" x14ac:dyDescent="0.2">
      <c r="L2807" s="12"/>
      <c r="M2807" s="13"/>
    </row>
    <row r="2808" spans="12:13" x14ac:dyDescent="0.2">
      <c r="L2808" s="12"/>
      <c r="M2808" s="13"/>
    </row>
    <row r="2809" spans="12:13" x14ac:dyDescent="0.2">
      <c r="L2809" s="12"/>
      <c r="M2809" s="13"/>
    </row>
    <row r="2810" spans="12:13" x14ac:dyDescent="0.2">
      <c r="L2810" s="12"/>
      <c r="M2810" s="13"/>
    </row>
    <row r="2811" spans="12:13" x14ac:dyDescent="0.2">
      <c r="L2811" s="12"/>
      <c r="M2811" s="13"/>
    </row>
    <row r="2812" spans="12:13" x14ac:dyDescent="0.2">
      <c r="L2812" s="12"/>
      <c r="M2812" s="13"/>
    </row>
    <row r="2813" spans="12:13" x14ac:dyDescent="0.2">
      <c r="L2813" s="12"/>
      <c r="M2813" s="13"/>
    </row>
    <row r="2814" spans="12:13" x14ac:dyDescent="0.2">
      <c r="L2814" s="12"/>
      <c r="M2814" s="13"/>
    </row>
    <row r="2815" spans="12:13" x14ac:dyDescent="0.2">
      <c r="L2815" s="12"/>
      <c r="M2815" s="13"/>
    </row>
    <row r="2816" spans="12:13" x14ac:dyDescent="0.2">
      <c r="L2816" s="12"/>
      <c r="M2816" s="13"/>
    </row>
    <row r="2817" spans="12:13" x14ac:dyDescent="0.2">
      <c r="L2817" s="12"/>
      <c r="M2817" s="13"/>
    </row>
    <row r="2818" spans="12:13" x14ac:dyDescent="0.2">
      <c r="L2818" s="17"/>
      <c r="M2818" s="18"/>
    </row>
    <row r="2819" spans="12:13" x14ac:dyDescent="0.2">
      <c r="L2819" s="12"/>
      <c r="M2819" s="13"/>
    </row>
    <row r="2820" spans="12:13" x14ac:dyDescent="0.2">
      <c r="L2820" s="12"/>
      <c r="M2820" s="13"/>
    </row>
    <row r="2821" spans="12:13" x14ac:dyDescent="0.2">
      <c r="L2821" s="12"/>
      <c r="M2821" s="13"/>
    </row>
    <row r="2822" spans="12:13" x14ac:dyDescent="0.2">
      <c r="L2822" s="12"/>
      <c r="M2822" s="13"/>
    </row>
    <row r="2823" spans="12:13" x14ac:dyDescent="0.2">
      <c r="L2823" s="12"/>
      <c r="M2823" s="13"/>
    </row>
    <row r="2824" spans="12:13" x14ac:dyDescent="0.2">
      <c r="L2824" s="12"/>
      <c r="M2824" s="13"/>
    </row>
    <row r="2825" spans="12:13" x14ac:dyDescent="0.2">
      <c r="L2825" s="12"/>
      <c r="M2825" s="13"/>
    </row>
    <row r="2826" spans="12:13" x14ac:dyDescent="0.2">
      <c r="L2826" s="12"/>
      <c r="M2826" s="13"/>
    </row>
    <row r="2827" spans="12:13" x14ac:dyDescent="0.2">
      <c r="L2827" s="12"/>
      <c r="M2827" s="13"/>
    </row>
    <row r="2828" spans="12:13" x14ac:dyDescent="0.2">
      <c r="L2828" s="12"/>
      <c r="M2828" s="13"/>
    </row>
    <row r="2829" spans="12:13" x14ac:dyDescent="0.2">
      <c r="L2829" s="12"/>
      <c r="M2829" s="13"/>
    </row>
    <row r="2830" spans="12:13" x14ac:dyDescent="0.2">
      <c r="L2830" s="12"/>
      <c r="M2830" s="13"/>
    </row>
    <row r="2831" spans="12:13" x14ac:dyDescent="0.2">
      <c r="L2831" s="12"/>
      <c r="M2831" s="13"/>
    </row>
    <row r="2832" spans="12:13" x14ac:dyDescent="0.2">
      <c r="L2832" s="12"/>
      <c r="M2832" s="13"/>
    </row>
    <row r="2833" spans="12:13" x14ac:dyDescent="0.2">
      <c r="L2833" s="12"/>
      <c r="M2833" s="13"/>
    </row>
    <row r="2834" spans="12:13" x14ac:dyDescent="0.2">
      <c r="L2834" s="12"/>
      <c r="M2834" s="13"/>
    </row>
    <row r="2835" spans="12:13" x14ac:dyDescent="0.2">
      <c r="L2835" s="12"/>
      <c r="M2835" s="13"/>
    </row>
    <row r="2836" spans="12:13" x14ac:dyDescent="0.2">
      <c r="L2836" s="12"/>
      <c r="M2836" s="13"/>
    </row>
    <row r="2837" spans="12:13" x14ac:dyDescent="0.2">
      <c r="L2837" s="12"/>
      <c r="M2837" s="13"/>
    </row>
    <row r="2838" spans="12:13" x14ac:dyDescent="0.2">
      <c r="L2838" s="12"/>
      <c r="M2838" s="13"/>
    </row>
    <row r="2839" spans="12:13" x14ac:dyDescent="0.2">
      <c r="L2839" s="12"/>
      <c r="M2839" s="13"/>
    </row>
    <row r="2840" spans="12:13" x14ac:dyDescent="0.2">
      <c r="L2840" s="12"/>
      <c r="M2840" s="13"/>
    </row>
    <row r="2841" spans="12:13" x14ac:dyDescent="0.2">
      <c r="L2841" s="12"/>
      <c r="M2841" s="13"/>
    </row>
    <row r="2842" spans="12:13" x14ac:dyDescent="0.2">
      <c r="L2842" s="12"/>
      <c r="M2842" s="13"/>
    </row>
    <row r="2843" spans="12:13" x14ac:dyDescent="0.2">
      <c r="L2843" s="12"/>
      <c r="M2843" s="13"/>
    </row>
    <row r="2844" spans="12:13" x14ac:dyDescent="0.2">
      <c r="L2844" s="12"/>
      <c r="M2844" s="13"/>
    </row>
    <row r="2845" spans="12:13" x14ac:dyDescent="0.2">
      <c r="L2845" s="12"/>
      <c r="M2845" s="13"/>
    </row>
    <row r="2846" spans="12:13" x14ac:dyDescent="0.2">
      <c r="L2846" s="12"/>
      <c r="M2846" s="13"/>
    </row>
    <row r="2847" spans="12:13" x14ac:dyDescent="0.2">
      <c r="L2847" s="12"/>
      <c r="M2847" s="13"/>
    </row>
    <row r="2848" spans="12:13" x14ac:dyDescent="0.2">
      <c r="L2848" s="12"/>
      <c r="M2848" s="13"/>
    </row>
    <row r="2849" spans="12:13" x14ac:dyDescent="0.2">
      <c r="L2849" s="12"/>
      <c r="M2849" s="13"/>
    </row>
    <row r="2850" spans="12:13" x14ac:dyDescent="0.2">
      <c r="L2850" s="12"/>
      <c r="M2850" s="13"/>
    </row>
    <row r="2851" spans="12:13" x14ac:dyDescent="0.2">
      <c r="L2851" s="12"/>
      <c r="M2851" s="13"/>
    </row>
    <row r="2852" spans="12:13" x14ac:dyDescent="0.2">
      <c r="L2852" s="12"/>
      <c r="M2852" s="13"/>
    </row>
    <row r="2853" spans="12:13" x14ac:dyDescent="0.2">
      <c r="L2853" s="12"/>
      <c r="M2853" s="13"/>
    </row>
    <row r="2854" spans="12:13" x14ac:dyDescent="0.2">
      <c r="L2854" s="12"/>
      <c r="M2854" s="13"/>
    </row>
    <row r="2855" spans="12:13" x14ac:dyDescent="0.2">
      <c r="L2855" s="12"/>
      <c r="M2855" s="13"/>
    </row>
    <row r="2856" spans="12:13" x14ac:dyDescent="0.2">
      <c r="L2856" s="12"/>
      <c r="M2856" s="13"/>
    </row>
    <row r="2857" spans="12:13" x14ac:dyDescent="0.2">
      <c r="L2857" s="12"/>
      <c r="M2857" s="13"/>
    </row>
    <row r="2858" spans="12:13" x14ac:dyDescent="0.2">
      <c r="L2858" s="12"/>
      <c r="M2858" s="13"/>
    </row>
    <row r="2859" spans="12:13" x14ac:dyDescent="0.2">
      <c r="L2859" s="12"/>
      <c r="M2859" s="13"/>
    </row>
    <row r="2860" spans="12:13" x14ac:dyDescent="0.2">
      <c r="L2860" s="12"/>
      <c r="M2860" s="13"/>
    </row>
    <row r="2861" spans="12:13" x14ac:dyDescent="0.2">
      <c r="L2861" s="12"/>
      <c r="M2861" s="13"/>
    </row>
    <row r="2862" spans="12:13" x14ac:dyDescent="0.2">
      <c r="L2862" s="12"/>
      <c r="M2862" s="13"/>
    </row>
    <row r="2863" spans="12:13" x14ac:dyDescent="0.2">
      <c r="L2863" s="12"/>
      <c r="M2863" s="13"/>
    </row>
    <row r="2864" spans="12:13" x14ac:dyDescent="0.2">
      <c r="L2864" s="12"/>
      <c r="M2864" s="13"/>
    </row>
    <row r="2865" spans="12:13" x14ac:dyDescent="0.2">
      <c r="L2865" s="12"/>
      <c r="M2865" s="13"/>
    </row>
    <row r="2866" spans="12:13" x14ac:dyDescent="0.2">
      <c r="L2866" s="12"/>
      <c r="M2866" s="13"/>
    </row>
    <row r="2867" spans="12:13" x14ac:dyDescent="0.2">
      <c r="L2867" s="12"/>
      <c r="M2867" s="13"/>
    </row>
    <row r="2868" spans="12:13" x14ac:dyDescent="0.2">
      <c r="L2868" s="12"/>
      <c r="M2868" s="13"/>
    </row>
    <row r="2869" spans="12:13" x14ac:dyDescent="0.2">
      <c r="L2869" s="12"/>
      <c r="M2869" s="13"/>
    </row>
    <row r="2870" spans="12:13" x14ac:dyDescent="0.2">
      <c r="L2870" s="12"/>
      <c r="M2870" s="13"/>
    </row>
    <row r="2871" spans="12:13" x14ac:dyDescent="0.2">
      <c r="L2871" s="12"/>
      <c r="M2871" s="13"/>
    </row>
    <row r="2872" spans="12:13" x14ac:dyDescent="0.2">
      <c r="L2872" s="12"/>
      <c r="M2872" s="13"/>
    </row>
    <row r="2873" spans="12:13" x14ac:dyDescent="0.2">
      <c r="L2873" s="12"/>
      <c r="M2873" s="13"/>
    </row>
    <row r="2874" spans="12:13" x14ac:dyDescent="0.2">
      <c r="L2874" s="12"/>
      <c r="M2874" s="13"/>
    </row>
    <row r="2875" spans="12:13" x14ac:dyDescent="0.2">
      <c r="L2875" s="12"/>
      <c r="M2875" s="13"/>
    </row>
    <row r="2876" spans="12:13" x14ac:dyDescent="0.2">
      <c r="L2876" s="12"/>
      <c r="M2876" s="13"/>
    </row>
    <row r="2877" spans="12:13" x14ac:dyDescent="0.2">
      <c r="L2877" s="12"/>
      <c r="M2877" s="13"/>
    </row>
    <row r="2878" spans="12:13" x14ac:dyDescent="0.2">
      <c r="L2878" s="12"/>
      <c r="M2878" s="13"/>
    </row>
    <row r="2879" spans="12:13" x14ac:dyDescent="0.2">
      <c r="L2879" s="12"/>
      <c r="M2879" s="13"/>
    </row>
    <row r="2880" spans="12:13" x14ac:dyDescent="0.2">
      <c r="L2880" s="12"/>
      <c r="M2880" s="13"/>
    </row>
    <row r="2881" spans="12:13" x14ac:dyDescent="0.2">
      <c r="L2881" s="12"/>
      <c r="M2881" s="13"/>
    </row>
    <row r="2882" spans="12:13" x14ac:dyDescent="0.2">
      <c r="L2882" s="12"/>
      <c r="M2882" s="13"/>
    </row>
    <row r="2883" spans="12:13" x14ac:dyDescent="0.2">
      <c r="L2883" s="12"/>
      <c r="M2883" s="13"/>
    </row>
    <row r="2884" spans="12:13" x14ac:dyDescent="0.2">
      <c r="L2884" s="12"/>
      <c r="M2884" s="13"/>
    </row>
    <row r="2885" spans="12:13" x14ac:dyDescent="0.2">
      <c r="L2885" s="12"/>
      <c r="M2885" s="13"/>
    </row>
    <row r="2886" spans="12:13" x14ac:dyDescent="0.2">
      <c r="L2886" s="12"/>
      <c r="M2886" s="13"/>
    </row>
    <row r="2887" spans="12:13" x14ac:dyDescent="0.2">
      <c r="L2887" s="12"/>
      <c r="M2887" s="13"/>
    </row>
    <row r="2888" spans="12:13" x14ac:dyDescent="0.2">
      <c r="L2888" s="12"/>
      <c r="M2888" s="13"/>
    </row>
    <row r="2889" spans="12:13" x14ac:dyDescent="0.2">
      <c r="L2889" s="12"/>
      <c r="M2889" s="13"/>
    </row>
    <row r="2890" spans="12:13" x14ac:dyDescent="0.2">
      <c r="L2890" s="12"/>
      <c r="M2890" s="13"/>
    </row>
    <row r="2891" spans="12:13" x14ac:dyDescent="0.2">
      <c r="L2891" s="12"/>
      <c r="M2891" s="13"/>
    </row>
    <row r="2892" spans="12:13" x14ac:dyDescent="0.2">
      <c r="L2892" s="12"/>
      <c r="M2892" s="13"/>
    </row>
    <row r="2893" spans="12:13" x14ac:dyDescent="0.2">
      <c r="L2893" s="12"/>
      <c r="M2893" s="13"/>
    </row>
    <row r="2894" spans="12:13" x14ac:dyDescent="0.2">
      <c r="L2894" s="12"/>
      <c r="M2894" s="13"/>
    </row>
    <row r="2895" spans="12:13" x14ac:dyDescent="0.2">
      <c r="L2895" s="12"/>
      <c r="M2895" s="13"/>
    </row>
    <row r="2896" spans="12:13" x14ac:dyDescent="0.2">
      <c r="L2896" s="12"/>
      <c r="M2896" s="13"/>
    </row>
    <row r="2897" spans="12:13" x14ac:dyDescent="0.2">
      <c r="L2897" s="12"/>
      <c r="M2897" s="13"/>
    </row>
    <row r="2898" spans="12:13" x14ac:dyDescent="0.2">
      <c r="L2898" s="12"/>
      <c r="M2898" s="13"/>
    </row>
    <row r="2899" spans="12:13" x14ac:dyDescent="0.2">
      <c r="L2899" s="12"/>
      <c r="M2899" s="13"/>
    </row>
    <row r="2900" spans="12:13" x14ac:dyDescent="0.2">
      <c r="L2900" s="12"/>
      <c r="M2900" s="13"/>
    </row>
    <row r="2901" spans="12:13" x14ac:dyDescent="0.2">
      <c r="L2901" s="12"/>
      <c r="M2901" s="13"/>
    </row>
    <row r="2902" spans="12:13" x14ac:dyDescent="0.2">
      <c r="L2902" s="12"/>
      <c r="M2902" s="13"/>
    </row>
    <row r="2903" spans="12:13" x14ac:dyDescent="0.2">
      <c r="L2903" s="12"/>
      <c r="M2903" s="13"/>
    </row>
    <row r="2904" spans="12:13" x14ac:dyDescent="0.2">
      <c r="L2904" s="12"/>
      <c r="M2904" s="13"/>
    </row>
    <row r="2905" spans="12:13" x14ac:dyDescent="0.2">
      <c r="L2905" s="12"/>
      <c r="M2905" s="13"/>
    </row>
    <row r="2906" spans="12:13" x14ac:dyDescent="0.2">
      <c r="L2906" s="12"/>
      <c r="M2906" s="13"/>
    </row>
    <row r="2907" spans="12:13" x14ac:dyDescent="0.2">
      <c r="L2907" s="12"/>
      <c r="M2907" s="13"/>
    </row>
    <row r="2908" spans="12:13" x14ac:dyDescent="0.2">
      <c r="L2908" s="12"/>
      <c r="M2908" s="13"/>
    </row>
    <row r="2909" spans="12:13" x14ac:dyDescent="0.2">
      <c r="L2909" s="12"/>
      <c r="M2909" s="13"/>
    </row>
    <row r="2910" spans="12:13" x14ac:dyDescent="0.2">
      <c r="L2910" s="12"/>
      <c r="M2910" s="13"/>
    </row>
    <row r="2911" spans="12:13" x14ac:dyDescent="0.2">
      <c r="L2911" s="12"/>
      <c r="M2911" s="13"/>
    </row>
    <row r="2912" spans="12:13" x14ac:dyDescent="0.2">
      <c r="L2912" s="12"/>
      <c r="M2912" s="13"/>
    </row>
    <row r="2913" spans="12:13" x14ac:dyDescent="0.2">
      <c r="L2913" s="12"/>
      <c r="M2913" s="13"/>
    </row>
    <row r="2914" spans="12:13" x14ac:dyDescent="0.2">
      <c r="L2914" s="12"/>
      <c r="M2914" s="13"/>
    </row>
    <row r="2915" spans="12:13" x14ac:dyDescent="0.2">
      <c r="L2915" s="12"/>
      <c r="M2915" s="13"/>
    </row>
    <row r="2916" spans="12:13" x14ac:dyDescent="0.2">
      <c r="L2916" s="12"/>
      <c r="M2916" s="13"/>
    </row>
    <row r="2917" spans="12:13" x14ac:dyDescent="0.2">
      <c r="L2917" s="12"/>
      <c r="M2917" s="13"/>
    </row>
    <row r="2918" spans="12:13" x14ac:dyDescent="0.2">
      <c r="L2918" s="12"/>
      <c r="M2918" s="13"/>
    </row>
    <row r="2919" spans="12:13" x14ac:dyDescent="0.2">
      <c r="L2919" s="12"/>
      <c r="M2919" s="13"/>
    </row>
    <row r="2920" spans="12:13" x14ac:dyDescent="0.2">
      <c r="L2920" s="12"/>
      <c r="M2920" s="13"/>
    </row>
    <row r="2921" spans="12:13" x14ac:dyDescent="0.2">
      <c r="L2921" s="12"/>
      <c r="M2921" s="13"/>
    </row>
    <row r="2922" spans="12:13" x14ac:dyDescent="0.2">
      <c r="L2922" s="12"/>
      <c r="M2922" s="13"/>
    </row>
    <row r="2923" spans="12:13" x14ac:dyDescent="0.2">
      <c r="L2923" s="12"/>
      <c r="M2923" s="13"/>
    </row>
    <row r="2924" spans="12:13" x14ac:dyDescent="0.2">
      <c r="L2924" s="12"/>
      <c r="M2924" s="13"/>
    </row>
    <row r="2925" spans="12:13" x14ac:dyDescent="0.2">
      <c r="L2925" s="12"/>
      <c r="M2925" s="13"/>
    </row>
    <row r="2926" spans="12:13" x14ac:dyDescent="0.2">
      <c r="L2926" s="12"/>
      <c r="M2926" s="13"/>
    </row>
    <row r="2927" spans="12:13" x14ac:dyDescent="0.2">
      <c r="L2927" s="12"/>
      <c r="M2927" s="13"/>
    </row>
    <row r="2928" spans="12:13" x14ac:dyDescent="0.2">
      <c r="L2928" s="12"/>
      <c r="M2928" s="13"/>
    </row>
    <row r="2929" spans="12:13" x14ac:dyDescent="0.2">
      <c r="L2929" s="12"/>
      <c r="M2929" s="13"/>
    </row>
    <row r="2930" spans="12:13" x14ac:dyDescent="0.2">
      <c r="L2930" s="12"/>
      <c r="M2930" s="13"/>
    </row>
    <row r="2931" spans="12:13" x14ac:dyDescent="0.2">
      <c r="L2931" s="12"/>
      <c r="M2931" s="13"/>
    </row>
    <row r="2932" spans="12:13" x14ac:dyDescent="0.2">
      <c r="L2932" s="12"/>
      <c r="M2932" s="13"/>
    </row>
    <row r="2933" spans="12:13" x14ac:dyDescent="0.2">
      <c r="L2933" s="12"/>
      <c r="M2933" s="13"/>
    </row>
    <row r="2934" spans="12:13" x14ac:dyDescent="0.2">
      <c r="L2934" s="12"/>
      <c r="M2934" s="13"/>
    </row>
    <row r="2935" spans="12:13" x14ac:dyDescent="0.2">
      <c r="L2935" s="12"/>
      <c r="M2935" s="13"/>
    </row>
    <row r="2936" spans="12:13" x14ac:dyDescent="0.2">
      <c r="L2936" s="12"/>
      <c r="M2936" s="13"/>
    </row>
    <row r="2937" spans="12:13" x14ac:dyDescent="0.2">
      <c r="L2937" s="12"/>
      <c r="M2937" s="13"/>
    </row>
    <row r="2938" spans="12:13" x14ac:dyDescent="0.2">
      <c r="L2938" s="12"/>
      <c r="M2938" s="13"/>
    </row>
    <row r="2939" spans="12:13" x14ac:dyDescent="0.2">
      <c r="L2939" s="12"/>
      <c r="M2939" s="13"/>
    </row>
    <row r="2940" spans="12:13" x14ac:dyDescent="0.2">
      <c r="L2940" s="12"/>
      <c r="M2940" s="13"/>
    </row>
    <row r="2941" spans="12:13" x14ac:dyDescent="0.2">
      <c r="L2941" s="12"/>
      <c r="M2941" s="13"/>
    </row>
    <row r="2942" spans="12:13" x14ac:dyDescent="0.2">
      <c r="L2942" s="12"/>
      <c r="M2942" s="13"/>
    </row>
    <row r="2943" spans="12:13" x14ac:dyDescent="0.2">
      <c r="L2943" s="12"/>
      <c r="M2943" s="13"/>
    </row>
    <row r="2944" spans="12:13" x14ac:dyDescent="0.2">
      <c r="L2944" s="12"/>
      <c r="M2944" s="13"/>
    </row>
    <row r="2945" spans="12:13" x14ac:dyDescent="0.2">
      <c r="L2945" s="12"/>
      <c r="M2945" s="13"/>
    </row>
    <row r="2946" spans="12:13" x14ac:dyDescent="0.2">
      <c r="L2946" s="12"/>
      <c r="M2946" s="13"/>
    </row>
    <row r="2947" spans="12:13" x14ac:dyDescent="0.2">
      <c r="L2947" s="12"/>
      <c r="M2947" s="13"/>
    </row>
    <row r="2948" spans="12:13" x14ac:dyDescent="0.2">
      <c r="L2948" s="12"/>
      <c r="M2948" s="13"/>
    </row>
    <row r="2949" spans="12:13" x14ac:dyDescent="0.2">
      <c r="L2949" s="12"/>
      <c r="M2949" s="13"/>
    </row>
    <row r="2950" spans="12:13" x14ac:dyDescent="0.2">
      <c r="L2950" s="12"/>
      <c r="M2950" s="13"/>
    </row>
    <row r="2951" spans="12:13" x14ac:dyDescent="0.2">
      <c r="L2951" s="12"/>
      <c r="M2951" s="13"/>
    </row>
    <row r="2952" spans="12:13" x14ac:dyDescent="0.2">
      <c r="L2952" s="12"/>
      <c r="M2952" s="13"/>
    </row>
    <row r="2953" spans="12:13" x14ac:dyDescent="0.2">
      <c r="L2953" s="12"/>
      <c r="M2953" s="13"/>
    </row>
    <row r="2954" spans="12:13" x14ac:dyDescent="0.2">
      <c r="L2954" s="12"/>
      <c r="M2954" s="13"/>
    </row>
    <row r="2955" spans="12:13" x14ac:dyDescent="0.2">
      <c r="L2955" s="12"/>
      <c r="M2955" s="13"/>
    </row>
    <row r="2956" spans="12:13" x14ac:dyDescent="0.2">
      <c r="L2956" s="12"/>
      <c r="M2956" s="13"/>
    </row>
    <row r="2957" spans="12:13" x14ac:dyDescent="0.2">
      <c r="L2957" s="12"/>
      <c r="M2957" s="13"/>
    </row>
    <row r="2958" spans="12:13" x14ac:dyDescent="0.2">
      <c r="L2958" s="12"/>
      <c r="M2958" s="13"/>
    </row>
    <row r="2959" spans="12:13" x14ac:dyDescent="0.2">
      <c r="L2959" s="12"/>
      <c r="M2959" s="13"/>
    </row>
    <row r="2960" spans="12:13" x14ac:dyDescent="0.2">
      <c r="L2960" s="12"/>
      <c r="M2960" s="13"/>
    </row>
    <row r="2961" spans="12:13" x14ac:dyDescent="0.2">
      <c r="L2961" s="12"/>
      <c r="M2961" s="13"/>
    </row>
    <row r="2962" spans="12:13" x14ac:dyDescent="0.2">
      <c r="L2962" s="12"/>
      <c r="M2962" s="13"/>
    </row>
    <row r="2963" spans="12:13" x14ac:dyDescent="0.2">
      <c r="L2963" s="12"/>
      <c r="M2963" s="13"/>
    </row>
    <row r="2964" spans="12:13" x14ac:dyDescent="0.2">
      <c r="L2964" s="12"/>
      <c r="M2964" s="13"/>
    </row>
    <row r="2965" spans="12:13" x14ac:dyDescent="0.2">
      <c r="L2965" s="12"/>
      <c r="M2965" s="13"/>
    </row>
    <row r="2966" spans="12:13" x14ac:dyDescent="0.2">
      <c r="L2966" s="12"/>
      <c r="M2966" s="13"/>
    </row>
    <row r="2967" spans="12:13" x14ac:dyDescent="0.2">
      <c r="L2967" s="12"/>
      <c r="M2967" s="13"/>
    </row>
    <row r="2968" spans="12:13" x14ac:dyDescent="0.2">
      <c r="L2968" s="12"/>
      <c r="M2968" s="13"/>
    </row>
    <row r="2969" spans="12:13" x14ac:dyDescent="0.2">
      <c r="L2969" s="12"/>
      <c r="M2969" s="13"/>
    </row>
    <row r="2970" spans="12:13" x14ac:dyDescent="0.2">
      <c r="L2970" s="12"/>
      <c r="M2970" s="13"/>
    </row>
    <row r="2971" spans="12:13" x14ac:dyDescent="0.2">
      <c r="L2971" s="12"/>
      <c r="M2971" s="13"/>
    </row>
    <row r="2972" spans="12:13" x14ac:dyDescent="0.2">
      <c r="L2972" s="12"/>
      <c r="M2972" s="13"/>
    </row>
    <row r="2973" spans="12:13" x14ac:dyDescent="0.2">
      <c r="L2973" s="12"/>
      <c r="M2973" s="13"/>
    </row>
    <row r="2974" spans="12:13" x14ac:dyDescent="0.2">
      <c r="L2974" s="12"/>
      <c r="M2974" s="13"/>
    </row>
    <row r="2975" spans="12:13" x14ac:dyDescent="0.2">
      <c r="L2975" s="12"/>
      <c r="M2975" s="13"/>
    </row>
    <row r="2976" spans="12:13" x14ac:dyDescent="0.2">
      <c r="L2976" s="12"/>
      <c r="M2976" s="13"/>
    </row>
    <row r="2977" spans="12:13" x14ac:dyDescent="0.2">
      <c r="L2977" s="12"/>
      <c r="M2977" s="13"/>
    </row>
    <row r="2978" spans="12:13" x14ac:dyDescent="0.2">
      <c r="L2978" s="12"/>
      <c r="M2978" s="13"/>
    </row>
    <row r="2979" spans="12:13" x14ac:dyDescent="0.2">
      <c r="L2979" s="12"/>
      <c r="M2979" s="13"/>
    </row>
    <row r="2980" spans="12:13" x14ac:dyDescent="0.2">
      <c r="L2980" s="12"/>
      <c r="M2980" s="13"/>
    </row>
    <row r="2981" spans="12:13" x14ac:dyDescent="0.2">
      <c r="L2981" s="12"/>
      <c r="M2981" s="13"/>
    </row>
    <row r="2982" spans="12:13" x14ac:dyDescent="0.2">
      <c r="L2982" s="12"/>
      <c r="M2982" s="13"/>
    </row>
    <row r="2983" spans="12:13" x14ac:dyDescent="0.2">
      <c r="L2983" s="12"/>
      <c r="M2983" s="13"/>
    </row>
    <row r="2984" spans="12:13" x14ac:dyDescent="0.2">
      <c r="L2984" s="12"/>
      <c r="M2984" s="13"/>
    </row>
    <row r="2985" spans="12:13" x14ac:dyDescent="0.2">
      <c r="L2985" s="12"/>
      <c r="M2985" s="13"/>
    </row>
    <row r="2986" spans="12:13" x14ac:dyDescent="0.2">
      <c r="L2986" s="12"/>
      <c r="M2986" s="13"/>
    </row>
    <row r="2987" spans="12:13" x14ac:dyDescent="0.2">
      <c r="L2987" s="12"/>
      <c r="M2987" s="13"/>
    </row>
    <row r="2988" spans="12:13" x14ac:dyDescent="0.2">
      <c r="L2988" s="12"/>
      <c r="M2988" s="13"/>
    </row>
    <row r="2989" spans="12:13" x14ac:dyDescent="0.2">
      <c r="L2989" s="12"/>
      <c r="M2989" s="13"/>
    </row>
    <row r="2990" spans="12:13" x14ac:dyDescent="0.2">
      <c r="L2990" s="12"/>
      <c r="M2990" s="13"/>
    </row>
    <row r="2991" spans="12:13" x14ac:dyDescent="0.2">
      <c r="L2991" s="12"/>
      <c r="M2991" s="13"/>
    </row>
    <row r="2992" spans="12:13" x14ac:dyDescent="0.2">
      <c r="L2992" s="12"/>
      <c r="M2992" s="13"/>
    </row>
    <row r="2993" spans="12:13" x14ac:dyDescent="0.2">
      <c r="L2993" s="12"/>
      <c r="M2993" s="13"/>
    </row>
    <row r="2994" spans="12:13" x14ac:dyDescent="0.2">
      <c r="L2994" s="12"/>
      <c r="M2994" s="13"/>
    </row>
    <row r="2995" spans="12:13" x14ac:dyDescent="0.2">
      <c r="L2995" s="12"/>
      <c r="M2995" s="13"/>
    </row>
    <row r="2996" spans="12:13" x14ac:dyDescent="0.2">
      <c r="L2996" s="12"/>
      <c r="M2996" s="13"/>
    </row>
    <row r="2997" spans="12:13" x14ac:dyDescent="0.2">
      <c r="L2997" s="12"/>
      <c r="M2997" s="13"/>
    </row>
    <row r="2998" spans="12:13" x14ac:dyDescent="0.2">
      <c r="L2998" s="12"/>
      <c r="M2998" s="13"/>
    </row>
    <row r="2999" spans="12:13" x14ac:dyDescent="0.2">
      <c r="L2999" s="12"/>
      <c r="M2999" s="13"/>
    </row>
    <row r="3000" spans="12:13" x14ac:dyDescent="0.2">
      <c r="L3000" s="12"/>
      <c r="M3000" s="13"/>
    </row>
    <row r="3001" spans="12:13" x14ac:dyDescent="0.2">
      <c r="L3001" s="12"/>
      <c r="M3001" s="13"/>
    </row>
    <row r="3002" spans="12:13" x14ac:dyDescent="0.2">
      <c r="L3002" s="12"/>
      <c r="M3002" s="13"/>
    </row>
    <row r="3003" spans="12:13" x14ac:dyDescent="0.2">
      <c r="L3003" s="12"/>
      <c r="M3003" s="13"/>
    </row>
    <row r="3004" spans="12:13" x14ac:dyDescent="0.2">
      <c r="L3004" s="12"/>
      <c r="M3004" s="13"/>
    </row>
    <row r="3005" spans="12:13" x14ac:dyDescent="0.2">
      <c r="L3005" s="12"/>
      <c r="M3005" s="13"/>
    </row>
    <row r="3006" spans="12:13" x14ac:dyDescent="0.2">
      <c r="L3006" s="12"/>
      <c r="M3006" s="13"/>
    </row>
    <row r="3007" spans="12:13" x14ac:dyDescent="0.2">
      <c r="L3007" s="12"/>
      <c r="M3007" s="13"/>
    </row>
    <row r="3008" spans="12:13" x14ac:dyDescent="0.2">
      <c r="L3008" s="12"/>
      <c r="M3008" s="13"/>
    </row>
    <row r="3009" spans="12:13" x14ac:dyDescent="0.2">
      <c r="L3009" s="12"/>
      <c r="M3009" s="13"/>
    </row>
    <row r="3010" spans="12:13" x14ac:dyDescent="0.2">
      <c r="L3010" s="12"/>
      <c r="M3010" s="13"/>
    </row>
    <row r="3011" spans="12:13" x14ac:dyDescent="0.2">
      <c r="L3011" s="12"/>
      <c r="M3011" s="13"/>
    </row>
    <row r="3012" spans="12:13" x14ac:dyDescent="0.2">
      <c r="L3012" s="12"/>
      <c r="M3012" s="13"/>
    </row>
    <row r="3013" spans="12:13" x14ac:dyDescent="0.2">
      <c r="L3013" s="12"/>
      <c r="M3013" s="13"/>
    </row>
    <row r="3014" spans="12:13" x14ac:dyDescent="0.2">
      <c r="L3014" s="12"/>
      <c r="M3014" s="13"/>
    </row>
    <row r="3015" spans="12:13" x14ac:dyDescent="0.2">
      <c r="L3015" s="12"/>
      <c r="M3015" s="13"/>
    </row>
    <row r="3016" spans="12:13" x14ac:dyDescent="0.2">
      <c r="L3016" s="12"/>
      <c r="M3016" s="13"/>
    </row>
    <row r="3017" spans="12:13" x14ac:dyDescent="0.2">
      <c r="L3017" s="12"/>
      <c r="M3017" s="13"/>
    </row>
    <row r="3018" spans="12:13" x14ac:dyDescent="0.2">
      <c r="L3018" s="12"/>
      <c r="M3018" s="13"/>
    </row>
    <row r="3019" spans="12:13" x14ac:dyDescent="0.2">
      <c r="L3019" s="12"/>
      <c r="M3019" s="13"/>
    </row>
    <row r="3020" spans="12:13" x14ac:dyDescent="0.2">
      <c r="L3020" s="12"/>
      <c r="M3020" s="13"/>
    </row>
    <row r="3021" spans="12:13" x14ac:dyDescent="0.2">
      <c r="L3021" s="12"/>
      <c r="M3021" s="13"/>
    </row>
    <row r="3022" spans="12:13" x14ac:dyDescent="0.2">
      <c r="L3022" s="12"/>
      <c r="M3022" s="13"/>
    </row>
    <row r="3023" spans="12:13" x14ac:dyDescent="0.2">
      <c r="L3023" s="12"/>
      <c r="M3023" s="13"/>
    </row>
    <row r="3024" spans="12:13" x14ac:dyDescent="0.2">
      <c r="L3024" s="12"/>
      <c r="M3024" s="13"/>
    </row>
    <row r="3025" spans="12:13" x14ac:dyDescent="0.2">
      <c r="L3025" s="12"/>
      <c r="M3025" s="13"/>
    </row>
    <row r="3026" spans="12:13" x14ac:dyDescent="0.2">
      <c r="L3026" s="12"/>
      <c r="M3026" s="13"/>
    </row>
    <row r="3027" spans="12:13" x14ac:dyDescent="0.2">
      <c r="L3027" s="12"/>
      <c r="M3027" s="13"/>
    </row>
    <row r="3028" spans="12:13" x14ac:dyDescent="0.2">
      <c r="L3028" s="12"/>
      <c r="M3028" s="13"/>
    </row>
    <row r="3029" spans="12:13" x14ac:dyDescent="0.2">
      <c r="L3029" s="12"/>
      <c r="M3029" s="13"/>
    </row>
    <row r="3030" spans="12:13" x14ac:dyDescent="0.2">
      <c r="L3030" s="12"/>
      <c r="M3030" s="13"/>
    </row>
    <row r="3031" spans="12:13" x14ac:dyDescent="0.2">
      <c r="L3031" s="12"/>
      <c r="M3031" s="13"/>
    </row>
    <row r="3032" spans="12:13" x14ac:dyDescent="0.2">
      <c r="L3032" s="12"/>
      <c r="M3032" s="13"/>
    </row>
    <row r="3033" spans="12:13" x14ac:dyDescent="0.2">
      <c r="L3033" s="12"/>
      <c r="M3033" s="13"/>
    </row>
    <row r="3034" spans="12:13" x14ac:dyDescent="0.2">
      <c r="L3034" s="12"/>
      <c r="M3034" s="13"/>
    </row>
    <row r="3035" spans="12:13" x14ac:dyDescent="0.2">
      <c r="L3035" s="12"/>
      <c r="M3035" s="13"/>
    </row>
    <row r="3036" spans="12:13" x14ac:dyDescent="0.2">
      <c r="L3036" s="12"/>
      <c r="M3036" s="13"/>
    </row>
    <row r="3037" spans="12:13" x14ac:dyDescent="0.2">
      <c r="L3037" s="12"/>
      <c r="M3037" s="13"/>
    </row>
    <row r="3038" spans="12:13" x14ac:dyDescent="0.2">
      <c r="L3038" s="12"/>
      <c r="M3038" s="13"/>
    </row>
    <row r="3039" spans="12:13" x14ac:dyDescent="0.2">
      <c r="L3039" s="12"/>
      <c r="M3039" s="13"/>
    </row>
    <row r="3040" spans="12:13" x14ac:dyDescent="0.2">
      <c r="L3040" s="12"/>
      <c r="M3040" s="13"/>
    </row>
    <row r="3041" spans="12:13" x14ac:dyDescent="0.2">
      <c r="L3041" s="12"/>
      <c r="M3041" s="13"/>
    </row>
    <row r="3042" spans="12:13" x14ac:dyDescent="0.2">
      <c r="L3042" s="12"/>
      <c r="M3042" s="13"/>
    </row>
    <row r="3043" spans="12:13" x14ac:dyDescent="0.2">
      <c r="L3043" s="12"/>
      <c r="M3043" s="13"/>
    </row>
    <row r="3044" spans="12:13" x14ac:dyDescent="0.2">
      <c r="L3044" s="12"/>
      <c r="M3044" s="13"/>
    </row>
    <row r="3045" spans="12:13" x14ac:dyDescent="0.2">
      <c r="L3045" s="12"/>
      <c r="M3045" s="13"/>
    </row>
    <row r="3046" spans="12:13" x14ac:dyDescent="0.2">
      <c r="L3046" s="12"/>
      <c r="M3046" s="13"/>
    </row>
    <row r="3047" spans="12:13" x14ac:dyDescent="0.2">
      <c r="L3047" s="12"/>
      <c r="M3047" s="13"/>
    </row>
    <row r="3048" spans="12:13" x14ac:dyDescent="0.2">
      <c r="L3048" s="12"/>
      <c r="M3048" s="13"/>
    </row>
    <row r="3049" spans="12:13" x14ac:dyDescent="0.2">
      <c r="L3049" s="12"/>
      <c r="M3049" s="13"/>
    </row>
    <row r="3050" spans="12:13" x14ac:dyDescent="0.2">
      <c r="L3050" s="12"/>
      <c r="M3050" s="13"/>
    </row>
    <row r="3051" spans="12:13" x14ac:dyDescent="0.2">
      <c r="L3051" s="12"/>
      <c r="M3051" s="13"/>
    </row>
    <row r="3052" spans="12:13" x14ac:dyDescent="0.2">
      <c r="L3052" s="12"/>
      <c r="M3052" s="13"/>
    </row>
    <row r="3053" spans="12:13" x14ac:dyDescent="0.2">
      <c r="L3053" s="12"/>
      <c r="M3053" s="13"/>
    </row>
    <row r="3054" spans="12:13" x14ac:dyDescent="0.2">
      <c r="L3054" s="12"/>
      <c r="M3054" s="13"/>
    </row>
    <row r="3055" spans="12:13" x14ac:dyDescent="0.2">
      <c r="L3055" s="12"/>
      <c r="M3055" s="13"/>
    </row>
    <row r="3056" spans="12:13" x14ac:dyDescent="0.2">
      <c r="L3056" s="12"/>
      <c r="M3056" s="13"/>
    </row>
    <row r="3057" spans="12:13" x14ac:dyDescent="0.2">
      <c r="L3057" s="12"/>
      <c r="M3057" s="13"/>
    </row>
    <row r="3058" spans="12:13" x14ac:dyDescent="0.2">
      <c r="L3058" s="12"/>
      <c r="M3058" s="13"/>
    </row>
    <row r="3059" spans="12:13" x14ac:dyDescent="0.2">
      <c r="L3059" s="12"/>
      <c r="M3059" s="13"/>
    </row>
    <row r="3060" spans="12:13" x14ac:dyDescent="0.2">
      <c r="L3060" s="12"/>
      <c r="M3060" s="13"/>
    </row>
    <row r="3061" spans="12:13" x14ac:dyDescent="0.2">
      <c r="L3061" s="12"/>
      <c r="M3061" s="13"/>
    </row>
    <row r="3062" spans="12:13" x14ac:dyDescent="0.2">
      <c r="L3062" s="12"/>
      <c r="M3062" s="13"/>
    </row>
    <row r="3063" spans="12:13" x14ac:dyDescent="0.2">
      <c r="L3063" s="12"/>
      <c r="M3063" s="13"/>
    </row>
    <row r="3064" spans="12:13" x14ac:dyDescent="0.2">
      <c r="L3064" s="12"/>
      <c r="M3064" s="13"/>
    </row>
    <row r="3065" spans="12:13" x14ac:dyDescent="0.2">
      <c r="L3065" s="12"/>
      <c r="M3065" s="13"/>
    </row>
    <row r="3066" spans="12:13" x14ac:dyDescent="0.2">
      <c r="L3066" s="12"/>
      <c r="M3066" s="13"/>
    </row>
    <row r="3067" spans="12:13" x14ac:dyDescent="0.2">
      <c r="L3067" s="12"/>
      <c r="M3067" s="13"/>
    </row>
    <row r="3068" spans="12:13" x14ac:dyDescent="0.2">
      <c r="L3068" s="12"/>
      <c r="M3068" s="13"/>
    </row>
    <row r="3069" spans="12:13" x14ac:dyDescent="0.2">
      <c r="L3069" s="12"/>
      <c r="M3069" s="13"/>
    </row>
    <row r="3070" spans="12:13" x14ac:dyDescent="0.2">
      <c r="L3070" s="12"/>
      <c r="M3070" s="13"/>
    </row>
    <row r="3071" spans="12:13" x14ac:dyDescent="0.2">
      <c r="L3071" s="12"/>
      <c r="M3071" s="13"/>
    </row>
    <row r="3072" spans="12:13" x14ac:dyDescent="0.2">
      <c r="L3072" s="12"/>
      <c r="M3072" s="13"/>
    </row>
    <row r="3073" spans="12:13" x14ac:dyDescent="0.2">
      <c r="L3073" s="12"/>
      <c r="M3073" s="13"/>
    </row>
    <row r="3074" spans="12:13" x14ac:dyDescent="0.2">
      <c r="L3074" s="17"/>
      <c r="M3074" s="18"/>
    </row>
    <row r="3075" spans="12:13" x14ac:dyDescent="0.2">
      <c r="L3075" s="12"/>
      <c r="M3075" s="13"/>
    </row>
    <row r="3076" spans="12:13" x14ac:dyDescent="0.2">
      <c r="L3076" s="12"/>
      <c r="M3076" s="13"/>
    </row>
    <row r="3077" spans="12:13" x14ac:dyDescent="0.2">
      <c r="L3077" s="12"/>
      <c r="M3077" s="13"/>
    </row>
    <row r="3078" spans="12:13" x14ac:dyDescent="0.2">
      <c r="L3078" s="12"/>
      <c r="M3078" s="13"/>
    </row>
    <row r="3079" spans="12:13" x14ac:dyDescent="0.2">
      <c r="L3079" s="12"/>
      <c r="M3079" s="13"/>
    </row>
    <row r="3080" spans="12:13" x14ac:dyDescent="0.2">
      <c r="L3080" s="12"/>
      <c r="M3080" s="13"/>
    </row>
    <row r="3081" spans="12:13" x14ac:dyDescent="0.2">
      <c r="L3081" s="12"/>
      <c r="M3081" s="13"/>
    </row>
    <row r="3082" spans="12:13" x14ac:dyDescent="0.2">
      <c r="L3082" s="12"/>
      <c r="M3082" s="13"/>
    </row>
    <row r="3083" spans="12:13" x14ac:dyDescent="0.2">
      <c r="L3083" s="12"/>
      <c r="M3083" s="13"/>
    </row>
    <row r="3084" spans="12:13" x14ac:dyDescent="0.2">
      <c r="L3084" s="12"/>
      <c r="M3084" s="13"/>
    </row>
    <row r="3085" spans="12:13" x14ac:dyDescent="0.2">
      <c r="L3085" s="12"/>
      <c r="M3085" s="13"/>
    </row>
    <row r="3086" spans="12:13" x14ac:dyDescent="0.2">
      <c r="L3086" s="12"/>
      <c r="M3086" s="13"/>
    </row>
    <row r="3087" spans="12:13" x14ac:dyDescent="0.2">
      <c r="L3087" s="12"/>
      <c r="M3087" s="13"/>
    </row>
    <row r="3088" spans="12:13" x14ac:dyDescent="0.2">
      <c r="L3088" s="12"/>
      <c r="M3088" s="13"/>
    </row>
    <row r="3089" spans="12:13" x14ac:dyDescent="0.2">
      <c r="L3089" s="12"/>
      <c r="M3089" s="13"/>
    </row>
    <row r="3090" spans="12:13" x14ac:dyDescent="0.2">
      <c r="L3090" s="12"/>
      <c r="M3090" s="13"/>
    </row>
    <row r="3091" spans="12:13" x14ac:dyDescent="0.2">
      <c r="L3091" s="12"/>
      <c r="M3091" s="13"/>
    </row>
    <row r="3092" spans="12:13" x14ac:dyDescent="0.2">
      <c r="L3092" s="12"/>
      <c r="M3092" s="13"/>
    </row>
    <row r="3093" spans="12:13" x14ac:dyDescent="0.2">
      <c r="L3093" s="12"/>
      <c r="M3093" s="13"/>
    </row>
    <row r="3094" spans="12:13" x14ac:dyDescent="0.2">
      <c r="L3094" s="12"/>
      <c r="M3094" s="13"/>
    </row>
    <row r="3095" spans="12:13" x14ac:dyDescent="0.2">
      <c r="L3095" s="12"/>
      <c r="M3095" s="13"/>
    </row>
    <row r="3096" spans="12:13" x14ac:dyDescent="0.2">
      <c r="L3096" s="12"/>
      <c r="M3096" s="13"/>
    </row>
    <row r="3097" spans="12:13" x14ac:dyDescent="0.2">
      <c r="L3097" s="12"/>
      <c r="M3097" s="13"/>
    </row>
    <row r="3098" spans="12:13" x14ac:dyDescent="0.2">
      <c r="L3098" s="12"/>
      <c r="M3098" s="13"/>
    </row>
    <row r="3099" spans="12:13" x14ac:dyDescent="0.2">
      <c r="L3099" s="12"/>
      <c r="M3099" s="13"/>
    </row>
    <row r="3100" spans="12:13" x14ac:dyDescent="0.2">
      <c r="L3100" s="12"/>
      <c r="M3100" s="13"/>
    </row>
    <row r="3101" spans="12:13" x14ac:dyDescent="0.2">
      <c r="L3101" s="12"/>
      <c r="M3101" s="13"/>
    </row>
    <row r="3102" spans="12:13" x14ac:dyDescent="0.2">
      <c r="L3102" s="12"/>
      <c r="M3102" s="13"/>
    </row>
    <row r="3103" spans="12:13" x14ac:dyDescent="0.2">
      <c r="L3103" s="12"/>
      <c r="M3103" s="13"/>
    </row>
    <row r="3104" spans="12:13" x14ac:dyDescent="0.2">
      <c r="L3104" s="12"/>
      <c r="M3104" s="13"/>
    </row>
    <row r="3105" spans="12:13" x14ac:dyDescent="0.2">
      <c r="L3105" s="12"/>
      <c r="M3105" s="13"/>
    </row>
    <row r="3106" spans="12:13" x14ac:dyDescent="0.2">
      <c r="L3106" s="12"/>
      <c r="M3106" s="13"/>
    </row>
    <row r="3107" spans="12:13" x14ac:dyDescent="0.2">
      <c r="L3107" s="12"/>
      <c r="M3107" s="13"/>
    </row>
    <row r="3108" spans="12:13" x14ac:dyDescent="0.2">
      <c r="L3108" s="12"/>
      <c r="M3108" s="13"/>
    </row>
    <row r="3109" spans="12:13" x14ac:dyDescent="0.2">
      <c r="L3109" s="12"/>
      <c r="M3109" s="13"/>
    </row>
    <row r="3110" spans="12:13" x14ac:dyDescent="0.2">
      <c r="L3110" s="12"/>
      <c r="M3110" s="13"/>
    </row>
    <row r="3111" spans="12:13" x14ac:dyDescent="0.2">
      <c r="L3111" s="12"/>
      <c r="M3111" s="13"/>
    </row>
    <row r="3112" spans="12:13" x14ac:dyDescent="0.2">
      <c r="L3112" s="12"/>
      <c r="M3112" s="13"/>
    </row>
    <row r="3113" spans="12:13" x14ac:dyDescent="0.2">
      <c r="L3113" s="12"/>
      <c r="M3113" s="13"/>
    </row>
    <row r="3114" spans="12:13" x14ac:dyDescent="0.2">
      <c r="L3114" s="12"/>
      <c r="M3114" s="13"/>
    </row>
    <row r="3115" spans="12:13" x14ac:dyDescent="0.2">
      <c r="L3115" s="12"/>
      <c r="M3115" s="13"/>
    </row>
    <row r="3116" spans="12:13" x14ac:dyDescent="0.2">
      <c r="L3116" s="12"/>
      <c r="M3116" s="13"/>
    </row>
    <row r="3117" spans="12:13" x14ac:dyDescent="0.2">
      <c r="L3117" s="12"/>
      <c r="M3117" s="13"/>
    </row>
    <row r="3118" spans="12:13" x14ac:dyDescent="0.2">
      <c r="L3118" s="12"/>
      <c r="M3118" s="13"/>
    </row>
    <row r="3119" spans="12:13" x14ac:dyDescent="0.2">
      <c r="L3119" s="12"/>
      <c r="M3119" s="13"/>
    </row>
    <row r="3120" spans="12:13" x14ac:dyDescent="0.2">
      <c r="L3120" s="12"/>
      <c r="M3120" s="13"/>
    </row>
    <row r="3121" spans="12:13" x14ac:dyDescent="0.2">
      <c r="L3121" s="12"/>
      <c r="M3121" s="13"/>
    </row>
    <row r="3122" spans="12:13" x14ac:dyDescent="0.2">
      <c r="L3122" s="12"/>
      <c r="M3122" s="13"/>
    </row>
    <row r="3123" spans="12:13" x14ac:dyDescent="0.2">
      <c r="L3123" s="12"/>
      <c r="M3123" s="13"/>
    </row>
    <row r="3124" spans="12:13" x14ac:dyDescent="0.2">
      <c r="L3124" s="12"/>
      <c r="M3124" s="13"/>
    </row>
    <row r="3125" spans="12:13" x14ac:dyDescent="0.2">
      <c r="L3125" s="12"/>
      <c r="M3125" s="13"/>
    </row>
    <row r="3126" spans="12:13" x14ac:dyDescent="0.2">
      <c r="L3126" s="12"/>
      <c r="M3126" s="13"/>
    </row>
    <row r="3127" spans="12:13" x14ac:dyDescent="0.2">
      <c r="L3127" s="12"/>
      <c r="M3127" s="13"/>
    </row>
    <row r="3128" spans="12:13" x14ac:dyDescent="0.2">
      <c r="L3128" s="12"/>
      <c r="M3128" s="13"/>
    </row>
    <row r="3129" spans="12:13" x14ac:dyDescent="0.2">
      <c r="L3129" s="12"/>
      <c r="M3129" s="13"/>
    </row>
    <row r="3130" spans="12:13" x14ac:dyDescent="0.2">
      <c r="L3130" s="12"/>
      <c r="M3130" s="13"/>
    </row>
    <row r="3131" spans="12:13" x14ac:dyDescent="0.2">
      <c r="L3131" s="12"/>
      <c r="M3131" s="13"/>
    </row>
    <row r="3132" spans="12:13" x14ac:dyDescent="0.2">
      <c r="L3132" s="12"/>
      <c r="M3132" s="13"/>
    </row>
    <row r="3133" spans="12:13" x14ac:dyDescent="0.2">
      <c r="L3133" s="12"/>
      <c r="M3133" s="13"/>
    </row>
    <row r="3134" spans="12:13" x14ac:dyDescent="0.2">
      <c r="L3134" s="12"/>
      <c r="M3134" s="13"/>
    </row>
    <row r="3135" spans="12:13" x14ac:dyDescent="0.2">
      <c r="L3135" s="12"/>
      <c r="M3135" s="13"/>
    </row>
    <row r="3136" spans="12:13" x14ac:dyDescent="0.2">
      <c r="L3136" s="12"/>
      <c r="M3136" s="13"/>
    </row>
    <row r="3137" spans="12:13" x14ac:dyDescent="0.2">
      <c r="L3137" s="12"/>
      <c r="M3137" s="13"/>
    </row>
    <row r="3138" spans="12:13" x14ac:dyDescent="0.2">
      <c r="L3138" s="12"/>
      <c r="M3138" s="13"/>
    </row>
    <row r="3139" spans="12:13" x14ac:dyDescent="0.2">
      <c r="L3139" s="12"/>
      <c r="M3139" s="13"/>
    </row>
    <row r="3140" spans="12:13" x14ac:dyDescent="0.2">
      <c r="L3140" s="12"/>
      <c r="M3140" s="13"/>
    </row>
    <row r="3141" spans="12:13" x14ac:dyDescent="0.2">
      <c r="L3141" s="12"/>
      <c r="M3141" s="13"/>
    </row>
    <row r="3142" spans="12:13" x14ac:dyDescent="0.2">
      <c r="L3142" s="12"/>
      <c r="M3142" s="13"/>
    </row>
    <row r="3143" spans="12:13" x14ac:dyDescent="0.2">
      <c r="L3143" s="12"/>
      <c r="M3143" s="13"/>
    </row>
    <row r="3144" spans="12:13" x14ac:dyDescent="0.2">
      <c r="L3144" s="12"/>
      <c r="M3144" s="13"/>
    </row>
    <row r="3145" spans="12:13" x14ac:dyDescent="0.2">
      <c r="L3145" s="12"/>
      <c r="M3145" s="13"/>
    </row>
    <row r="3146" spans="12:13" x14ac:dyDescent="0.2">
      <c r="L3146" s="12"/>
      <c r="M3146" s="13"/>
    </row>
    <row r="3147" spans="12:13" x14ac:dyDescent="0.2">
      <c r="L3147" s="12"/>
      <c r="M3147" s="13"/>
    </row>
    <row r="3148" spans="12:13" x14ac:dyDescent="0.2">
      <c r="L3148" s="12"/>
      <c r="M3148" s="13"/>
    </row>
    <row r="3149" spans="12:13" x14ac:dyDescent="0.2">
      <c r="L3149" s="12"/>
      <c r="M3149" s="13"/>
    </row>
    <row r="3150" spans="12:13" x14ac:dyDescent="0.2">
      <c r="L3150" s="12"/>
      <c r="M3150" s="13"/>
    </row>
    <row r="3151" spans="12:13" x14ac:dyDescent="0.2">
      <c r="L3151" s="12"/>
      <c r="M3151" s="13"/>
    </row>
    <row r="3152" spans="12:13" x14ac:dyDescent="0.2">
      <c r="L3152" s="12"/>
      <c r="M3152" s="13"/>
    </row>
    <row r="3153" spans="12:13" x14ac:dyDescent="0.2">
      <c r="L3153" s="12"/>
      <c r="M3153" s="13"/>
    </row>
    <row r="3154" spans="12:13" x14ac:dyDescent="0.2">
      <c r="L3154" s="12"/>
      <c r="M3154" s="13"/>
    </row>
    <row r="3155" spans="12:13" x14ac:dyDescent="0.2">
      <c r="L3155" s="12"/>
      <c r="M3155" s="13"/>
    </row>
    <row r="3156" spans="12:13" x14ac:dyDescent="0.2">
      <c r="L3156" s="12"/>
      <c r="M3156" s="13"/>
    </row>
    <row r="3157" spans="12:13" x14ac:dyDescent="0.2">
      <c r="L3157" s="12"/>
      <c r="M3157" s="13"/>
    </row>
    <row r="3158" spans="12:13" x14ac:dyDescent="0.2">
      <c r="L3158" s="12"/>
      <c r="M3158" s="13"/>
    </row>
    <row r="3159" spans="12:13" x14ac:dyDescent="0.2">
      <c r="L3159" s="12"/>
      <c r="M3159" s="13"/>
    </row>
    <row r="3160" spans="12:13" x14ac:dyDescent="0.2">
      <c r="L3160" s="12"/>
      <c r="M3160" s="13"/>
    </row>
    <row r="3161" spans="12:13" x14ac:dyDescent="0.2">
      <c r="L3161" s="12"/>
      <c r="M3161" s="13"/>
    </row>
    <row r="3162" spans="12:13" x14ac:dyDescent="0.2">
      <c r="L3162" s="12"/>
      <c r="M3162" s="13"/>
    </row>
    <row r="3163" spans="12:13" x14ac:dyDescent="0.2">
      <c r="L3163" s="12"/>
      <c r="M3163" s="13"/>
    </row>
    <row r="3164" spans="12:13" x14ac:dyDescent="0.2">
      <c r="L3164" s="12"/>
      <c r="M3164" s="13"/>
    </row>
    <row r="3165" spans="12:13" x14ac:dyDescent="0.2">
      <c r="L3165" s="12"/>
      <c r="M3165" s="13"/>
    </row>
    <row r="3166" spans="12:13" x14ac:dyDescent="0.2">
      <c r="L3166" s="12"/>
      <c r="M3166" s="13"/>
    </row>
    <row r="3167" spans="12:13" x14ac:dyDescent="0.2">
      <c r="L3167" s="12"/>
      <c r="M3167" s="13"/>
    </row>
    <row r="3168" spans="12:13" x14ac:dyDescent="0.2">
      <c r="L3168" s="12"/>
      <c r="M3168" s="13"/>
    </row>
    <row r="3169" spans="12:13" x14ac:dyDescent="0.2">
      <c r="L3169" s="12"/>
      <c r="M3169" s="13"/>
    </row>
    <row r="3170" spans="12:13" x14ac:dyDescent="0.2">
      <c r="L3170" s="12"/>
      <c r="M3170" s="13"/>
    </row>
    <row r="3171" spans="12:13" x14ac:dyDescent="0.2">
      <c r="L3171" s="12"/>
      <c r="M3171" s="13"/>
    </row>
    <row r="3172" spans="12:13" x14ac:dyDescent="0.2">
      <c r="L3172" s="12"/>
      <c r="M3172" s="13"/>
    </row>
    <row r="3173" spans="12:13" x14ac:dyDescent="0.2">
      <c r="L3173" s="12"/>
      <c r="M3173" s="13"/>
    </row>
    <row r="3174" spans="12:13" x14ac:dyDescent="0.2">
      <c r="L3174" s="12"/>
      <c r="M3174" s="13"/>
    </row>
    <row r="3175" spans="12:13" x14ac:dyDescent="0.2">
      <c r="L3175" s="12"/>
      <c r="M3175" s="13"/>
    </row>
    <row r="3176" spans="12:13" x14ac:dyDescent="0.2">
      <c r="L3176" s="12"/>
      <c r="M3176" s="13"/>
    </row>
    <row r="3177" spans="12:13" x14ac:dyDescent="0.2">
      <c r="L3177" s="12"/>
      <c r="M3177" s="13"/>
    </row>
    <row r="3178" spans="12:13" x14ac:dyDescent="0.2">
      <c r="L3178" s="12"/>
      <c r="M3178" s="13"/>
    </row>
    <row r="3179" spans="12:13" x14ac:dyDescent="0.2">
      <c r="L3179" s="12"/>
      <c r="M3179" s="13"/>
    </row>
    <row r="3180" spans="12:13" x14ac:dyDescent="0.2">
      <c r="L3180" s="12"/>
      <c r="M3180" s="13"/>
    </row>
    <row r="3181" spans="12:13" x14ac:dyDescent="0.2">
      <c r="L3181" s="12"/>
      <c r="M3181" s="13"/>
    </row>
    <row r="3182" spans="12:13" x14ac:dyDescent="0.2">
      <c r="L3182" s="12"/>
      <c r="M3182" s="13"/>
    </row>
    <row r="3183" spans="12:13" x14ac:dyDescent="0.2">
      <c r="L3183" s="12"/>
      <c r="M3183" s="13"/>
    </row>
    <row r="3184" spans="12:13" x14ac:dyDescent="0.2">
      <c r="L3184" s="12"/>
      <c r="M3184" s="13"/>
    </row>
    <row r="3185" spans="12:13" x14ac:dyDescent="0.2">
      <c r="L3185" s="12"/>
      <c r="M3185" s="13"/>
    </row>
    <row r="3186" spans="12:13" x14ac:dyDescent="0.2">
      <c r="L3186" s="12"/>
      <c r="M3186" s="13"/>
    </row>
    <row r="3187" spans="12:13" x14ac:dyDescent="0.2">
      <c r="L3187" s="12"/>
      <c r="M3187" s="13"/>
    </row>
    <row r="3188" spans="12:13" x14ac:dyDescent="0.2">
      <c r="L3188" s="12"/>
      <c r="M3188" s="13"/>
    </row>
    <row r="3189" spans="12:13" x14ac:dyDescent="0.2">
      <c r="L3189" s="12"/>
      <c r="M3189" s="13"/>
    </row>
    <row r="3190" spans="12:13" x14ac:dyDescent="0.2">
      <c r="L3190" s="12"/>
      <c r="M3190" s="13"/>
    </row>
    <row r="3191" spans="12:13" x14ac:dyDescent="0.2">
      <c r="L3191" s="12"/>
      <c r="M3191" s="13"/>
    </row>
    <row r="3192" spans="12:13" x14ac:dyDescent="0.2">
      <c r="L3192" s="12"/>
      <c r="M3192" s="13"/>
    </row>
    <row r="3193" spans="12:13" x14ac:dyDescent="0.2">
      <c r="L3193" s="12"/>
      <c r="M3193" s="13"/>
    </row>
    <row r="3194" spans="12:13" x14ac:dyDescent="0.2">
      <c r="L3194" s="12"/>
      <c r="M3194" s="13"/>
    </row>
    <row r="3195" spans="12:13" x14ac:dyDescent="0.2">
      <c r="L3195" s="12"/>
      <c r="M3195" s="13"/>
    </row>
    <row r="3196" spans="12:13" x14ac:dyDescent="0.2">
      <c r="L3196" s="12"/>
      <c r="M3196" s="13"/>
    </row>
    <row r="3197" spans="12:13" x14ac:dyDescent="0.2">
      <c r="L3197" s="12"/>
      <c r="M3197" s="13"/>
    </row>
    <row r="3198" spans="12:13" x14ac:dyDescent="0.2">
      <c r="L3198" s="12"/>
      <c r="M3198" s="13"/>
    </row>
    <row r="3199" spans="12:13" x14ac:dyDescent="0.2">
      <c r="L3199" s="12"/>
      <c r="M3199" s="13"/>
    </row>
    <row r="3200" spans="12:13" x14ac:dyDescent="0.2">
      <c r="L3200" s="12"/>
      <c r="M3200" s="13"/>
    </row>
    <row r="3201" spans="12:13" x14ac:dyDescent="0.2">
      <c r="L3201" s="12"/>
      <c r="M3201" s="13"/>
    </row>
    <row r="3202" spans="12:13" x14ac:dyDescent="0.2">
      <c r="L3202" s="12"/>
      <c r="M3202" s="13"/>
    </row>
    <row r="3203" spans="12:13" x14ac:dyDescent="0.2">
      <c r="L3203" s="12"/>
      <c r="M3203" s="13"/>
    </row>
    <row r="3204" spans="12:13" x14ac:dyDescent="0.2">
      <c r="L3204" s="12"/>
      <c r="M3204" s="13"/>
    </row>
    <row r="3205" spans="12:13" x14ac:dyDescent="0.2">
      <c r="L3205" s="12"/>
      <c r="M3205" s="13"/>
    </row>
    <row r="3206" spans="12:13" x14ac:dyDescent="0.2">
      <c r="L3206" s="12"/>
      <c r="M3206" s="13"/>
    </row>
    <row r="3207" spans="12:13" x14ac:dyDescent="0.2">
      <c r="L3207" s="12"/>
      <c r="M3207" s="13"/>
    </row>
    <row r="3208" spans="12:13" x14ac:dyDescent="0.2">
      <c r="L3208" s="12"/>
      <c r="M3208" s="13"/>
    </row>
    <row r="3209" spans="12:13" x14ac:dyDescent="0.2">
      <c r="L3209" s="12"/>
      <c r="M3209" s="13"/>
    </row>
    <row r="3210" spans="12:13" x14ac:dyDescent="0.2">
      <c r="L3210" s="12"/>
      <c r="M3210" s="13"/>
    </row>
    <row r="3211" spans="12:13" x14ac:dyDescent="0.2">
      <c r="L3211" s="12"/>
      <c r="M3211" s="13"/>
    </row>
    <row r="3212" spans="12:13" x14ac:dyDescent="0.2">
      <c r="L3212" s="12"/>
      <c r="M3212" s="13"/>
    </row>
    <row r="3213" spans="12:13" x14ac:dyDescent="0.2">
      <c r="L3213" s="12"/>
      <c r="M3213" s="13"/>
    </row>
    <row r="3214" spans="12:13" x14ac:dyDescent="0.2">
      <c r="L3214" s="12"/>
      <c r="M3214" s="13"/>
    </row>
    <row r="3215" spans="12:13" x14ac:dyDescent="0.2">
      <c r="L3215" s="12"/>
      <c r="M3215" s="13"/>
    </row>
    <row r="3216" spans="12:13" x14ac:dyDescent="0.2">
      <c r="L3216" s="12"/>
      <c r="M3216" s="13"/>
    </row>
    <row r="3217" spans="12:13" x14ac:dyDescent="0.2">
      <c r="L3217" s="12"/>
      <c r="M3217" s="13"/>
    </row>
    <row r="3218" spans="12:13" x14ac:dyDescent="0.2">
      <c r="L3218" s="12"/>
      <c r="M3218" s="13"/>
    </row>
    <row r="3219" spans="12:13" x14ac:dyDescent="0.2">
      <c r="L3219" s="12"/>
      <c r="M3219" s="13"/>
    </row>
    <row r="3220" spans="12:13" x14ac:dyDescent="0.2">
      <c r="L3220" s="12"/>
      <c r="M3220" s="13"/>
    </row>
    <row r="3221" spans="12:13" x14ac:dyDescent="0.2">
      <c r="L3221" s="12"/>
      <c r="M3221" s="13"/>
    </row>
    <row r="3222" spans="12:13" x14ac:dyDescent="0.2">
      <c r="L3222" s="12"/>
      <c r="M3222" s="13"/>
    </row>
    <row r="3223" spans="12:13" x14ac:dyDescent="0.2">
      <c r="L3223" s="12"/>
      <c r="M3223" s="13"/>
    </row>
    <row r="3224" spans="12:13" x14ac:dyDescent="0.2">
      <c r="L3224" s="12"/>
      <c r="M3224" s="13"/>
    </row>
    <row r="3225" spans="12:13" x14ac:dyDescent="0.2">
      <c r="L3225" s="12"/>
      <c r="M3225" s="13"/>
    </row>
    <row r="3226" spans="12:13" x14ac:dyDescent="0.2">
      <c r="L3226" s="12"/>
      <c r="M3226" s="13"/>
    </row>
    <row r="3227" spans="12:13" x14ac:dyDescent="0.2">
      <c r="L3227" s="12"/>
      <c r="M3227" s="13"/>
    </row>
    <row r="3228" spans="12:13" x14ac:dyDescent="0.2">
      <c r="L3228" s="12"/>
      <c r="M3228" s="13"/>
    </row>
    <row r="3229" spans="12:13" x14ac:dyDescent="0.2">
      <c r="L3229" s="12"/>
      <c r="M3229" s="13"/>
    </row>
    <row r="3230" spans="12:13" x14ac:dyDescent="0.2">
      <c r="L3230" s="12"/>
      <c r="M3230" s="13"/>
    </row>
    <row r="3231" spans="12:13" x14ac:dyDescent="0.2">
      <c r="L3231" s="12"/>
      <c r="M3231" s="13"/>
    </row>
    <row r="3232" spans="12:13" x14ac:dyDescent="0.2">
      <c r="L3232" s="12"/>
      <c r="M3232" s="13"/>
    </row>
    <row r="3233" spans="12:13" x14ac:dyDescent="0.2">
      <c r="L3233" s="12"/>
      <c r="M3233" s="13"/>
    </row>
    <row r="3234" spans="12:13" x14ac:dyDescent="0.2">
      <c r="L3234" s="12"/>
      <c r="M3234" s="13"/>
    </row>
    <row r="3235" spans="12:13" x14ac:dyDescent="0.2">
      <c r="L3235" s="12"/>
      <c r="M3235" s="13"/>
    </row>
    <row r="3236" spans="12:13" x14ac:dyDescent="0.2">
      <c r="L3236" s="12"/>
      <c r="M3236" s="13"/>
    </row>
    <row r="3237" spans="12:13" x14ac:dyDescent="0.2">
      <c r="L3237" s="12"/>
      <c r="M3237" s="13"/>
    </row>
    <row r="3238" spans="12:13" x14ac:dyDescent="0.2">
      <c r="L3238" s="12"/>
      <c r="M3238" s="13"/>
    </row>
    <row r="3239" spans="12:13" x14ac:dyDescent="0.2">
      <c r="L3239" s="12"/>
      <c r="M3239" s="13"/>
    </row>
    <row r="3240" spans="12:13" x14ac:dyDescent="0.2">
      <c r="L3240" s="12"/>
      <c r="M3240" s="13"/>
    </row>
    <row r="3241" spans="12:13" x14ac:dyDescent="0.2">
      <c r="L3241" s="12"/>
      <c r="M3241" s="13"/>
    </row>
    <row r="3242" spans="12:13" x14ac:dyDescent="0.2">
      <c r="L3242" s="12"/>
      <c r="M3242" s="13"/>
    </row>
    <row r="3243" spans="12:13" x14ac:dyDescent="0.2">
      <c r="L3243" s="12"/>
      <c r="M3243" s="13"/>
    </row>
    <row r="3244" spans="12:13" x14ac:dyDescent="0.2">
      <c r="L3244" s="12"/>
      <c r="M3244" s="13"/>
    </row>
    <row r="3245" spans="12:13" x14ac:dyDescent="0.2">
      <c r="L3245" s="12"/>
      <c r="M3245" s="13"/>
    </row>
    <row r="3246" spans="12:13" x14ac:dyDescent="0.2">
      <c r="L3246" s="12"/>
      <c r="M3246" s="13"/>
    </row>
    <row r="3247" spans="12:13" x14ac:dyDescent="0.2">
      <c r="L3247" s="12"/>
      <c r="M3247" s="13"/>
    </row>
    <row r="3248" spans="12:13" x14ac:dyDescent="0.2">
      <c r="L3248" s="12"/>
      <c r="M3248" s="13"/>
    </row>
    <row r="3249" spans="12:13" x14ac:dyDescent="0.2">
      <c r="L3249" s="12"/>
      <c r="M3249" s="13"/>
    </row>
    <row r="3250" spans="12:13" x14ac:dyDescent="0.2">
      <c r="L3250" s="12"/>
      <c r="M3250" s="13"/>
    </row>
    <row r="3251" spans="12:13" x14ac:dyDescent="0.2">
      <c r="L3251" s="12"/>
      <c r="M3251" s="13"/>
    </row>
    <row r="3252" spans="12:13" x14ac:dyDescent="0.2">
      <c r="L3252" s="12"/>
      <c r="M3252" s="13"/>
    </row>
    <row r="3253" spans="12:13" x14ac:dyDescent="0.2">
      <c r="L3253" s="12"/>
      <c r="M3253" s="13"/>
    </row>
    <row r="3254" spans="12:13" x14ac:dyDescent="0.2">
      <c r="L3254" s="12"/>
      <c r="M3254" s="13"/>
    </row>
    <row r="3255" spans="12:13" x14ac:dyDescent="0.2">
      <c r="L3255" s="12"/>
      <c r="M3255" s="13"/>
    </row>
    <row r="3256" spans="12:13" x14ac:dyDescent="0.2">
      <c r="L3256" s="12"/>
      <c r="M3256" s="13"/>
    </row>
    <row r="3257" spans="12:13" x14ac:dyDescent="0.2">
      <c r="L3257" s="12"/>
      <c r="M3257" s="13"/>
    </row>
    <row r="3258" spans="12:13" x14ac:dyDescent="0.2">
      <c r="L3258" s="12"/>
      <c r="M3258" s="13"/>
    </row>
    <row r="3259" spans="12:13" x14ac:dyDescent="0.2">
      <c r="L3259" s="12"/>
      <c r="M3259" s="13"/>
    </row>
    <row r="3260" spans="12:13" x14ac:dyDescent="0.2">
      <c r="L3260" s="12"/>
      <c r="M3260" s="13"/>
    </row>
    <row r="3261" spans="12:13" x14ac:dyDescent="0.2">
      <c r="L3261" s="12"/>
      <c r="M3261" s="13"/>
    </row>
    <row r="3262" spans="12:13" x14ac:dyDescent="0.2">
      <c r="L3262" s="12"/>
      <c r="M3262" s="13"/>
    </row>
    <row r="3263" spans="12:13" x14ac:dyDescent="0.2">
      <c r="L3263" s="12"/>
      <c r="M3263" s="13"/>
    </row>
    <row r="3264" spans="12:13" x14ac:dyDescent="0.2">
      <c r="L3264" s="12"/>
      <c r="M3264" s="13"/>
    </row>
    <row r="3265" spans="12:13" x14ac:dyDescent="0.2">
      <c r="L3265" s="12"/>
      <c r="M3265" s="13"/>
    </row>
    <row r="3266" spans="12:13" x14ac:dyDescent="0.2">
      <c r="L3266" s="12"/>
      <c r="M3266" s="13"/>
    </row>
    <row r="3267" spans="12:13" x14ac:dyDescent="0.2">
      <c r="L3267" s="12"/>
      <c r="M3267" s="13"/>
    </row>
    <row r="3268" spans="12:13" x14ac:dyDescent="0.2">
      <c r="L3268" s="12"/>
      <c r="M3268" s="13"/>
    </row>
    <row r="3269" spans="12:13" x14ac:dyDescent="0.2">
      <c r="L3269" s="12"/>
      <c r="M3269" s="13"/>
    </row>
    <row r="3270" spans="12:13" x14ac:dyDescent="0.2">
      <c r="L3270" s="12"/>
      <c r="M3270" s="13"/>
    </row>
    <row r="3271" spans="12:13" x14ac:dyDescent="0.2">
      <c r="L3271" s="12"/>
      <c r="M3271" s="13"/>
    </row>
    <row r="3272" spans="12:13" x14ac:dyDescent="0.2">
      <c r="L3272" s="12"/>
      <c r="M3272" s="13"/>
    </row>
    <row r="3273" spans="12:13" x14ac:dyDescent="0.2">
      <c r="L3273" s="12"/>
      <c r="M3273" s="13"/>
    </row>
    <row r="3274" spans="12:13" x14ac:dyDescent="0.2">
      <c r="L3274" s="12"/>
      <c r="M3274" s="13"/>
    </row>
    <row r="3275" spans="12:13" x14ac:dyDescent="0.2">
      <c r="L3275" s="12"/>
      <c r="M3275" s="13"/>
    </row>
    <row r="3276" spans="12:13" x14ac:dyDescent="0.2">
      <c r="L3276" s="12"/>
      <c r="M3276" s="13"/>
    </row>
    <row r="3277" spans="12:13" x14ac:dyDescent="0.2">
      <c r="L3277" s="12"/>
      <c r="M3277" s="13"/>
    </row>
    <row r="3278" spans="12:13" x14ac:dyDescent="0.2">
      <c r="L3278" s="12"/>
      <c r="M3278" s="13"/>
    </row>
    <row r="3279" spans="12:13" x14ac:dyDescent="0.2">
      <c r="L3279" s="12"/>
      <c r="M3279" s="13"/>
    </row>
    <row r="3280" spans="12:13" x14ac:dyDescent="0.2">
      <c r="L3280" s="12"/>
      <c r="M3280" s="13"/>
    </row>
    <row r="3281" spans="12:13" x14ac:dyDescent="0.2">
      <c r="L3281" s="12"/>
      <c r="M3281" s="13"/>
    </row>
    <row r="3282" spans="12:13" x14ac:dyDescent="0.2">
      <c r="L3282" s="12"/>
      <c r="M3282" s="13"/>
    </row>
    <row r="3283" spans="12:13" x14ac:dyDescent="0.2">
      <c r="L3283" s="12"/>
      <c r="M3283" s="13"/>
    </row>
    <row r="3284" spans="12:13" x14ac:dyDescent="0.2">
      <c r="L3284" s="12"/>
      <c r="M3284" s="13"/>
    </row>
    <row r="3285" spans="12:13" x14ac:dyDescent="0.2">
      <c r="L3285" s="12"/>
      <c r="M3285" s="13"/>
    </row>
    <row r="3286" spans="12:13" x14ac:dyDescent="0.2">
      <c r="L3286" s="12"/>
      <c r="M3286" s="13"/>
    </row>
    <row r="3287" spans="12:13" x14ac:dyDescent="0.2">
      <c r="L3287" s="12"/>
      <c r="M3287" s="13"/>
    </row>
    <row r="3288" spans="12:13" x14ac:dyDescent="0.2">
      <c r="L3288" s="12"/>
      <c r="M3288" s="13"/>
    </row>
    <row r="3289" spans="12:13" x14ac:dyDescent="0.2">
      <c r="L3289" s="12"/>
      <c r="M3289" s="13"/>
    </row>
    <row r="3290" spans="12:13" x14ac:dyDescent="0.2">
      <c r="L3290" s="12"/>
      <c r="M3290" s="13"/>
    </row>
    <row r="3291" spans="12:13" x14ac:dyDescent="0.2">
      <c r="L3291" s="12"/>
      <c r="M3291" s="13"/>
    </row>
    <row r="3292" spans="12:13" x14ac:dyDescent="0.2">
      <c r="L3292" s="12"/>
      <c r="M3292" s="13"/>
    </row>
    <row r="3293" spans="12:13" x14ac:dyDescent="0.2">
      <c r="L3293" s="12"/>
      <c r="M3293" s="13"/>
    </row>
    <row r="3294" spans="12:13" x14ac:dyDescent="0.2">
      <c r="L3294" s="12"/>
      <c r="M3294" s="13"/>
    </row>
    <row r="3295" spans="12:13" x14ac:dyDescent="0.2">
      <c r="L3295" s="12"/>
      <c r="M3295" s="13"/>
    </row>
    <row r="3296" spans="12:13" x14ac:dyDescent="0.2">
      <c r="L3296" s="12"/>
      <c r="M3296" s="13"/>
    </row>
    <row r="3297" spans="12:13" x14ac:dyDescent="0.2">
      <c r="L3297" s="12"/>
      <c r="M3297" s="13"/>
    </row>
    <row r="3298" spans="12:13" x14ac:dyDescent="0.2">
      <c r="L3298" s="12"/>
      <c r="M3298" s="13"/>
    </row>
    <row r="3299" spans="12:13" x14ac:dyDescent="0.2">
      <c r="L3299" s="12"/>
      <c r="M3299" s="13"/>
    </row>
    <row r="3300" spans="12:13" x14ac:dyDescent="0.2">
      <c r="L3300" s="12"/>
      <c r="M3300" s="13"/>
    </row>
    <row r="3301" spans="12:13" x14ac:dyDescent="0.2">
      <c r="L3301" s="12"/>
      <c r="M3301" s="13"/>
    </row>
    <row r="3302" spans="12:13" x14ac:dyDescent="0.2">
      <c r="L3302" s="12"/>
      <c r="M3302" s="13"/>
    </row>
    <row r="3303" spans="12:13" x14ac:dyDescent="0.2">
      <c r="L3303" s="12"/>
      <c r="M3303" s="13"/>
    </row>
    <row r="3304" spans="12:13" x14ac:dyDescent="0.2">
      <c r="L3304" s="12"/>
      <c r="M3304" s="13"/>
    </row>
    <row r="3305" spans="12:13" x14ac:dyDescent="0.2">
      <c r="L3305" s="12"/>
      <c r="M3305" s="13"/>
    </row>
    <row r="3306" spans="12:13" x14ac:dyDescent="0.2">
      <c r="L3306" s="12"/>
      <c r="M3306" s="13"/>
    </row>
    <row r="3307" spans="12:13" x14ac:dyDescent="0.2">
      <c r="L3307" s="12"/>
      <c r="M3307" s="13"/>
    </row>
    <row r="3308" spans="12:13" x14ac:dyDescent="0.2">
      <c r="L3308" s="12"/>
      <c r="M3308" s="13"/>
    </row>
    <row r="3309" spans="12:13" x14ac:dyDescent="0.2">
      <c r="L3309" s="12"/>
      <c r="M3309" s="13"/>
    </row>
    <row r="3310" spans="12:13" x14ac:dyDescent="0.2">
      <c r="L3310" s="12"/>
      <c r="M3310" s="13"/>
    </row>
    <row r="3311" spans="12:13" x14ac:dyDescent="0.2">
      <c r="L3311" s="12"/>
      <c r="M3311" s="13"/>
    </row>
    <row r="3312" spans="12:13" x14ac:dyDescent="0.2">
      <c r="L3312" s="12"/>
      <c r="M3312" s="13"/>
    </row>
    <row r="3313" spans="12:13" x14ac:dyDescent="0.2">
      <c r="L3313" s="12"/>
      <c r="M3313" s="13"/>
    </row>
    <row r="3314" spans="12:13" x14ac:dyDescent="0.2">
      <c r="L3314" s="12"/>
      <c r="M3314" s="13"/>
    </row>
    <row r="3315" spans="12:13" x14ac:dyDescent="0.2">
      <c r="L3315" s="12"/>
      <c r="M3315" s="13"/>
    </row>
    <row r="3316" spans="12:13" x14ac:dyDescent="0.2">
      <c r="L3316" s="12"/>
      <c r="M3316" s="13"/>
    </row>
    <row r="3317" spans="12:13" x14ac:dyDescent="0.2">
      <c r="L3317" s="12"/>
      <c r="M3317" s="13"/>
    </row>
    <row r="3318" spans="12:13" x14ac:dyDescent="0.2">
      <c r="L3318" s="12"/>
      <c r="M3318" s="13"/>
    </row>
    <row r="3319" spans="12:13" x14ac:dyDescent="0.2">
      <c r="L3319" s="12"/>
      <c r="M3319" s="13"/>
    </row>
    <row r="3320" spans="12:13" x14ac:dyDescent="0.2">
      <c r="L3320" s="12"/>
      <c r="M3320" s="13"/>
    </row>
    <row r="3321" spans="12:13" x14ac:dyDescent="0.2">
      <c r="L3321" s="12"/>
      <c r="M3321" s="13"/>
    </row>
    <row r="3322" spans="12:13" x14ac:dyDescent="0.2">
      <c r="L3322" s="12"/>
      <c r="M3322" s="13"/>
    </row>
    <row r="3323" spans="12:13" x14ac:dyDescent="0.2">
      <c r="L3323" s="12"/>
      <c r="M3323" s="13"/>
    </row>
    <row r="3324" spans="12:13" x14ac:dyDescent="0.2">
      <c r="L3324" s="12"/>
      <c r="M3324" s="13"/>
    </row>
    <row r="3325" spans="12:13" x14ac:dyDescent="0.2">
      <c r="L3325" s="12"/>
      <c r="M3325" s="13"/>
    </row>
    <row r="3326" spans="12:13" x14ac:dyDescent="0.2">
      <c r="L3326" s="12"/>
      <c r="M3326" s="13"/>
    </row>
    <row r="3327" spans="12:13" x14ac:dyDescent="0.2">
      <c r="L3327" s="12"/>
      <c r="M3327" s="13"/>
    </row>
    <row r="3328" spans="12:13" x14ac:dyDescent="0.2">
      <c r="L3328" s="12"/>
      <c r="M3328" s="13"/>
    </row>
    <row r="3329" spans="12:13" x14ac:dyDescent="0.2">
      <c r="L3329" s="12"/>
      <c r="M3329" s="13"/>
    </row>
    <row r="3330" spans="12:13" x14ac:dyDescent="0.2">
      <c r="L3330" s="17"/>
      <c r="M3330" s="18"/>
    </row>
    <row r="3331" spans="12:13" x14ac:dyDescent="0.2">
      <c r="L3331" s="12"/>
      <c r="M3331" s="13"/>
    </row>
    <row r="3332" spans="12:13" x14ac:dyDescent="0.2">
      <c r="L3332" s="12"/>
      <c r="M3332" s="13"/>
    </row>
    <row r="3333" spans="12:13" x14ac:dyDescent="0.2">
      <c r="L3333" s="12"/>
      <c r="M3333" s="13"/>
    </row>
    <row r="3334" spans="12:13" x14ac:dyDescent="0.2">
      <c r="L3334" s="12"/>
      <c r="M3334" s="13"/>
    </row>
    <row r="3335" spans="12:13" x14ac:dyDescent="0.2">
      <c r="L3335" s="12"/>
      <c r="M3335" s="13"/>
    </row>
    <row r="3336" spans="12:13" x14ac:dyDescent="0.2">
      <c r="L3336" s="12"/>
      <c r="M3336" s="13"/>
    </row>
    <row r="3337" spans="12:13" x14ac:dyDescent="0.2">
      <c r="L3337" s="12"/>
      <c r="M3337" s="13"/>
    </row>
    <row r="3338" spans="12:13" x14ac:dyDescent="0.2">
      <c r="L3338" s="12"/>
      <c r="M3338" s="13"/>
    </row>
    <row r="3339" spans="12:13" x14ac:dyDescent="0.2">
      <c r="L3339" s="12"/>
      <c r="M3339" s="13"/>
    </row>
    <row r="3340" spans="12:13" x14ac:dyDescent="0.2">
      <c r="L3340" s="12"/>
      <c r="M3340" s="13"/>
    </row>
    <row r="3341" spans="12:13" x14ac:dyDescent="0.2">
      <c r="L3341" s="12"/>
      <c r="M3341" s="13"/>
    </row>
    <row r="3342" spans="12:13" x14ac:dyDescent="0.2">
      <c r="L3342" s="12"/>
      <c r="M3342" s="13"/>
    </row>
    <row r="3343" spans="12:13" x14ac:dyDescent="0.2">
      <c r="L3343" s="12"/>
      <c r="M3343" s="13"/>
    </row>
    <row r="3344" spans="12:13" x14ac:dyDescent="0.2">
      <c r="L3344" s="12"/>
      <c r="M3344" s="13"/>
    </row>
    <row r="3345" spans="12:13" x14ac:dyDescent="0.2">
      <c r="L3345" s="12"/>
      <c r="M3345" s="13"/>
    </row>
    <row r="3346" spans="12:13" x14ac:dyDescent="0.2">
      <c r="L3346" s="12"/>
      <c r="M3346" s="13"/>
    </row>
    <row r="3347" spans="12:13" x14ac:dyDescent="0.2">
      <c r="L3347" s="12"/>
      <c r="M3347" s="13"/>
    </row>
    <row r="3348" spans="12:13" x14ac:dyDescent="0.2">
      <c r="L3348" s="12"/>
      <c r="M3348" s="13"/>
    </row>
    <row r="3349" spans="12:13" x14ac:dyDescent="0.2">
      <c r="L3349" s="12"/>
      <c r="M3349" s="13"/>
    </row>
    <row r="3350" spans="12:13" x14ac:dyDescent="0.2">
      <c r="L3350" s="12"/>
      <c r="M3350" s="13"/>
    </row>
    <row r="3351" spans="12:13" x14ac:dyDescent="0.2">
      <c r="L3351" s="12"/>
      <c r="M3351" s="13"/>
    </row>
    <row r="3352" spans="12:13" x14ac:dyDescent="0.2">
      <c r="L3352" s="12"/>
      <c r="M3352" s="13"/>
    </row>
    <row r="3353" spans="12:13" x14ac:dyDescent="0.2">
      <c r="L3353" s="12"/>
      <c r="M3353" s="13"/>
    </row>
    <row r="3354" spans="12:13" x14ac:dyDescent="0.2">
      <c r="L3354" s="12"/>
      <c r="M3354" s="13"/>
    </row>
    <row r="3355" spans="12:13" x14ac:dyDescent="0.2">
      <c r="L3355" s="12"/>
      <c r="M3355" s="13"/>
    </row>
    <row r="3356" spans="12:13" x14ac:dyDescent="0.2">
      <c r="L3356" s="12"/>
      <c r="M3356" s="13"/>
    </row>
    <row r="3357" spans="12:13" x14ac:dyDescent="0.2">
      <c r="L3357" s="12"/>
      <c r="M3357" s="13"/>
    </row>
    <row r="3358" spans="12:13" x14ac:dyDescent="0.2">
      <c r="L3358" s="12"/>
      <c r="M3358" s="13"/>
    </row>
    <row r="3359" spans="12:13" x14ac:dyDescent="0.2">
      <c r="L3359" s="12"/>
      <c r="M3359" s="13"/>
    </row>
    <row r="3360" spans="12:13" x14ac:dyDescent="0.2">
      <c r="L3360" s="12"/>
      <c r="M3360" s="13"/>
    </row>
    <row r="3361" spans="12:13" x14ac:dyDescent="0.2">
      <c r="L3361" s="12"/>
      <c r="M3361" s="13"/>
    </row>
    <row r="3362" spans="12:13" x14ac:dyDescent="0.2">
      <c r="L3362" s="12"/>
      <c r="M3362" s="13"/>
    </row>
    <row r="3363" spans="12:13" x14ac:dyDescent="0.2">
      <c r="L3363" s="12"/>
      <c r="M3363" s="13"/>
    </row>
    <row r="3364" spans="12:13" x14ac:dyDescent="0.2">
      <c r="L3364" s="12"/>
      <c r="M3364" s="13"/>
    </row>
    <row r="3365" spans="12:13" x14ac:dyDescent="0.2">
      <c r="L3365" s="12"/>
      <c r="M3365" s="13"/>
    </row>
    <row r="3366" spans="12:13" x14ac:dyDescent="0.2">
      <c r="L3366" s="12"/>
      <c r="M3366" s="13"/>
    </row>
    <row r="3367" spans="12:13" x14ac:dyDescent="0.2">
      <c r="L3367" s="12"/>
      <c r="M3367" s="13"/>
    </row>
    <row r="3368" spans="12:13" x14ac:dyDescent="0.2">
      <c r="L3368" s="12"/>
      <c r="M3368" s="13"/>
    </row>
    <row r="3369" spans="12:13" x14ac:dyDescent="0.2">
      <c r="L3369" s="12"/>
      <c r="M3369" s="13"/>
    </row>
    <row r="3370" spans="12:13" x14ac:dyDescent="0.2">
      <c r="L3370" s="12"/>
      <c r="M3370" s="13"/>
    </row>
    <row r="3371" spans="12:13" x14ac:dyDescent="0.2">
      <c r="L3371" s="12"/>
      <c r="M3371" s="13"/>
    </row>
    <row r="3372" spans="12:13" x14ac:dyDescent="0.2">
      <c r="L3372" s="12"/>
      <c r="M3372" s="13"/>
    </row>
    <row r="3373" spans="12:13" x14ac:dyDescent="0.2">
      <c r="L3373" s="12"/>
      <c r="M3373" s="13"/>
    </row>
    <row r="3374" spans="12:13" x14ac:dyDescent="0.2">
      <c r="L3374" s="12"/>
      <c r="M3374" s="13"/>
    </row>
    <row r="3375" spans="12:13" x14ac:dyDescent="0.2">
      <c r="L3375" s="12"/>
      <c r="M3375" s="13"/>
    </row>
    <row r="3376" spans="12:13" x14ac:dyDescent="0.2">
      <c r="L3376" s="12"/>
      <c r="M3376" s="13"/>
    </row>
    <row r="3377" spans="12:13" x14ac:dyDescent="0.2">
      <c r="L3377" s="12"/>
      <c r="M3377" s="13"/>
    </row>
    <row r="3378" spans="12:13" x14ac:dyDescent="0.2">
      <c r="L3378" s="12"/>
      <c r="M3378" s="13"/>
    </row>
    <row r="3379" spans="12:13" x14ac:dyDescent="0.2">
      <c r="L3379" s="12"/>
      <c r="M3379" s="13"/>
    </row>
    <row r="3380" spans="12:13" x14ac:dyDescent="0.2">
      <c r="L3380" s="12"/>
      <c r="M3380" s="13"/>
    </row>
    <row r="3381" spans="12:13" x14ac:dyDescent="0.2">
      <c r="L3381" s="12"/>
      <c r="M3381" s="13"/>
    </row>
    <row r="3382" spans="12:13" x14ac:dyDescent="0.2">
      <c r="L3382" s="12"/>
      <c r="M3382" s="13"/>
    </row>
    <row r="3383" spans="12:13" x14ac:dyDescent="0.2">
      <c r="L3383" s="12"/>
      <c r="M3383" s="13"/>
    </row>
    <row r="3384" spans="12:13" x14ac:dyDescent="0.2">
      <c r="L3384" s="12"/>
      <c r="M3384" s="13"/>
    </row>
    <row r="3385" spans="12:13" x14ac:dyDescent="0.2">
      <c r="L3385" s="12"/>
      <c r="M3385" s="13"/>
    </row>
    <row r="3386" spans="12:13" x14ac:dyDescent="0.2">
      <c r="L3386" s="12"/>
      <c r="M3386" s="13"/>
    </row>
    <row r="3387" spans="12:13" x14ac:dyDescent="0.2">
      <c r="L3387" s="12"/>
      <c r="M3387" s="13"/>
    </row>
    <row r="3388" spans="12:13" x14ac:dyDescent="0.2">
      <c r="L3388" s="12"/>
      <c r="M3388" s="13"/>
    </row>
    <row r="3389" spans="12:13" x14ac:dyDescent="0.2">
      <c r="L3389" s="12"/>
      <c r="M3389" s="13"/>
    </row>
    <row r="3390" spans="12:13" x14ac:dyDescent="0.2">
      <c r="L3390" s="12"/>
      <c r="M3390" s="13"/>
    </row>
    <row r="3391" spans="12:13" x14ac:dyDescent="0.2">
      <c r="L3391" s="12"/>
      <c r="M3391" s="13"/>
    </row>
    <row r="3392" spans="12:13" x14ac:dyDescent="0.2">
      <c r="L3392" s="12"/>
      <c r="M3392" s="13"/>
    </row>
    <row r="3393" spans="12:13" x14ac:dyDescent="0.2">
      <c r="L3393" s="12"/>
      <c r="M3393" s="13"/>
    </row>
    <row r="3394" spans="12:13" x14ac:dyDescent="0.2">
      <c r="L3394" s="12"/>
      <c r="M3394" s="13"/>
    </row>
    <row r="3395" spans="12:13" x14ac:dyDescent="0.2">
      <c r="L3395" s="12"/>
      <c r="M3395" s="13"/>
    </row>
    <row r="3396" spans="12:13" x14ac:dyDescent="0.2">
      <c r="L3396" s="12"/>
      <c r="M3396" s="13"/>
    </row>
    <row r="3397" spans="12:13" x14ac:dyDescent="0.2">
      <c r="L3397" s="12"/>
      <c r="M3397" s="13"/>
    </row>
    <row r="3398" spans="12:13" x14ac:dyDescent="0.2">
      <c r="L3398" s="12"/>
      <c r="M3398" s="13"/>
    </row>
    <row r="3399" spans="12:13" x14ac:dyDescent="0.2">
      <c r="L3399" s="12"/>
      <c r="M3399" s="13"/>
    </row>
    <row r="3400" spans="12:13" x14ac:dyDescent="0.2">
      <c r="L3400" s="12"/>
      <c r="M3400" s="13"/>
    </row>
    <row r="3401" spans="12:13" x14ac:dyDescent="0.2">
      <c r="L3401" s="12"/>
      <c r="M3401" s="13"/>
    </row>
    <row r="3402" spans="12:13" x14ac:dyDescent="0.2">
      <c r="L3402" s="12"/>
      <c r="M3402" s="13"/>
    </row>
    <row r="3403" spans="12:13" x14ac:dyDescent="0.2">
      <c r="L3403" s="12"/>
      <c r="M3403" s="13"/>
    </row>
    <row r="3404" spans="12:13" x14ac:dyDescent="0.2">
      <c r="L3404" s="12"/>
      <c r="M3404" s="13"/>
    </row>
    <row r="3405" spans="12:13" x14ac:dyDescent="0.2">
      <c r="L3405" s="12"/>
      <c r="M3405" s="13"/>
    </row>
    <row r="3406" spans="12:13" x14ac:dyDescent="0.2">
      <c r="L3406" s="12"/>
      <c r="M3406" s="13"/>
    </row>
    <row r="3407" spans="12:13" x14ac:dyDescent="0.2">
      <c r="L3407" s="12"/>
      <c r="M3407" s="13"/>
    </row>
    <row r="3408" spans="12:13" x14ac:dyDescent="0.2">
      <c r="L3408" s="12"/>
      <c r="M3408" s="13"/>
    </row>
    <row r="3409" spans="12:13" x14ac:dyDescent="0.2">
      <c r="L3409" s="12"/>
      <c r="M3409" s="13"/>
    </row>
    <row r="3410" spans="12:13" x14ac:dyDescent="0.2">
      <c r="L3410" s="12"/>
      <c r="M3410" s="13"/>
    </row>
    <row r="3411" spans="12:13" x14ac:dyDescent="0.2">
      <c r="L3411" s="12"/>
      <c r="M3411" s="13"/>
    </row>
    <row r="3412" spans="12:13" x14ac:dyDescent="0.2">
      <c r="L3412" s="12"/>
      <c r="M3412" s="13"/>
    </row>
    <row r="3413" spans="12:13" x14ac:dyDescent="0.2">
      <c r="L3413" s="12"/>
      <c r="M3413" s="13"/>
    </row>
    <row r="3414" spans="12:13" x14ac:dyDescent="0.2">
      <c r="L3414" s="12"/>
      <c r="M3414" s="13"/>
    </row>
    <row r="3415" spans="12:13" x14ac:dyDescent="0.2">
      <c r="L3415" s="12"/>
      <c r="M3415" s="13"/>
    </row>
    <row r="3416" spans="12:13" x14ac:dyDescent="0.2">
      <c r="L3416" s="12"/>
      <c r="M3416" s="13"/>
    </row>
    <row r="3417" spans="12:13" x14ac:dyDescent="0.2">
      <c r="L3417" s="12"/>
      <c r="M3417" s="13"/>
    </row>
    <row r="3418" spans="12:13" x14ac:dyDescent="0.2">
      <c r="L3418" s="12"/>
      <c r="M3418" s="13"/>
    </row>
    <row r="3419" spans="12:13" x14ac:dyDescent="0.2">
      <c r="L3419" s="12"/>
      <c r="M3419" s="13"/>
    </row>
    <row r="3420" spans="12:13" x14ac:dyDescent="0.2">
      <c r="L3420" s="12"/>
      <c r="M3420" s="13"/>
    </row>
    <row r="3421" spans="12:13" x14ac:dyDescent="0.2">
      <c r="L3421" s="12"/>
      <c r="M3421" s="13"/>
    </row>
    <row r="3422" spans="12:13" x14ac:dyDescent="0.2">
      <c r="L3422" s="12"/>
      <c r="M3422" s="13"/>
    </row>
    <row r="3423" spans="12:13" x14ac:dyDescent="0.2">
      <c r="L3423" s="12"/>
      <c r="M3423" s="13"/>
    </row>
    <row r="3424" spans="12:13" x14ac:dyDescent="0.2">
      <c r="L3424" s="12"/>
      <c r="M3424" s="13"/>
    </row>
    <row r="3425" spans="12:13" x14ac:dyDescent="0.2">
      <c r="L3425" s="12"/>
      <c r="M3425" s="13"/>
    </row>
    <row r="3426" spans="12:13" x14ac:dyDescent="0.2">
      <c r="L3426" s="12"/>
      <c r="M3426" s="13"/>
    </row>
    <row r="3427" spans="12:13" x14ac:dyDescent="0.2">
      <c r="L3427" s="12"/>
      <c r="M3427" s="13"/>
    </row>
    <row r="3428" spans="12:13" x14ac:dyDescent="0.2">
      <c r="L3428" s="12"/>
      <c r="M3428" s="13"/>
    </row>
    <row r="3429" spans="12:13" x14ac:dyDescent="0.2">
      <c r="L3429" s="12"/>
      <c r="M3429" s="13"/>
    </row>
    <row r="3430" spans="12:13" x14ac:dyDescent="0.2">
      <c r="L3430" s="12"/>
      <c r="M3430" s="13"/>
    </row>
    <row r="3431" spans="12:13" x14ac:dyDescent="0.2">
      <c r="L3431" s="12"/>
      <c r="M3431" s="13"/>
    </row>
    <row r="3432" spans="12:13" x14ac:dyDescent="0.2">
      <c r="L3432" s="12"/>
      <c r="M3432" s="13"/>
    </row>
    <row r="3433" spans="12:13" x14ac:dyDescent="0.2">
      <c r="L3433" s="12"/>
      <c r="M3433" s="13"/>
    </row>
    <row r="3434" spans="12:13" x14ac:dyDescent="0.2">
      <c r="L3434" s="12"/>
      <c r="M3434" s="13"/>
    </row>
    <row r="3435" spans="12:13" x14ac:dyDescent="0.2">
      <c r="L3435" s="12"/>
      <c r="M3435" s="13"/>
    </row>
    <row r="3436" spans="12:13" x14ac:dyDescent="0.2">
      <c r="L3436" s="12"/>
      <c r="M3436" s="13"/>
    </row>
    <row r="3437" spans="12:13" x14ac:dyDescent="0.2">
      <c r="L3437" s="12"/>
      <c r="M3437" s="13"/>
    </row>
    <row r="3438" spans="12:13" x14ac:dyDescent="0.2">
      <c r="L3438" s="12"/>
      <c r="M3438" s="13"/>
    </row>
    <row r="3439" spans="12:13" x14ac:dyDescent="0.2">
      <c r="L3439" s="12"/>
      <c r="M3439" s="13"/>
    </row>
    <row r="3440" spans="12:13" x14ac:dyDescent="0.2">
      <c r="L3440" s="12"/>
      <c r="M3440" s="13"/>
    </row>
    <row r="3441" spans="12:13" x14ac:dyDescent="0.2">
      <c r="L3441" s="12"/>
      <c r="M3441" s="13"/>
    </row>
    <row r="3442" spans="12:13" x14ac:dyDescent="0.2">
      <c r="L3442" s="12"/>
      <c r="M3442" s="13"/>
    </row>
    <row r="3443" spans="12:13" x14ac:dyDescent="0.2">
      <c r="L3443" s="12"/>
      <c r="M3443" s="13"/>
    </row>
    <row r="3444" spans="12:13" x14ac:dyDescent="0.2">
      <c r="L3444" s="12"/>
      <c r="M3444" s="13"/>
    </row>
    <row r="3445" spans="12:13" x14ac:dyDescent="0.2">
      <c r="L3445" s="12"/>
      <c r="M3445" s="13"/>
    </row>
    <row r="3446" spans="12:13" x14ac:dyDescent="0.2">
      <c r="L3446" s="12"/>
      <c r="M3446" s="13"/>
    </row>
    <row r="3447" spans="12:13" x14ac:dyDescent="0.2">
      <c r="L3447" s="12"/>
      <c r="M3447" s="13"/>
    </row>
    <row r="3448" spans="12:13" x14ac:dyDescent="0.2">
      <c r="L3448" s="12"/>
      <c r="M3448" s="13"/>
    </row>
    <row r="3449" spans="12:13" x14ac:dyDescent="0.2">
      <c r="L3449" s="12"/>
      <c r="M3449" s="13"/>
    </row>
    <row r="3450" spans="12:13" x14ac:dyDescent="0.2">
      <c r="L3450" s="12"/>
      <c r="M3450" s="13"/>
    </row>
    <row r="3451" spans="12:13" x14ac:dyDescent="0.2">
      <c r="L3451" s="12"/>
      <c r="M3451" s="13"/>
    </row>
    <row r="3452" spans="12:13" x14ac:dyDescent="0.2">
      <c r="L3452" s="12"/>
      <c r="M3452" s="13"/>
    </row>
    <row r="3453" spans="12:13" x14ac:dyDescent="0.2">
      <c r="L3453" s="12"/>
      <c r="M3453" s="13"/>
    </row>
    <row r="3454" spans="12:13" x14ac:dyDescent="0.2">
      <c r="L3454" s="12"/>
      <c r="M3454" s="13"/>
    </row>
    <row r="3455" spans="12:13" x14ac:dyDescent="0.2">
      <c r="L3455" s="12"/>
      <c r="M3455" s="13"/>
    </row>
    <row r="3456" spans="12:13" x14ac:dyDescent="0.2">
      <c r="L3456" s="12"/>
      <c r="M3456" s="13"/>
    </row>
    <row r="3457" spans="12:13" x14ac:dyDescent="0.2">
      <c r="L3457" s="12"/>
      <c r="M3457" s="13"/>
    </row>
    <row r="3458" spans="12:13" x14ac:dyDescent="0.2">
      <c r="L3458" s="12"/>
      <c r="M3458" s="13"/>
    </row>
    <row r="3459" spans="12:13" x14ac:dyDescent="0.2">
      <c r="L3459" s="12"/>
      <c r="M3459" s="13"/>
    </row>
    <row r="3460" spans="12:13" x14ac:dyDescent="0.2">
      <c r="L3460" s="12"/>
      <c r="M3460" s="13"/>
    </row>
    <row r="3461" spans="12:13" x14ac:dyDescent="0.2">
      <c r="L3461" s="12"/>
      <c r="M3461" s="13"/>
    </row>
    <row r="3462" spans="12:13" x14ac:dyDescent="0.2">
      <c r="L3462" s="12"/>
      <c r="M3462" s="13"/>
    </row>
    <row r="3463" spans="12:13" x14ac:dyDescent="0.2">
      <c r="L3463" s="12"/>
      <c r="M3463" s="13"/>
    </row>
    <row r="3464" spans="12:13" x14ac:dyDescent="0.2">
      <c r="L3464" s="12"/>
      <c r="M3464" s="13"/>
    </row>
    <row r="3465" spans="12:13" x14ac:dyDescent="0.2">
      <c r="L3465" s="12"/>
      <c r="M3465" s="13"/>
    </row>
    <row r="3466" spans="12:13" x14ac:dyDescent="0.2">
      <c r="L3466" s="12"/>
      <c r="M3466" s="13"/>
    </row>
    <row r="3467" spans="12:13" x14ac:dyDescent="0.2">
      <c r="L3467" s="12"/>
      <c r="M3467" s="13"/>
    </row>
    <row r="3468" spans="12:13" x14ac:dyDescent="0.2">
      <c r="L3468" s="12"/>
      <c r="M3468" s="13"/>
    </row>
    <row r="3469" spans="12:13" x14ac:dyDescent="0.2">
      <c r="L3469" s="12"/>
      <c r="M3469" s="13"/>
    </row>
    <row r="3470" spans="12:13" x14ac:dyDescent="0.2">
      <c r="L3470" s="12"/>
      <c r="M3470" s="13"/>
    </row>
    <row r="3471" spans="12:13" x14ac:dyDescent="0.2">
      <c r="L3471" s="12"/>
      <c r="M3471" s="13"/>
    </row>
    <row r="3472" spans="12:13" x14ac:dyDescent="0.2">
      <c r="L3472" s="12"/>
      <c r="M3472" s="13"/>
    </row>
    <row r="3473" spans="12:13" x14ac:dyDescent="0.2">
      <c r="L3473" s="12"/>
      <c r="M3473" s="13"/>
    </row>
    <row r="3474" spans="12:13" x14ac:dyDescent="0.2">
      <c r="L3474" s="12"/>
      <c r="M3474" s="13"/>
    </row>
    <row r="3475" spans="12:13" x14ac:dyDescent="0.2">
      <c r="L3475" s="12"/>
      <c r="M3475" s="13"/>
    </row>
    <row r="3476" spans="12:13" x14ac:dyDescent="0.2">
      <c r="L3476" s="12"/>
      <c r="M3476" s="13"/>
    </row>
    <row r="3477" spans="12:13" x14ac:dyDescent="0.2">
      <c r="L3477" s="12"/>
      <c r="M3477" s="13"/>
    </row>
    <row r="3478" spans="12:13" x14ac:dyDescent="0.2">
      <c r="L3478" s="12"/>
      <c r="M3478" s="13"/>
    </row>
    <row r="3479" spans="12:13" x14ac:dyDescent="0.2">
      <c r="L3479" s="12"/>
      <c r="M3479" s="13"/>
    </row>
    <row r="3480" spans="12:13" x14ac:dyDescent="0.2">
      <c r="L3480" s="12"/>
      <c r="M3480" s="13"/>
    </row>
    <row r="3481" spans="12:13" x14ac:dyDescent="0.2">
      <c r="L3481" s="12"/>
      <c r="M3481" s="13"/>
    </row>
    <row r="3482" spans="12:13" x14ac:dyDescent="0.2">
      <c r="L3482" s="12"/>
      <c r="M3482" s="13"/>
    </row>
    <row r="3483" spans="12:13" x14ac:dyDescent="0.2">
      <c r="L3483" s="12"/>
      <c r="M3483" s="13"/>
    </row>
    <row r="3484" spans="12:13" x14ac:dyDescent="0.2">
      <c r="L3484" s="12"/>
      <c r="M3484" s="13"/>
    </row>
    <row r="3485" spans="12:13" x14ac:dyDescent="0.2">
      <c r="L3485" s="12"/>
      <c r="M3485" s="13"/>
    </row>
    <row r="3486" spans="12:13" x14ac:dyDescent="0.2">
      <c r="L3486" s="12"/>
      <c r="M3486" s="13"/>
    </row>
    <row r="3487" spans="12:13" x14ac:dyDescent="0.2">
      <c r="L3487" s="12"/>
      <c r="M3487" s="13"/>
    </row>
    <row r="3488" spans="12:13" x14ac:dyDescent="0.2">
      <c r="L3488" s="12"/>
      <c r="M3488" s="13"/>
    </row>
    <row r="3489" spans="12:13" x14ac:dyDescent="0.2">
      <c r="L3489" s="12"/>
      <c r="M3489" s="13"/>
    </row>
    <row r="3490" spans="12:13" x14ac:dyDescent="0.2">
      <c r="L3490" s="12"/>
      <c r="M3490" s="13"/>
    </row>
    <row r="3491" spans="12:13" x14ac:dyDescent="0.2">
      <c r="L3491" s="12"/>
      <c r="M3491" s="13"/>
    </row>
    <row r="3492" spans="12:13" x14ac:dyDescent="0.2">
      <c r="L3492" s="12"/>
      <c r="M3492" s="13"/>
    </row>
    <row r="3493" spans="12:13" x14ac:dyDescent="0.2">
      <c r="L3493" s="12"/>
      <c r="M3493" s="13"/>
    </row>
    <row r="3494" spans="12:13" x14ac:dyDescent="0.2">
      <c r="L3494" s="12"/>
      <c r="M3494" s="13"/>
    </row>
    <row r="3495" spans="12:13" x14ac:dyDescent="0.2">
      <c r="L3495" s="12"/>
      <c r="M3495" s="13"/>
    </row>
    <row r="3496" spans="12:13" x14ac:dyDescent="0.2">
      <c r="L3496" s="12"/>
      <c r="M3496" s="13"/>
    </row>
    <row r="3497" spans="12:13" x14ac:dyDescent="0.2">
      <c r="L3497" s="12"/>
      <c r="M3497" s="13"/>
    </row>
    <row r="3498" spans="12:13" x14ac:dyDescent="0.2">
      <c r="L3498" s="12"/>
      <c r="M3498" s="13"/>
    </row>
    <row r="3499" spans="12:13" x14ac:dyDescent="0.2">
      <c r="L3499" s="12"/>
      <c r="M3499" s="13"/>
    </row>
    <row r="3500" spans="12:13" x14ac:dyDescent="0.2">
      <c r="L3500" s="12"/>
      <c r="M3500" s="13"/>
    </row>
    <row r="3501" spans="12:13" x14ac:dyDescent="0.2">
      <c r="L3501" s="12"/>
      <c r="M3501" s="13"/>
    </row>
    <row r="3502" spans="12:13" x14ac:dyDescent="0.2">
      <c r="L3502" s="12"/>
      <c r="M3502" s="13"/>
    </row>
    <row r="3503" spans="12:13" x14ac:dyDescent="0.2">
      <c r="L3503" s="12"/>
      <c r="M3503" s="13"/>
    </row>
    <row r="3504" spans="12:13" x14ac:dyDescent="0.2">
      <c r="L3504" s="12"/>
      <c r="M3504" s="13"/>
    </row>
    <row r="3505" spans="12:13" x14ac:dyDescent="0.2">
      <c r="L3505" s="12"/>
      <c r="M3505" s="13"/>
    </row>
    <row r="3506" spans="12:13" x14ac:dyDescent="0.2">
      <c r="L3506" s="12"/>
      <c r="M3506" s="13"/>
    </row>
    <row r="3507" spans="12:13" x14ac:dyDescent="0.2">
      <c r="L3507" s="12"/>
      <c r="M3507" s="13"/>
    </row>
    <row r="3508" spans="12:13" x14ac:dyDescent="0.2">
      <c r="L3508" s="12"/>
      <c r="M3508" s="13"/>
    </row>
    <row r="3509" spans="12:13" x14ac:dyDescent="0.2">
      <c r="L3509" s="12"/>
      <c r="M3509" s="13"/>
    </row>
    <row r="3510" spans="12:13" x14ac:dyDescent="0.2">
      <c r="L3510" s="12"/>
      <c r="M3510" s="13"/>
    </row>
    <row r="3511" spans="12:13" x14ac:dyDescent="0.2">
      <c r="L3511" s="12"/>
      <c r="M3511" s="13"/>
    </row>
    <row r="3512" spans="12:13" x14ac:dyDescent="0.2">
      <c r="L3512" s="12"/>
      <c r="M3512" s="13"/>
    </row>
    <row r="3513" spans="12:13" x14ac:dyDescent="0.2">
      <c r="L3513" s="12"/>
      <c r="M3513" s="13"/>
    </row>
    <row r="3514" spans="12:13" x14ac:dyDescent="0.2">
      <c r="L3514" s="12"/>
      <c r="M3514" s="13"/>
    </row>
    <row r="3515" spans="12:13" x14ac:dyDescent="0.2">
      <c r="L3515" s="12"/>
      <c r="M3515" s="13"/>
    </row>
    <row r="3516" spans="12:13" x14ac:dyDescent="0.2">
      <c r="L3516" s="12"/>
      <c r="M3516" s="13"/>
    </row>
    <row r="3517" spans="12:13" x14ac:dyDescent="0.2">
      <c r="L3517" s="12"/>
      <c r="M3517" s="13"/>
    </row>
    <row r="3518" spans="12:13" x14ac:dyDescent="0.2">
      <c r="L3518" s="12"/>
      <c r="M3518" s="13"/>
    </row>
    <row r="3519" spans="12:13" x14ac:dyDescent="0.2">
      <c r="L3519" s="12"/>
      <c r="M3519" s="13"/>
    </row>
    <row r="3520" spans="12:13" x14ac:dyDescent="0.2">
      <c r="L3520" s="12"/>
      <c r="M3520" s="13"/>
    </row>
    <row r="3521" spans="12:13" x14ac:dyDescent="0.2">
      <c r="L3521" s="12"/>
      <c r="M3521" s="13"/>
    </row>
    <row r="3522" spans="12:13" x14ac:dyDescent="0.2">
      <c r="L3522" s="12"/>
      <c r="M3522" s="13"/>
    </row>
    <row r="3523" spans="12:13" x14ac:dyDescent="0.2">
      <c r="L3523" s="12"/>
      <c r="M3523" s="13"/>
    </row>
    <row r="3524" spans="12:13" x14ac:dyDescent="0.2">
      <c r="L3524" s="12"/>
      <c r="M3524" s="13"/>
    </row>
    <row r="3525" spans="12:13" x14ac:dyDescent="0.2">
      <c r="L3525" s="12"/>
      <c r="M3525" s="13"/>
    </row>
    <row r="3526" spans="12:13" x14ac:dyDescent="0.2">
      <c r="L3526" s="12"/>
      <c r="M3526" s="13"/>
    </row>
    <row r="3527" spans="12:13" x14ac:dyDescent="0.2">
      <c r="L3527" s="12"/>
      <c r="M3527" s="13"/>
    </row>
    <row r="3528" spans="12:13" x14ac:dyDescent="0.2">
      <c r="L3528" s="12"/>
      <c r="M3528" s="13"/>
    </row>
    <row r="3529" spans="12:13" x14ac:dyDescent="0.2">
      <c r="L3529" s="12"/>
      <c r="M3529" s="13"/>
    </row>
    <row r="3530" spans="12:13" x14ac:dyDescent="0.2">
      <c r="L3530" s="12"/>
      <c r="M3530" s="13"/>
    </row>
    <row r="3531" spans="12:13" x14ac:dyDescent="0.2">
      <c r="L3531" s="12"/>
      <c r="M3531" s="13"/>
    </row>
    <row r="3532" spans="12:13" x14ac:dyDescent="0.2">
      <c r="L3532" s="12"/>
      <c r="M3532" s="13"/>
    </row>
    <row r="3533" spans="12:13" x14ac:dyDescent="0.2">
      <c r="L3533" s="12"/>
      <c r="M3533" s="13"/>
    </row>
    <row r="3534" spans="12:13" x14ac:dyDescent="0.2">
      <c r="L3534" s="12"/>
      <c r="M3534" s="13"/>
    </row>
    <row r="3535" spans="12:13" x14ac:dyDescent="0.2">
      <c r="L3535" s="12"/>
      <c r="M3535" s="13"/>
    </row>
    <row r="3536" spans="12:13" x14ac:dyDescent="0.2">
      <c r="L3536" s="12"/>
      <c r="M3536" s="13"/>
    </row>
    <row r="3537" spans="12:13" x14ac:dyDescent="0.2">
      <c r="L3537" s="12"/>
      <c r="M3537" s="13"/>
    </row>
    <row r="3538" spans="12:13" x14ac:dyDescent="0.2">
      <c r="L3538" s="12"/>
      <c r="M3538" s="13"/>
    </row>
    <row r="3539" spans="12:13" x14ac:dyDescent="0.2">
      <c r="L3539" s="12"/>
      <c r="M3539" s="13"/>
    </row>
    <row r="3540" spans="12:13" x14ac:dyDescent="0.2">
      <c r="L3540" s="12"/>
      <c r="M3540" s="13"/>
    </row>
    <row r="3541" spans="12:13" x14ac:dyDescent="0.2">
      <c r="L3541" s="12"/>
      <c r="M3541" s="13"/>
    </row>
    <row r="3542" spans="12:13" x14ac:dyDescent="0.2">
      <c r="L3542" s="12"/>
      <c r="M3542" s="13"/>
    </row>
    <row r="3543" spans="12:13" x14ac:dyDescent="0.2">
      <c r="L3543" s="12"/>
      <c r="M3543" s="13"/>
    </row>
    <row r="3544" spans="12:13" x14ac:dyDescent="0.2">
      <c r="L3544" s="12"/>
      <c r="M3544" s="13"/>
    </row>
    <row r="3545" spans="12:13" x14ac:dyDescent="0.2">
      <c r="L3545" s="12"/>
      <c r="M3545" s="13"/>
    </row>
    <row r="3546" spans="12:13" x14ac:dyDescent="0.2">
      <c r="L3546" s="12"/>
      <c r="M3546" s="13"/>
    </row>
    <row r="3547" spans="12:13" x14ac:dyDescent="0.2">
      <c r="L3547" s="12"/>
      <c r="M3547" s="13"/>
    </row>
    <row r="3548" spans="12:13" x14ac:dyDescent="0.2">
      <c r="L3548" s="12"/>
      <c r="M3548" s="13"/>
    </row>
    <row r="3549" spans="12:13" x14ac:dyDescent="0.2">
      <c r="L3549" s="12"/>
      <c r="M3549" s="13"/>
    </row>
    <row r="3550" spans="12:13" x14ac:dyDescent="0.2">
      <c r="L3550" s="12"/>
      <c r="M3550" s="13"/>
    </row>
    <row r="3551" spans="12:13" x14ac:dyDescent="0.2">
      <c r="L3551" s="12"/>
      <c r="M3551" s="13"/>
    </row>
    <row r="3552" spans="12:13" x14ac:dyDescent="0.2">
      <c r="L3552" s="12"/>
      <c r="M3552" s="13"/>
    </row>
    <row r="3553" spans="12:13" x14ac:dyDescent="0.2">
      <c r="L3553" s="12"/>
      <c r="M3553" s="13"/>
    </row>
    <row r="3554" spans="12:13" x14ac:dyDescent="0.2">
      <c r="L3554" s="12"/>
      <c r="M3554" s="13"/>
    </row>
    <row r="3555" spans="12:13" x14ac:dyDescent="0.2">
      <c r="L3555" s="12"/>
      <c r="M3555" s="13"/>
    </row>
    <row r="3556" spans="12:13" x14ac:dyDescent="0.2">
      <c r="L3556" s="12"/>
      <c r="M3556" s="13"/>
    </row>
    <row r="3557" spans="12:13" x14ac:dyDescent="0.2">
      <c r="L3557" s="12"/>
      <c r="M3557" s="13"/>
    </row>
    <row r="3558" spans="12:13" x14ac:dyDescent="0.2">
      <c r="L3558" s="12"/>
      <c r="M3558" s="13"/>
    </row>
    <row r="3559" spans="12:13" x14ac:dyDescent="0.2">
      <c r="L3559" s="12"/>
      <c r="M3559" s="13"/>
    </row>
    <row r="3560" spans="12:13" x14ac:dyDescent="0.2">
      <c r="L3560" s="12"/>
      <c r="M3560" s="13"/>
    </row>
    <row r="3561" spans="12:13" x14ac:dyDescent="0.2">
      <c r="L3561" s="12"/>
      <c r="M3561" s="13"/>
    </row>
    <row r="3562" spans="12:13" x14ac:dyDescent="0.2">
      <c r="L3562" s="12"/>
      <c r="M3562" s="13"/>
    </row>
    <row r="3563" spans="12:13" x14ac:dyDescent="0.2">
      <c r="L3563" s="12"/>
      <c r="M3563" s="13"/>
    </row>
    <row r="3564" spans="12:13" x14ac:dyDescent="0.2">
      <c r="L3564" s="12"/>
      <c r="M3564" s="13"/>
    </row>
    <row r="3565" spans="12:13" x14ac:dyDescent="0.2">
      <c r="L3565" s="12"/>
      <c r="M3565" s="13"/>
    </row>
    <row r="3566" spans="12:13" x14ac:dyDescent="0.2">
      <c r="L3566" s="12"/>
      <c r="M3566" s="13"/>
    </row>
    <row r="3567" spans="12:13" x14ac:dyDescent="0.2">
      <c r="L3567" s="12"/>
      <c r="M3567" s="13"/>
    </row>
    <row r="3568" spans="12:13" x14ac:dyDescent="0.2">
      <c r="L3568" s="12"/>
      <c r="M3568" s="13"/>
    </row>
    <row r="3569" spans="12:13" x14ac:dyDescent="0.2">
      <c r="L3569" s="12"/>
      <c r="M3569" s="13"/>
    </row>
    <row r="3570" spans="12:13" x14ac:dyDescent="0.2">
      <c r="L3570" s="12"/>
      <c r="M3570" s="13"/>
    </row>
    <row r="3571" spans="12:13" x14ac:dyDescent="0.2">
      <c r="L3571" s="12"/>
      <c r="M3571" s="13"/>
    </row>
    <row r="3572" spans="12:13" x14ac:dyDescent="0.2">
      <c r="L3572" s="12"/>
      <c r="M3572" s="13"/>
    </row>
    <row r="3573" spans="12:13" x14ac:dyDescent="0.2">
      <c r="L3573" s="12"/>
      <c r="M3573" s="13"/>
    </row>
    <row r="3574" spans="12:13" x14ac:dyDescent="0.2">
      <c r="L3574" s="12"/>
      <c r="M3574" s="13"/>
    </row>
    <row r="3575" spans="12:13" x14ac:dyDescent="0.2">
      <c r="L3575" s="12"/>
      <c r="M3575" s="13"/>
    </row>
    <row r="3576" spans="12:13" x14ac:dyDescent="0.2">
      <c r="L3576" s="12"/>
      <c r="M3576" s="13"/>
    </row>
    <row r="3577" spans="12:13" x14ac:dyDescent="0.2">
      <c r="L3577" s="12"/>
      <c r="M3577" s="13"/>
    </row>
    <row r="3578" spans="12:13" x14ac:dyDescent="0.2">
      <c r="L3578" s="12"/>
      <c r="M3578" s="13"/>
    </row>
    <row r="3579" spans="12:13" x14ac:dyDescent="0.2">
      <c r="L3579" s="12"/>
      <c r="M3579" s="13"/>
    </row>
    <row r="3580" spans="12:13" x14ac:dyDescent="0.2">
      <c r="L3580" s="12"/>
      <c r="M3580" s="13"/>
    </row>
    <row r="3581" spans="12:13" x14ac:dyDescent="0.2">
      <c r="L3581" s="12"/>
      <c r="M3581" s="13"/>
    </row>
    <row r="3582" spans="12:13" x14ac:dyDescent="0.2">
      <c r="L3582" s="12"/>
      <c r="M3582" s="13"/>
    </row>
    <row r="3583" spans="12:13" x14ac:dyDescent="0.2">
      <c r="L3583" s="12"/>
      <c r="M3583" s="13"/>
    </row>
    <row r="3584" spans="12:13" x14ac:dyDescent="0.2">
      <c r="L3584" s="12"/>
      <c r="M3584" s="13"/>
    </row>
    <row r="3585" spans="12:13" x14ac:dyDescent="0.2">
      <c r="L3585" s="12"/>
      <c r="M3585" s="13"/>
    </row>
    <row r="3586" spans="12:13" x14ac:dyDescent="0.2">
      <c r="L3586" s="17"/>
      <c r="M3586" s="18"/>
    </row>
    <row r="3587" spans="12:13" x14ac:dyDescent="0.2">
      <c r="L3587" s="12"/>
      <c r="M3587" s="13"/>
    </row>
    <row r="3588" spans="12:13" x14ac:dyDescent="0.2">
      <c r="L3588" s="12"/>
      <c r="M3588" s="13"/>
    </row>
    <row r="3589" spans="12:13" x14ac:dyDescent="0.2">
      <c r="L3589" s="12"/>
      <c r="M3589" s="13"/>
    </row>
    <row r="3590" spans="12:13" x14ac:dyDescent="0.2">
      <c r="L3590" s="12"/>
      <c r="M3590" s="13"/>
    </row>
    <row r="3591" spans="12:13" x14ac:dyDescent="0.2">
      <c r="L3591" s="12"/>
      <c r="M3591" s="13"/>
    </row>
    <row r="3592" spans="12:13" x14ac:dyDescent="0.2">
      <c r="L3592" s="12"/>
      <c r="M3592" s="13"/>
    </row>
    <row r="3593" spans="12:13" x14ac:dyDescent="0.2">
      <c r="L3593" s="12"/>
      <c r="M3593" s="13"/>
    </row>
    <row r="3594" spans="12:13" x14ac:dyDescent="0.2">
      <c r="L3594" s="12"/>
      <c r="M3594" s="13"/>
    </row>
    <row r="3595" spans="12:13" x14ac:dyDescent="0.2">
      <c r="L3595" s="12"/>
      <c r="M3595" s="13"/>
    </row>
    <row r="3596" spans="12:13" x14ac:dyDescent="0.2">
      <c r="L3596" s="12"/>
      <c r="M3596" s="13"/>
    </row>
    <row r="3597" spans="12:13" x14ac:dyDescent="0.2">
      <c r="L3597" s="12"/>
      <c r="M3597" s="13"/>
    </row>
    <row r="3598" spans="12:13" x14ac:dyDescent="0.2">
      <c r="L3598" s="12"/>
      <c r="M3598" s="13"/>
    </row>
    <row r="3599" spans="12:13" x14ac:dyDescent="0.2">
      <c r="L3599" s="12"/>
      <c r="M3599" s="13"/>
    </row>
    <row r="3600" spans="12:13" x14ac:dyDescent="0.2">
      <c r="L3600" s="12"/>
      <c r="M3600" s="13"/>
    </row>
    <row r="3601" spans="12:13" x14ac:dyDescent="0.2">
      <c r="L3601" s="12"/>
      <c r="M3601" s="13"/>
    </row>
    <row r="3602" spans="12:13" x14ac:dyDescent="0.2">
      <c r="L3602" s="12"/>
      <c r="M3602" s="13"/>
    </row>
    <row r="3603" spans="12:13" x14ac:dyDescent="0.2">
      <c r="L3603" s="12"/>
      <c r="M3603" s="13"/>
    </row>
    <row r="3604" spans="12:13" x14ac:dyDescent="0.2">
      <c r="L3604" s="12"/>
      <c r="M3604" s="13"/>
    </row>
    <row r="3605" spans="12:13" x14ac:dyDescent="0.2">
      <c r="L3605" s="12"/>
      <c r="M3605" s="13"/>
    </row>
    <row r="3606" spans="12:13" x14ac:dyDescent="0.2">
      <c r="L3606" s="12"/>
      <c r="M3606" s="13"/>
    </row>
    <row r="3607" spans="12:13" x14ac:dyDescent="0.2">
      <c r="L3607" s="12"/>
      <c r="M3607" s="13"/>
    </row>
    <row r="3608" spans="12:13" x14ac:dyDescent="0.2">
      <c r="L3608" s="12"/>
      <c r="M3608" s="13"/>
    </row>
    <row r="3609" spans="12:13" x14ac:dyDescent="0.2">
      <c r="L3609" s="12"/>
      <c r="M3609" s="13"/>
    </row>
    <row r="3610" spans="12:13" x14ac:dyDescent="0.2">
      <c r="L3610" s="12"/>
      <c r="M3610" s="13"/>
    </row>
    <row r="3611" spans="12:13" x14ac:dyDescent="0.2">
      <c r="L3611" s="12"/>
      <c r="M3611" s="13"/>
    </row>
    <row r="3612" spans="12:13" x14ac:dyDescent="0.2">
      <c r="L3612" s="12"/>
      <c r="M3612" s="13"/>
    </row>
    <row r="3613" spans="12:13" x14ac:dyDescent="0.2">
      <c r="L3613" s="12"/>
      <c r="M3613" s="13"/>
    </row>
    <row r="3614" spans="12:13" x14ac:dyDescent="0.2">
      <c r="L3614" s="12"/>
      <c r="M3614" s="13"/>
    </row>
    <row r="3615" spans="12:13" x14ac:dyDescent="0.2">
      <c r="L3615" s="12"/>
      <c r="M3615" s="13"/>
    </row>
    <row r="3616" spans="12:13" x14ac:dyDescent="0.2">
      <c r="L3616" s="12"/>
      <c r="M3616" s="13"/>
    </row>
    <row r="3617" spans="12:13" x14ac:dyDescent="0.2">
      <c r="L3617" s="12"/>
      <c r="M3617" s="13"/>
    </row>
    <row r="3618" spans="12:13" x14ac:dyDescent="0.2">
      <c r="L3618" s="12"/>
      <c r="M3618" s="13"/>
    </row>
    <row r="3619" spans="12:13" x14ac:dyDescent="0.2">
      <c r="L3619" s="12"/>
      <c r="M3619" s="13"/>
    </row>
    <row r="3620" spans="12:13" x14ac:dyDescent="0.2">
      <c r="L3620" s="12"/>
      <c r="M3620" s="13"/>
    </row>
    <row r="3621" spans="12:13" x14ac:dyDescent="0.2">
      <c r="L3621" s="12"/>
      <c r="M3621" s="13"/>
    </row>
    <row r="3622" spans="12:13" x14ac:dyDescent="0.2">
      <c r="L3622" s="12"/>
      <c r="M3622" s="13"/>
    </row>
    <row r="3623" spans="12:13" x14ac:dyDescent="0.2">
      <c r="L3623" s="12"/>
      <c r="M3623" s="13"/>
    </row>
    <row r="3624" spans="12:13" x14ac:dyDescent="0.2">
      <c r="L3624" s="12"/>
      <c r="M3624" s="13"/>
    </row>
    <row r="3625" spans="12:13" x14ac:dyDescent="0.2">
      <c r="L3625" s="12"/>
      <c r="M3625" s="13"/>
    </row>
    <row r="3626" spans="12:13" x14ac:dyDescent="0.2">
      <c r="L3626" s="12"/>
      <c r="M3626" s="13"/>
    </row>
    <row r="3627" spans="12:13" x14ac:dyDescent="0.2">
      <c r="L3627" s="12"/>
      <c r="M3627" s="13"/>
    </row>
    <row r="3628" spans="12:13" x14ac:dyDescent="0.2">
      <c r="L3628" s="12"/>
      <c r="M3628" s="13"/>
    </row>
    <row r="3629" spans="12:13" x14ac:dyDescent="0.2">
      <c r="L3629" s="12"/>
      <c r="M3629" s="13"/>
    </row>
    <row r="3630" spans="12:13" x14ac:dyDescent="0.2">
      <c r="L3630" s="12"/>
      <c r="M3630" s="13"/>
    </row>
    <row r="3631" spans="12:13" x14ac:dyDescent="0.2">
      <c r="L3631" s="12"/>
      <c r="M3631" s="13"/>
    </row>
    <row r="3632" spans="12:13" x14ac:dyDescent="0.2">
      <c r="L3632" s="12"/>
      <c r="M3632" s="13"/>
    </row>
    <row r="3633" spans="12:13" x14ac:dyDescent="0.2">
      <c r="L3633" s="12"/>
      <c r="M3633" s="13"/>
    </row>
    <row r="3634" spans="12:13" x14ac:dyDescent="0.2">
      <c r="L3634" s="12"/>
      <c r="M3634" s="13"/>
    </row>
    <row r="3635" spans="12:13" x14ac:dyDescent="0.2">
      <c r="L3635" s="12"/>
      <c r="M3635" s="13"/>
    </row>
    <row r="3636" spans="12:13" x14ac:dyDescent="0.2">
      <c r="L3636" s="12"/>
      <c r="M3636" s="13"/>
    </row>
    <row r="3637" spans="12:13" x14ac:dyDescent="0.2">
      <c r="L3637" s="12"/>
      <c r="M3637" s="13"/>
    </row>
    <row r="3638" spans="12:13" x14ac:dyDescent="0.2">
      <c r="L3638" s="12"/>
      <c r="M3638" s="13"/>
    </row>
    <row r="3639" spans="12:13" x14ac:dyDescent="0.2">
      <c r="L3639" s="12"/>
      <c r="M3639" s="13"/>
    </row>
    <row r="3640" spans="12:13" x14ac:dyDescent="0.2">
      <c r="L3640" s="12"/>
      <c r="M3640" s="13"/>
    </row>
    <row r="3641" spans="12:13" x14ac:dyDescent="0.2">
      <c r="L3641" s="12"/>
      <c r="M3641" s="13"/>
    </row>
    <row r="3642" spans="12:13" x14ac:dyDescent="0.2">
      <c r="L3642" s="12"/>
      <c r="M3642" s="13"/>
    </row>
    <row r="3643" spans="12:13" x14ac:dyDescent="0.2">
      <c r="L3643" s="12"/>
      <c r="M3643" s="13"/>
    </row>
    <row r="3644" spans="12:13" x14ac:dyDescent="0.2">
      <c r="L3644" s="12"/>
      <c r="M3644" s="13"/>
    </row>
    <row r="3645" spans="12:13" x14ac:dyDescent="0.2">
      <c r="L3645" s="12"/>
      <c r="M3645" s="13"/>
    </row>
    <row r="3646" spans="12:13" x14ac:dyDescent="0.2">
      <c r="L3646" s="12"/>
      <c r="M3646" s="13"/>
    </row>
    <row r="3647" spans="12:13" x14ac:dyDescent="0.2">
      <c r="L3647" s="12"/>
      <c r="M3647" s="13"/>
    </row>
    <row r="3648" spans="12:13" x14ac:dyDescent="0.2">
      <c r="L3648" s="12"/>
      <c r="M3648" s="13"/>
    </row>
    <row r="3649" spans="12:13" x14ac:dyDescent="0.2">
      <c r="L3649" s="12"/>
      <c r="M3649" s="13"/>
    </row>
    <row r="3650" spans="12:13" x14ac:dyDescent="0.2">
      <c r="L3650" s="12"/>
      <c r="M3650" s="13"/>
    </row>
    <row r="3651" spans="12:13" x14ac:dyDescent="0.2">
      <c r="L3651" s="12"/>
      <c r="M3651" s="13"/>
    </row>
    <row r="3652" spans="12:13" x14ac:dyDescent="0.2">
      <c r="L3652" s="12"/>
      <c r="M3652" s="13"/>
    </row>
    <row r="3653" spans="12:13" x14ac:dyDescent="0.2">
      <c r="L3653" s="12"/>
      <c r="M3653" s="13"/>
    </row>
    <row r="3654" spans="12:13" x14ac:dyDescent="0.2">
      <c r="L3654" s="12"/>
      <c r="M3654" s="13"/>
    </row>
    <row r="3655" spans="12:13" x14ac:dyDescent="0.2">
      <c r="L3655" s="12"/>
      <c r="M3655" s="13"/>
    </row>
    <row r="3656" spans="12:13" x14ac:dyDescent="0.2">
      <c r="L3656" s="12"/>
      <c r="M3656" s="13"/>
    </row>
    <row r="3657" spans="12:13" x14ac:dyDescent="0.2">
      <c r="L3657" s="12"/>
      <c r="M3657" s="13"/>
    </row>
    <row r="3658" spans="12:13" x14ac:dyDescent="0.2">
      <c r="L3658" s="12"/>
      <c r="M3658" s="13"/>
    </row>
    <row r="3659" spans="12:13" x14ac:dyDescent="0.2">
      <c r="L3659" s="12"/>
      <c r="M3659" s="13"/>
    </row>
    <row r="3660" spans="12:13" x14ac:dyDescent="0.2">
      <c r="L3660" s="12"/>
      <c r="M3660" s="13"/>
    </row>
    <row r="3661" spans="12:13" x14ac:dyDescent="0.2">
      <c r="L3661" s="12"/>
      <c r="M3661" s="13"/>
    </row>
    <row r="3662" spans="12:13" x14ac:dyDescent="0.2">
      <c r="L3662" s="12"/>
      <c r="M3662" s="13"/>
    </row>
    <row r="3663" spans="12:13" x14ac:dyDescent="0.2">
      <c r="L3663" s="12"/>
      <c r="M3663" s="13"/>
    </row>
    <row r="3664" spans="12:13" x14ac:dyDescent="0.2">
      <c r="L3664" s="12"/>
      <c r="M3664" s="13"/>
    </row>
    <row r="3665" spans="12:13" x14ac:dyDescent="0.2">
      <c r="L3665" s="12"/>
      <c r="M3665" s="13"/>
    </row>
    <row r="3666" spans="12:13" x14ac:dyDescent="0.2">
      <c r="L3666" s="12"/>
      <c r="M3666" s="13"/>
    </row>
    <row r="3667" spans="12:13" x14ac:dyDescent="0.2">
      <c r="L3667" s="12"/>
      <c r="M3667" s="13"/>
    </row>
    <row r="3668" spans="12:13" x14ac:dyDescent="0.2">
      <c r="L3668" s="12"/>
      <c r="M3668" s="13"/>
    </row>
    <row r="3669" spans="12:13" x14ac:dyDescent="0.2">
      <c r="L3669" s="12"/>
      <c r="M3669" s="13"/>
    </row>
    <row r="3670" spans="12:13" x14ac:dyDescent="0.2">
      <c r="L3670" s="12"/>
      <c r="M3670" s="13"/>
    </row>
    <row r="3671" spans="12:13" x14ac:dyDescent="0.2">
      <c r="L3671" s="12"/>
      <c r="M3671" s="13"/>
    </row>
    <row r="3672" spans="12:13" x14ac:dyDescent="0.2">
      <c r="L3672" s="12"/>
      <c r="M3672" s="13"/>
    </row>
    <row r="3673" spans="12:13" x14ac:dyDescent="0.2">
      <c r="L3673" s="12"/>
      <c r="M3673" s="13"/>
    </row>
    <row r="3674" spans="12:13" x14ac:dyDescent="0.2">
      <c r="L3674" s="12"/>
      <c r="M3674" s="13"/>
    </row>
    <row r="3675" spans="12:13" x14ac:dyDescent="0.2">
      <c r="L3675" s="12"/>
      <c r="M3675" s="13"/>
    </row>
    <row r="3676" spans="12:13" x14ac:dyDescent="0.2">
      <c r="L3676" s="12"/>
      <c r="M3676" s="13"/>
    </row>
    <row r="3677" spans="12:13" x14ac:dyDescent="0.2">
      <c r="L3677" s="12"/>
      <c r="M3677" s="13"/>
    </row>
    <row r="3678" spans="12:13" x14ac:dyDescent="0.2">
      <c r="L3678" s="12"/>
      <c r="M3678" s="13"/>
    </row>
    <row r="3679" spans="12:13" x14ac:dyDescent="0.2">
      <c r="L3679" s="12"/>
      <c r="M3679" s="13"/>
    </row>
    <row r="3680" spans="12:13" x14ac:dyDescent="0.2">
      <c r="L3680" s="12"/>
      <c r="M3680" s="13"/>
    </row>
    <row r="3681" spans="12:13" x14ac:dyDescent="0.2">
      <c r="L3681" s="12"/>
      <c r="M3681" s="13"/>
    </row>
    <row r="3682" spans="12:13" x14ac:dyDescent="0.2">
      <c r="L3682" s="12"/>
      <c r="M3682" s="13"/>
    </row>
    <row r="3683" spans="12:13" x14ac:dyDescent="0.2">
      <c r="L3683" s="12"/>
      <c r="M3683" s="13"/>
    </row>
    <row r="3684" spans="12:13" x14ac:dyDescent="0.2">
      <c r="L3684" s="12"/>
      <c r="M3684" s="13"/>
    </row>
    <row r="3685" spans="12:13" x14ac:dyDescent="0.2">
      <c r="L3685" s="12"/>
      <c r="M3685" s="13"/>
    </row>
    <row r="3686" spans="12:13" x14ac:dyDescent="0.2">
      <c r="L3686" s="12"/>
      <c r="M3686" s="13"/>
    </row>
    <row r="3687" spans="12:13" x14ac:dyDescent="0.2">
      <c r="L3687" s="12"/>
      <c r="M3687" s="13"/>
    </row>
    <row r="3688" spans="12:13" x14ac:dyDescent="0.2">
      <c r="L3688" s="12"/>
      <c r="M3688" s="13"/>
    </row>
    <row r="3689" spans="12:13" x14ac:dyDescent="0.2">
      <c r="L3689" s="12"/>
      <c r="M3689" s="13"/>
    </row>
    <row r="3690" spans="12:13" x14ac:dyDescent="0.2">
      <c r="L3690" s="12"/>
      <c r="M3690" s="13"/>
    </row>
    <row r="3691" spans="12:13" x14ac:dyDescent="0.2">
      <c r="L3691" s="12"/>
      <c r="M3691" s="13"/>
    </row>
    <row r="3692" spans="12:13" x14ac:dyDescent="0.2">
      <c r="L3692" s="12"/>
      <c r="M3692" s="13"/>
    </row>
    <row r="3693" spans="12:13" x14ac:dyDescent="0.2">
      <c r="L3693" s="12"/>
      <c r="M3693" s="13"/>
    </row>
    <row r="3694" spans="12:13" x14ac:dyDescent="0.2">
      <c r="L3694" s="12"/>
      <c r="M3694" s="13"/>
    </row>
    <row r="3695" spans="12:13" x14ac:dyDescent="0.2">
      <c r="L3695" s="12"/>
      <c r="M3695" s="13"/>
    </row>
    <row r="3696" spans="12:13" x14ac:dyDescent="0.2">
      <c r="L3696" s="12"/>
      <c r="M3696" s="13"/>
    </row>
    <row r="3697" spans="12:13" x14ac:dyDescent="0.2">
      <c r="L3697" s="12"/>
      <c r="M3697" s="13"/>
    </row>
    <row r="3698" spans="12:13" x14ac:dyDescent="0.2">
      <c r="L3698" s="12"/>
      <c r="M3698" s="13"/>
    </row>
    <row r="3699" spans="12:13" x14ac:dyDescent="0.2">
      <c r="L3699" s="12"/>
      <c r="M3699" s="13"/>
    </row>
    <row r="3700" spans="12:13" x14ac:dyDescent="0.2">
      <c r="L3700" s="12"/>
      <c r="M3700" s="13"/>
    </row>
    <row r="3701" spans="12:13" x14ac:dyDescent="0.2">
      <c r="L3701" s="12"/>
      <c r="M3701" s="13"/>
    </row>
    <row r="3702" spans="12:13" x14ac:dyDescent="0.2">
      <c r="L3702" s="12"/>
      <c r="M3702" s="13"/>
    </row>
    <row r="3703" spans="12:13" x14ac:dyDescent="0.2">
      <c r="L3703" s="12"/>
      <c r="M3703" s="13"/>
    </row>
    <row r="3704" spans="12:13" x14ac:dyDescent="0.2">
      <c r="L3704" s="12"/>
      <c r="M3704" s="13"/>
    </row>
    <row r="3705" spans="12:13" x14ac:dyDescent="0.2">
      <c r="L3705" s="12"/>
      <c r="M3705" s="13"/>
    </row>
    <row r="3706" spans="12:13" x14ac:dyDescent="0.2">
      <c r="L3706" s="12"/>
      <c r="M3706" s="13"/>
    </row>
    <row r="3707" spans="12:13" x14ac:dyDescent="0.2">
      <c r="L3707" s="12"/>
      <c r="M3707" s="13"/>
    </row>
    <row r="3708" spans="12:13" x14ac:dyDescent="0.2">
      <c r="L3708" s="12"/>
      <c r="M3708" s="13"/>
    </row>
    <row r="3709" spans="12:13" x14ac:dyDescent="0.2">
      <c r="L3709" s="12"/>
      <c r="M3709" s="13"/>
    </row>
    <row r="3710" spans="12:13" x14ac:dyDescent="0.2">
      <c r="L3710" s="12"/>
      <c r="M3710" s="13"/>
    </row>
    <row r="3711" spans="12:13" x14ac:dyDescent="0.2">
      <c r="L3711" s="12"/>
      <c r="M3711" s="13"/>
    </row>
    <row r="3712" spans="12:13" x14ac:dyDescent="0.2">
      <c r="L3712" s="12"/>
      <c r="M3712" s="13"/>
    </row>
    <row r="3713" spans="12:13" x14ac:dyDescent="0.2">
      <c r="L3713" s="12"/>
      <c r="M3713" s="13"/>
    </row>
    <row r="3714" spans="12:13" x14ac:dyDescent="0.2">
      <c r="L3714" s="12"/>
      <c r="M3714" s="13"/>
    </row>
    <row r="3715" spans="12:13" x14ac:dyDescent="0.2">
      <c r="L3715" s="12"/>
      <c r="M3715" s="13"/>
    </row>
    <row r="3716" spans="12:13" x14ac:dyDescent="0.2">
      <c r="L3716" s="12"/>
      <c r="M3716" s="13"/>
    </row>
    <row r="3717" spans="12:13" x14ac:dyDescent="0.2">
      <c r="L3717" s="12"/>
      <c r="M3717" s="13"/>
    </row>
    <row r="3718" spans="12:13" x14ac:dyDescent="0.2">
      <c r="L3718" s="12"/>
      <c r="M3718" s="13"/>
    </row>
    <row r="3719" spans="12:13" x14ac:dyDescent="0.2">
      <c r="L3719" s="12"/>
      <c r="M3719" s="13"/>
    </row>
    <row r="3720" spans="12:13" x14ac:dyDescent="0.2">
      <c r="L3720" s="12"/>
      <c r="M3720" s="13"/>
    </row>
    <row r="3721" spans="12:13" x14ac:dyDescent="0.2">
      <c r="L3721" s="12"/>
      <c r="M3721" s="13"/>
    </row>
    <row r="3722" spans="12:13" x14ac:dyDescent="0.2">
      <c r="L3722" s="12"/>
      <c r="M3722" s="13"/>
    </row>
    <row r="3723" spans="12:13" x14ac:dyDescent="0.2">
      <c r="L3723" s="12"/>
      <c r="M3723" s="13"/>
    </row>
    <row r="3724" spans="12:13" x14ac:dyDescent="0.2">
      <c r="L3724" s="12"/>
      <c r="M3724" s="13"/>
    </row>
    <row r="3725" spans="12:13" x14ac:dyDescent="0.2">
      <c r="L3725" s="12"/>
      <c r="M3725" s="13"/>
    </row>
    <row r="3726" spans="12:13" x14ac:dyDescent="0.2">
      <c r="L3726" s="12"/>
      <c r="M3726" s="13"/>
    </row>
    <row r="3727" spans="12:13" x14ac:dyDescent="0.2">
      <c r="L3727" s="12"/>
      <c r="M3727" s="13"/>
    </row>
    <row r="3728" spans="12:13" x14ac:dyDescent="0.2">
      <c r="L3728" s="12"/>
      <c r="M3728" s="13"/>
    </row>
    <row r="3729" spans="12:13" x14ac:dyDescent="0.2">
      <c r="L3729" s="12"/>
      <c r="M3729" s="13"/>
    </row>
    <row r="3730" spans="12:13" x14ac:dyDescent="0.2">
      <c r="L3730" s="12"/>
      <c r="M3730" s="13"/>
    </row>
    <row r="3731" spans="12:13" x14ac:dyDescent="0.2">
      <c r="L3731" s="12"/>
      <c r="M3731" s="13"/>
    </row>
    <row r="3732" spans="12:13" x14ac:dyDescent="0.2">
      <c r="L3732" s="12"/>
      <c r="M3732" s="13"/>
    </row>
    <row r="3733" spans="12:13" x14ac:dyDescent="0.2">
      <c r="L3733" s="12"/>
      <c r="M3733" s="13"/>
    </row>
    <row r="3734" spans="12:13" x14ac:dyDescent="0.2">
      <c r="L3734" s="12"/>
      <c r="M3734" s="13"/>
    </row>
    <row r="3735" spans="12:13" x14ac:dyDescent="0.2">
      <c r="L3735" s="12"/>
      <c r="M3735" s="13"/>
    </row>
    <row r="3736" spans="12:13" x14ac:dyDescent="0.2">
      <c r="L3736" s="12"/>
      <c r="M3736" s="13"/>
    </row>
    <row r="3737" spans="12:13" x14ac:dyDescent="0.2">
      <c r="L3737" s="12"/>
      <c r="M3737" s="13"/>
    </row>
    <row r="3738" spans="12:13" x14ac:dyDescent="0.2">
      <c r="L3738" s="12"/>
      <c r="M3738" s="13"/>
    </row>
    <row r="3739" spans="12:13" x14ac:dyDescent="0.2">
      <c r="L3739" s="12"/>
      <c r="M3739" s="13"/>
    </row>
    <row r="3740" spans="12:13" x14ac:dyDescent="0.2">
      <c r="L3740" s="12"/>
      <c r="M3740" s="13"/>
    </row>
    <row r="3741" spans="12:13" x14ac:dyDescent="0.2">
      <c r="L3741" s="12"/>
      <c r="M3741" s="13"/>
    </row>
    <row r="3742" spans="12:13" x14ac:dyDescent="0.2">
      <c r="L3742" s="12"/>
      <c r="M3742" s="13"/>
    </row>
    <row r="3743" spans="12:13" x14ac:dyDescent="0.2">
      <c r="L3743" s="12"/>
      <c r="M3743" s="13"/>
    </row>
    <row r="3744" spans="12:13" x14ac:dyDescent="0.2">
      <c r="L3744" s="12"/>
      <c r="M3744" s="13"/>
    </row>
    <row r="3745" spans="12:13" x14ac:dyDescent="0.2">
      <c r="L3745" s="12"/>
      <c r="M3745" s="13"/>
    </row>
    <row r="3746" spans="12:13" x14ac:dyDescent="0.2">
      <c r="L3746" s="12"/>
      <c r="M3746" s="13"/>
    </row>
    <row r="3747" spans="12:13" x14ac:dyDescent="0.2">
      <c r="L3747" s="12"/>
      <c r="M3747" s="13"/>
    </row>
    <row r="3748" spans="12:13" x14ac:dyDescent="0.2">
      <c r="L3748" s="12"/>
      <c r="M3748" s="13"/>
    </row>
    <row r="3749" spans="12:13" x14ac:dyDescent="0.2">
      <c r="L3749" s="12"/>
      <c r="M3749" s="13"/>
    </row>
    <row r="3750" spans="12:13" x14ac:dyDescent="0.2">
      <c r="L3750" s="12"/>
      <c r="M3750" s="13"/>
    </row>
    <row r="3751" spans="12:13" x14ac:dyDescent="0.2">
      <c r="L3751" s="12"/>
      <c r="M3751" s="13"/>
    </row>
    <row r="3752" spans="12:13" x14ac:dyDescent="0.2">
      <c r="L3752" s="12"/>
      <c r="M3752" s="13"/>
    </row>
    <row r="3753" spans="12:13" x14ac:dyDescent="0.2">
      <c r="L3753" s="12"/>
      <c r="M3753" s="13"/>
    </row>
    <row r="3754" spans="12:13" x14ac:dyDescent="0.2">
      <c r="L3754" s="12"/>
      <c r="M3754" s="13"/>
    </row>
    <row r="3755" spans="12:13" x14ac:dyDescent="0.2">
      <c r="L3755" s="12"/>
      <c r="M3755" s="13"/>
    </row>
    <row r="3756" spans="12:13" x14ac:dyDescent="0.2">
      <c r="L3756" s="12"/>
      <c r="M3756" s="13"/>
    </row>
    <row r="3757" spans="12:13" x14ac:dyDescent="0.2">
      <c r="L3757" s="12"/>
      <c r="M3757" s="13"/>
    </row>
    <row r="3758" spans="12:13" x14ac:dyDescent="0.2">
      <c r="L3758" s="12"/>
      <c r="M3758" s="13"/>
    </row>
    <row r="3759" spans="12:13" x14ac:dyDescent="0.2">
      <c r="L3759" s="12"/>
      <c r="M3759" s="13"/>
    </row>
    <row r="3760" spans="12:13" x14ac:dyDescent="0.2">
      <c r="L3760" s="12"/>
      <c r="M3760" s="13"/>
    </row>
    <row r="3761" spans="12:13" x14ac:dyDescent="0.2">
      <c r="L3761" s="12"/>
      <c r="M3761" s="13"/>
    </row>
    <row r="3762" spans="12:13" x14ac:dyDescent="0.2">
      <c r="L3762" s="12"/>
      <c r="M3762" s="13"/>
    </row>
    <row r="3763" spans="12:13" x14ac:dyDescent="0.2">
      <c r="L3763" s="12"/>
      <c r="M3763" s="13"/>
    </row>
    <row r="3764" spans="12:13" x14ac:dyDescent="0.2">
      <c r="L3764" s="12"/>
      <c r="M3764" s="13"/>
    </row>
    <row r="3765" spans="12:13" x14ac:dyDescent="0.2">
      <c r="L3765" s="12"/>
      <c r="M3765" s="13"/>
    </row>
    <row r="3766" spans="12:13" x14ac:dyDescent="0.2">
      <c r="L3766" s="12"/>
      <c r="M3766" s="13"/>
    </row>
    <row r="3767" spans="12:13" x14ac:dyDescent="0.2">
      <c r="L3767" s="12"/>
      <c r="M3767" s="13"/>
    </row>
    <row r="3768" spans="12:13" x14ac:dyDescent="0.2">
      <c r="L3768" s="12"/>
      <c r="M3768" s="13"/>
    </row>
    <row r="3769" spans="12:13" x14ac:dyDescent="0.2">
      <c r="L3769" s="12"/>
      <c r="M3769" s="13"/>
    </row>
    <row r="3770" spans="12:13" x14ac:dyDescent="0.2">
      <c r="L3770" s="12"/>
      <c r="M3770" s="13"/>
    </row>
    <row r="3771" spans="12:13" x14ac:dyDescent="0.2">
      <c r="L3771" s="12"/>
      <c r="M3771" s="13"/>
    </row>
    <row r="3772" spans="12:13" x14ac:dyDescent="0.2">
      <c r="L3772" s="12"/>
      <c r="M3772" s="13"/>
    </row>
    <row r="3773" spans="12:13" x14ac:dyDescent="0.2">
      <c r="L3773" s="12"/>
      <c r="M3773" s="13"/>
    </row>
    <row r="3774" spans="12:13" x14ac:dyDescent="0.2">
      <c r="L3774" s="12"/>
      <c r="M3774" s="13"/>
    </row>
    <row r="3775" spans="12:13" x14ac:dyDescent="0.2">
      <c r="L3775" s="12"/>
      <c r="M3775" s="13"/>
    </row>
    <row r="3776" spans="12:13" x14ac:dyDescent="0.2">
      <c r="L3776" s="12"/>
      <c r="M3776" s="13"/>
    </row>
    <row r="3777" spans="12:13" x14ac:dyDescent="0.2">
      <c r="L3777" s="12"/>
      <c r="M3777" s="13"/>
    </row>
    <row r="3778" spans="12:13" x14ac:dyDescent="0.2">
      <c r="L3778" s="12"/>
      <c r="M3778" s="13"/>
    </row>
    <row r="3779" spans="12:13" x14ac:dyDescent="0.2">
      <c r="L3779" s="12"/>
      <c r="M3779" s="13"/>
    </row>
    <row r="3780" spans="12:13" x14ac:dyDescent="0.2">
      <c r="L3780" s="12"/>
      <c r="M3780" s="13"/>
    </row>
    <row r="3781" spans="12:13" x14ac:dyDescent="0.2">
      <c r="L3781" s="12"/>
      <c r="M3781" s="13"/>
    </row>
    <row r="3782" spans="12:13" x14ac:dyDescent="0.2">
      <c r="L3782" s="12"/>
      <c r="M3782" s="13"/>
    </row>
    <row r="3783" spans="12:13" x14ac:dyDescent="0.2">
      <c r="L3783" s="12"/>
      <c r="M3783" s="13"/>
    </row>
    <row r="3784" spans="12:13" x14ac:dyDescent="0.2">
      <c r="L3784" s="12"/>
      <c r="M3784" s="13"/>
    </row>
    <row r="3785" spans="12:13" x14ac:dyDescent="0.2">
      <c r="L3785" s="12"/>
      <c r="M3785" s="13"/>
    </row>
    <row r="3786" spans="12:13" x14ac:dyDescent="0.2">
      <c r="L3786" s="12"/>
      <c r="M3786" s="13"/>
    </row>
    <row r="3787" spans="12:13" x14ac:dyDescent="0.2">
      <c r="L3787" s="12"/>
      <c r="M3787" s="13"/>
    </row>
    <row r="3788" spans="12:13" x14ac:dyDescent="0.2">
      <c r="L3788" s="12"/>
      <c r="M3788" s="13"/>
    </row>
    <row r="3789" spans="12:13" x14ac:dyDescent="0.2">
      <c r="L3789" s="12"/>
      <c r="M3789" s="13"/>
    </row>
    <row r="3790" spans="12:13" x14ac:dyDescent="0.2">
      <c r="L3790" s="12"/>
      <c r="M3790" s="13"/>
    </row>
    <row r="3791" spans="12:13" x14ac:dyDescent="0.2">
      <c r="L3791" s="12"/>
      <c r="M3791" s="13"/>
    </row>
    <row r="3792" spans="12:13" x14ac:dyDescent="0.2">
      <c r="L3792" s="12"/>
      <c r="M3792" s="13"/>
    </row>
    <row r="3793" spans="12:13" x14ac:dyDescent="0.2">
      <c r="L3793" s="12"/>
      <c r="M3793" s="13"/>
    </row>
    <row r="3794" spans="12:13" x14ac:dyDescent="0.2">
      <c r="L3794" s="12"/>
      <c r="M3794" s="13"/>
    </row>
    <row r="3795" spans="12:13" x14ac:dyDescent="0.2">
      <c r="L3795" s="12"/>
      <c r="M3795" s="13"/>
    </row>
    <row r="3796" spans="12:13" x14ac:dyDescent="0.2">
      <c r="L3796" s="12"/>
      <c r="M3796" s="13"/>
    </row>
    <row r="3797" spans="12:13" x14ac:dyDescent="0.2">
      <c r="L3797" s="12"/>
      <c r="M3797" s="13"/>
    </row>
    <row r="3798" spans="12:13" x14ac:dyDescent="0.2">
      <c r="L3798" s="12"/>
      <c r="M3798" s="13"/>
    </row>
    <row r="3799" spans="12:13" x14ac:dyDescent="0.2">
      <c r="L3799" s="12"/>
      <c r="M3799" s="13"/>
    </row>
    <row r="3800" spans="12:13" x14ac:dyDescent="0.2">
      <c r="L3800" s="12"/>
      <c r="M3800" s="13"/>
    </row>
    <row r="3801" spans="12:13" x14ac:dyDescent="0.2">
      <c r="L3801" s="12"/>
      <c r="M3801" s="13"/>
    </row>
    <row r="3802" spans="12:13" x14ac:dyDescent="0.2">
      <c r="L3802" s="12"/>
      <c r="M3802" s="13"/>
    </row>
    <row r="3803" spans="12:13" x14ac:dyDescent="0.2">
      <c r="L3803" s="12"/>
      <c r="M3803" s="13"/>
    </row>
    <row r="3804" spans="12:13" x14ac:dyDescent="0.2">
      <c r="L3804" s="12"/>
      <c r="M3804" s="13"/>
    </row>
    <row r="3805" spans="12:13" x14ac:dyDescent="0.2">
      <c r="L3805" s="12"/>
      <c r="M3805" s="13"/>
    </row>
    <row r="3806" spans="12:13" x14ac:dyDescent="0.2">
      <c r="L3806" s="12"/>
      <c r="M3806" s="13"/>
    </row>
    <row r="3807" spans="12:13" x14ac:dyDescent="0.2">
      <c r="L3807" s="12"/>
      <c r="M3807" s="13"/>
    </row>
    <row r="3808" spans="12:13" x14ac:dyDescent="0.2">
      <c r="L3808" s="12"/>
      <c r="M3808" s="13"/>
    </row>
    <row r="3809" spans="12:13" x14ac:dyDescent="0.2">
      <c r="L3809" s="12"/>
      <c r="M3809" s="13"/>
    </row>
    <row r="3810" spans="12:13" x14ac:dyDescent="0.2">
      <c r="L3810" s="12"/>
      <c r="M3810" s="13"/>
    </row>
    <row r="3811" spans="12:13" x14ac:dyDescent="0.2">
      <c r="L3811" s="12"/>
      <c r="M3811" s="13"/>
    </row>
    <row r="3812" spans="12:13" x14ac:dyDescent="0.2">
      <c r="L3812" s="12"/>
      <c r="M3812" s="13"/>
    </row>
    <row r="3813" spans="12:13" x14ac:dyDescent="0.2">
      <c r="L3813" s="12"/>
      <c r="M3813" s="13"/>
    </row>
    <row r="3814" spans="12:13" x14ac:dyDescent="0.2">
      <c r="L3814" s="12"/>
      <c r="M3814" s="13"/>
    </row>
    <row r="3815" spans="12:13" x14ac:dyDescent="0.2">
      <c r="L3815" s="12"/>
      <c r="M3815" s="13"/>
    </row>
    <row r="3816" spans="12:13" x14ac:dyDescent="0.2">
      <c r="L3816" s="12"/>
      <c r="M3816" s="13"/>
    </row>
    <row r="3817" spans="12:13" x14ac:dyDescent="0.2">
      <c r="L3817" s="12"/>
      <c r="M3817" s="13"/>
    </row>
    <row r="3818" spans="12:13" x14ac:dyDescent="0.2">
      <c r="L3818" s="12"/>
      <c r="M3818" s="13"/>
    </row>
    <row r="3819" spans="12:13" x14ac:dyDescent="0.2">
      <c r="L3819" s="12"/>
      <c r="M3819" s="13"/>
    </row>
    <row r="3820" spans="12:13" x14ac:dyDescent="0.2">
      <c r="L3820" s="12"/>
      <c r="M3820" s="13"/>
    </row>
    <row r="3821" spans="12:13" x14ac:dyDescent="0.2">
      <c r="L3821" s="12"/>
      <c r="M3821" s="13"/>
    </row>
    <row r="3822" spans="12:13" x14ac:dyDescent="0.2">
      <c r="L3822" s="12"/>
      <c r="M3822" s="13"/>
    </row>
    <row r="3823" spans="12:13" x14ac:dyDescent="0.2">
      <c r="L3823" s="12"/>
      <c r="M3823" s="13"/>
    </row>
    <row r="3824" spans="12:13" x14ac:dyDescent="0.2">
      <c r="L3824" s="12"/>
      <c r="M3824" s="13"/>
    </row>
    <row r="3825" spans="12:13" x14ac:dyDescent="0.2">
      <c r="L3825" s="12"/>
      <c r="M3825" s="13"/>
    </row>
    <row r="3826" spans="12:13" x14ac:dyDescent="0.2">
      <c r="L3826" s="12"/>
      <c r="M3826" s="13"/>
    </row>
    <row r="3827" spans="12:13" x14ac:dyDescent="0.2">
      <c r="L3827" s="12"/>
      <c r="M3827" s="13"/>
    </row>
    <row r="3828" spans="12:13" x14ac:dyDescent="0.2">
      <c r="L3828" s="12"/>
      <c r="M3828" s="13"/>
    </row>
    <row r="3829" spans="12:13" x14ac:dyDescent="0.2">
      <c r="L3829" s="12"/>
      <c r="M3829" s="13"/>
    </row>
    <row r="3830" spans="12:13" x14ac:dyDescent="0.2">
      <c r="L3830" s="12"/>
      <c r="M3830" s="13"/>
    </row>
    <row r="3831" spans="12:13" x14ac:dyDescent="0.2">
      <c r="L3831" s="12"/>
      <c r="M3831" s="13"/>
    </row>
    <row r="3832" spans="12:13" x14ac:dyDescent="0.2">
      <c r="L3832" s="12"/>
      <c r="M3832" s="13"/>
    </row>
    <row r="3833" spans="12:13" x14ac:dyDescent="0.2">
      <c r="L3833" s="12"/>
      <c r="M3833" s="13"/>
    </row>
    <row r="3834" spans="12:13" x14ac:dyDescent="0.2">
      <c r="L3834" s="12"/>
      <c r="M3834" s="13"/>
    </row>
    <row r="3835" spans="12:13" x14ac:dyDescent="0.2">
      <c r="L3835" s="12"/>
      <c r="M3835" s="13"/>
    </row>
    <row r="3836" spans="12:13" x14ac:dyDescent="0.2">
      <c r="L3836" s="12"/>
      <c r="M3836" s="13"/>
    </row>
    <row r="3837" spans="12:13" x14ac:dyDescent="0.2">
      <c r="L3837" s="12"/>
      <c r="M3837" s="13"/>
    </row>
    <row r="3838" spans="12:13" x14ac:dyDescent="0.2">
      <c r="L3838" s="12"/>
      <c r="M3838" s="13"/>
    </row>
    <row r="3839" spans="12:13" x14ac:dyDescent="0.2">
      <c r="L3839" s="12"/>
      <c r="M3839" s="13"/>
    </row>
    <row r="3840" spans="12:13" x14ac:dyDescent="0.2">
      <c r="L3840" s="12"/>
      <c r="M3840" s="13"/>
    </row>
    <row r="3841" spans="12:13" x14ac:dyDescent="0.2">
      <c r="L3841" s="12"/>
      <c r="M3841" s="13"/>
    </row>
    <row r="3842" spans="12:13" x14ac:dyDescent="0.2">
      <c r="L3842" s="17"/>
      <c r="M3842" s="18"/>
    </row>
    <row r="3843" spans="12:13" x14ac:dyDescent="0.2">
      <c r="L3843" s="12"/>
      <c r="M3843" s="13"/>
    </row>
    <row r="3844" spans="12:13" x14ac:dyDescent="0.2">
      <c r="L3844" s="12"/>
      <c r="M3844" s="13"/>
    </row>
    <row r="3845" spans="12:13" x14ac:dyDescent="0.2">
      <c r="L3845" s="12"/>
      <c r="M3845" s="13"/>
    </row>
    <row r="3846" spans="12:13" x14ac:dyDescent="0.2">
      <c r="L3846" s="12"/>
      <c r="M3846" s="13"/>
    </row>
    <row r="3847" spans="12:13" x14ac:dyDescent="0.2">
      <c r="L3847" s="12"/>
      <c r="M3847" s="13"/>
    </row>
    <row r="3848" spans="12:13" x14ac:dyDescent="0.2">
      <c r="L3848" s="12"/>
      <c r="M3848" s="13"/>
    </row>
    <row r="3849" spans="12:13" x14ac:dyDescent="0.2">
      <c r="L3849" s="12"/>
      <c r="M3849" s="13"/>
    </row>
    <row r="3850" spans="12:13" x14ac:dyDescent="0.2">
      <c r="L3850" s="12"/>
      <c r="M3850" s="13"/>
    </row>
    <row r="3851" spans="12:13" x14ac:dyDescent="0.2">
      <c r="L3851" s="12"/>
      <c r="M3851" s="13"/>
    </row>
    <row r="3852" spans="12:13" x14ac:dyDescent="0.2">
      <c r="L3852" s="12"/>
      <c r="M3852" s="13"/>
    </row>
    <row r="3853" spans="12:13" x14ac:dyDescent="0.2">
      <c r="L3853" s="12"/>
      <c r="M3853" s="13"/>
    </row>
    <row r="3854" spans="12:13" x14ac:dyDescent="0.2">
      <c r="L3854" s="12"/>
      <c r="M3854" s="13"/>
    </row>
    <row r="3855" spans="12:13" x14ac:dyDescent="0.2">
      <c r="L3855" s="12"/>
      <c r="M3855" s="13"/>
    </row>
    <row r="3856" spans="12:13" x14ac:dyDescent="0.2">
      <c r="L3856" s="12"/>
      <c r="M3856" s="13"/>
    </row>
    <row r="3857" spans="12:13" x14ac:dyDescent="0.2">
      <c r="L3857" s="12"/>
      <c r="M3857" s="13"/>
    </row>
    <row r="3858" spans="12:13" x14ac:dyDescent="0.2">
      <c r="L3858" s="12"/>
      <c r="M3858" s="13"/>
    </row>
    <row r="3859" spans="12:13" x14ac:dyDescent="0.2">
      <c r="L3859" s="12"/>
      <c r="M3859" s="13"/>
    </row>
    <row r="3860" spans="12:13" x14ac:dyDescent="0.2">
      <c r="L3860" s="12"/>
      <c r="M3860" s="13"/>
    </row>
    <row r="3861" spans="12:13" x14ac:dyDescent="0.2">
      <c r="L3861" s="12"/>
      <c r="M3861" s="13"/>
    </row>
    <row r="3862" spans="12:13" x14ac:dyDescent="0.2">
      <c r="L3862" s="12"/>
      <c r="M3862" s="13"/>
    </row>
    <row r="3863" spans="12:13" x14ac:dyDescent="0.2">
      <c r="L3863" s="12"/>
      <c r="M3863" s="13"/>
    </row>
    <row r="3864" spans="12:13" x14ac:dyDescent="0.2">
      <c r="L3864" s="12"/>
      <c r="M3864" s="13"/>
    </row>
    <row r="3865" spans="12:13" x14ac:dyDescent="0.2">
      <c r="L3865" s="12"/>
      <c r="M3865" s="13"/>
    </row>
    <row r="3866" spans="12:13" x14ac:dyDescent="0.2">
      <c r="L3866" s="12"/>
      <c r="M3866" s="13"/>
    </row>
    <row r="3867" spans="12:13" x14ac:dyDescent="0.2">
      <c r="L3867" s="12"/>
      <c r="M3867" s="13"/>
    </row>
    <row r="3868" spans="12:13" x14ac:dyDescent="0.2">
      <c r="L3868" s="12"/>
      <c r="M3868" s="13"/>
    </row>
    <row r="3869" spans="12:13" x14ac:dyDescent="0.2">
      <c r="L3869" s="12"/>
      <c r="M3869" s="13"/>
    </row>
    <row r="3870" spans="12:13" x14ac:dyDescent="0.2">
      <c r="L3870" s="12"/>
      <c r="M3870" s="13"/>
    </row>
    <row r="3871" spans="12:13" x14ac:dyDescent="0.2">
      <c r="L3871" s="12"/>
      <c r="M3871" s="13"/>
    </row>
    <row r="3872" spans="12:13" x14ac:dyDescent="0.2">
      <c r="L3872" s="12"/>
      <c r="M3872" s="13"/>
    </row>
    <row r="3873" spans="12:13" x14ac:dyDescent="0.2">
      <c r="L3873" s="12"/>
      <c r="M3873" s="13"/>
    </row>
    <row r="3874" spans="12:13" x14ac:dyDescent="0.2">
      <c r="L3874" s="12"/>
      <c r="M3874" s="13"/>
    </row>
    <row r="3875" spans="12:13" x14ac:dyDescent="0.2">
      <c r="L3875" s="12"/>
      <c r="M3875" s="13"/>
    </row>
    <row r="3876" spans="12:13" x14ac:dyDescent="0.2">
      <c r="L3876" s="12"/>
      <c r="M3876" s="13"/>
    </row>
    <row r="3877" spans="12:13" x14ac:dyDescent="0.2">
      <c r="L3877" s="12"/>
      <c r="M3877" s="13"/>
    </row>
    <row r="3878" spans="12:13" x14ac:dyDescent="0.2">
      <c r="L3878" s="12"/>
      <c r="M3878" s="13"/>
    </row>
    <row r="3879" spans="12:13" x14ac:dyDescent="0.2">
      <c r="L3879" s="12"/>
      <c r="M3879" s="13"/>
    </row>
    <row r="3880" spans="12:13" x14ac:dyDescent="0.2">
      <c r="L3880" s="12"/>
      <c r="M3880" s="13"/>
    </row>
    <row r="3881" spans="12:13" x14ac:dyDescent="0.2">
      <c r="L3881" s="12"/>
      <c r="M3881" s="13"/>
    </row>
    <row r="3882" spans="12:13" x14ac:dyDescent="0.2">
      <c r="L3882" s="12"/>
      <c r="M3882" s="13"/>
    </row>
    <row r="3883" spans="12:13" x14ac:dyDescent="0.2">
      <c r="L3883" s="12"/>
      <c r="M3883" s="13"/>
    </row>
    <row r="3884" spans="12:13" x14ac:dyDescent="0.2">
      <c r="L3884" s="12"/>
      <c r="M3884" s="13"/>
    </row>
    <row r="3885" spans="12:13" x14ac:dyDescent="0.2">
      <c r="L3885" s="12"/>
      <c r="M3885" s="13"/>
    </row>
    <row r="3886" spans="12:13" x14ac:dyDescent="0.2">
      <c r="L3886" s="12"/>
      <c r="M3886" s="13"/>
    </row>
    <row r="3887" spans="12:13" x14ac:dyDescent="0.2">
      <c r="L3887" s="12"/>
      <c r="M3887" s="13"/>
    </row>
    <row r="3888" spans="12:13" x14ac:dyDescent="0.2">
      <c r="L3888" s="12"/>
      <c r="M3888" s="13"/>
    </row>
    <row r="3889" spans="12:13" x14ac:dyDescent="0.2">
      <c r="L3889" s="12"/>
      <c r="M3889" s="13"/>
    </row>
    <row r="3890" spans="12:13" x14ac:dyDescent="0.2">
      <c r="L3890" s="12"/>
      <c r="M3890" s="13"/>
    </row>
    <row r="3891" spans="12:13" x14ac:dyDescent="0.2">
      <c r="L3891" s="12"/>
      <c r="M3891" s="13"/>
    </row>
    <row r="3892" spans="12:13" x14ac:dyDescent="0.2">
      <c r="L3892" s="12"/>
      <c r="M3892" s="13"/>
    </row>
    <row r="3893" spans="12:13" x14ac:dyDescent="0.2">
      <c r="L3893" s="12"/>
      <c r="M3893" s="13"/>
    </row>
    <row r="3894" spans="12:13" x14ac:dyDescent="0.2">
      <c r="L3894" s="12"/>
      <c r="M3894" s="13"/>
    </row>
    <row r="3895" spans="12:13" x14ac:dyDescent="0.2">
      <c r="L3895" s="12"/>
      <c r="M3895" s="13"/>
    </row>
    <row r="3896" spans="12:13" x14ac:dyDescent="0.2">
      <c r="L3896" s="12"/>
      <c r="M3896" s="13"/>
    </row>
    <row r="3897" spans="12:13" x14ac:dyDescent="0.2">
      <c r="L3897" s="12"/>
      <c r="M3897" s="13"/>
    </row>
    <row r="3898" spans="12:13" x14ac:dyDescent="0.2">
      <c r="L3898" s="12"/>
      <c r="M3898" s="13"/>
    </row>
    <row r="3899" spans="12:13" x14ac:dyDescent="0.2">
      <c r="L3899" s="12"/>
      <c r="M3899" s="13"/>
    </row>
    <row r="3900" spans="12:13" x14ac:dyDescent="0.2">
      <c r="L3900" s="12"/>
      <c r="M3900" s="13"/>
    </row>
    <row r="3901" spans="12:13" x14ac:dyDescent="0.2">
      <c r="L3901" s="12"/>
      <c r="M3901" s="13"/>
    </row>
    <row r="3902" spans="12:13" x14ac:dyDescent="0.2">
      <c r="L3902" s="12"/>
      <c r="M3902" s="13"/>
    </row>
    <row r="3903" spans="12:13" x14ac:dyDescent="0.2">
      <c r="L3903" s="12"/>
      <c r="M3903" s="13"/>
    </row>
    <row r="3904" spans="12:13" x14ac:dyDescent="0.2">
      <c r="L3904" s="12"/>
      <c r="M3904" s="13"/>
    </row>
    <row r="3905" spans="12:13" x14ac:dyDescent="0.2">
      <c r="L3905" s="12"/>
      <c r="M3905" s="13"/>
    </row>
    <row r="3906" spans="12:13" x14ac:dyDescent="0.2">
      <c r="L3906" s="12"/>
      <c r="M3906" s="13"/>
    </row>
    <row r="3907" spans="12:13" x14ac:dyDescent="0.2">
      <c r="L3907" s="12"/>
      <c r="M3907" s="13"/>
    </row>
    <row r="3908" spans="12:13" x14ac:dyDescent="0.2">
      <c r="L3908" s="12"/>
      <c r="M3908" s="13"/>
    </row>
    <row r="3909" spans="12:13" x14ac:dyDescent="0.2">
      <c r="L3909" s="12"/>
      <c r="M3909" s="13"/>
    </row>
    <row r="3910" spans="12:13" x14ac:dyDescent="0.2">
      <c r="L3910" s="12"/>
      <c r="M3910" s="13"/>
    </row>
    <row r="3911" spans="12:13" x14ac:dyDescent="0.2">
      <c r="L3911" s="12"/>
      <c r="M3911" s="13"/>
    </row>
    <row r="3912" spans="12:13" x14ac:dyDescent="0.2">
      <c r="L3912" s="12"/>
      <c r="M3912" s="13"/>
    </row>
    <row r="3913" spans="12:13" x14ac:dyDescent="0.2">
      <c r="L3913" s="12"/>
      <c r="M3913" s="13"/>
    </row>
    <row r="3914" spans="12:13" x14ac:dyDescent="0.2">
      <c r="L3914" s="12"/>
      <c r="M3914" s="13"/>
    </row>
    <row r="3915" spans="12:13" x14ac:dyDescent="0.2">
      <c r="L3915" s="12"/>
      <c r="M3915" s="13"/>
    </row>
    <row r="3916" spans="12:13" x14ac:dyDescent="0.2">
      <c r="L3916" s="12"/>
      <c r="M3916" s="13"/>
    </row>
    <row r="3917" spans="12:13" x14ac:dyDescent="0.2">
      <c r="L3917" s="12"/>
      <c r="M3917" s="13"/>
    </row>
    <row r="3918" spans="12:13" x14ac:dyDescent="0.2">
      <c r="L3918" s="12"/>
      <c r="M3918" s="13"/>
    </row>
    <row r="3919" spans="12:13" x14ac:dyDescent="0.2">
      <c r="L3919" s="12"/>
      <c r="M3919" s="13"/>
    </row>
    <row r="3920" spans="12:13" x14ac:dyDescent="0.2">
      <c r="L3920" s="12"/>
      <c r="M3920" s="13"/>
    </row>
    <row r="3921" spans="12:13" x14ac:dyDescent="0.2">
      <c r="L3921" s="12"/>
      <c r="M3921" s="13"/>
    </row>
    <row r="3922" spans="12:13" x14ac:dyDescent="0.2">
      <c r="L3922" s="12"/>
      <c r="M3922" s="13"/>
    </row>
    <row r="3923" spans="12:13" x14ac:dyDescent="0.2">
      <c r="L3923" s="12"/>
      <c r="M3923" s="13"/>
    </row>
    <row r="3924" spans="12:13" x14ac:dyDescent="0.2">
      <c r="L3924" s="12"/>
      <c r="M3924" s="13"/>
    </row>
    <row r="3925" spans="12:13" x14ac:dyDescent="0.2">
      <c r="L3925" s="12"/>
      <c r="M3925" s="13"/>
    </row>
    <row r="3926" spans="12:13" x14ac:dyDescent="0.2">
      <c r="L3926" s="12"/>
      <c r="M3926" s="13"/>
    </row>
    <row r="3927" spans="12:13" x14ac:dyDescent="0.2">
      <c r="L3927" s="12"/>
      <c r="M3927" s="13"/>
    </row>
    <row r="3928" spans="12:13" x14ac:dyDescent="0.2">
      <c r="L3928" s="12"/>
      <c r="M3928" s="13"/>
    </row>
    <row r="3929" spans="12:13" x14ac:dyDescent="0.2">
      <c r="L3929" s="12"/>
      <c r="M3929" s="13"/>
    </row>
    <row r="3930" spans="12:13" x14ac:dyDescent="0.2">
      <c r="L3930" s="12"/>
      <c r="M3930" s="13"/>
    </row>
    <row r="3931" spans="12:13" x14ac:dyDescent="0.2">
      <c r="L3931" s="12"/>
      <c r="M3931" s="13"/>
    </row>
    <row r="3932" spans="12:13" x14ac:dyDescent="0.2">
      <c r="L3932" s="12"/>
      <c r="M3932" s="13"/>
    </row>
    <row r="3933" spans="12:13" x14ac:dyDescent="0.2">
      <c r="L3933" s="12"/>
      <c r="M3933" s="13"/>
    </row>
    <row r="3934" spans="12:13" x14ac:dyDescent="0.2">
      <c r="L3934" s="12"/>
      <c r="M3934" s="13"/>
    </row>
    <row r="3935" spans="12:13" x14ac:dyDescent="0.2">
      <c r="L3935" s="12"/>
      <c r="M3935" s="13"/>
    </row>
    <row r="3936" spans="12:13" x14ac:dyDescent="0.2">
      <c r="L3936" s="12"/>
      <c r="M3936" s="13"/>
    </row>
    <row r="3937" spans="12:13" x14ac:dyDescent="0.2">
      <c r="L3937" s="12"/>
      <c r="M3937" s="13"/>
    </row>
    <row r="3938" spans="12:13" x14ac:dyDescent="0.2">
      <c r="L3938" s="12"/>
      <c r="M3938" s="13"/>
    </row>
    <row r="3939" spans="12:13" x14ac:dyDescent="0.2">
      <c r="L3939" s="12"/>
      <c r="M3939" s="13"/>
    </row>
    <row r="3940" spans="12:13" x14ac:dyDescent="0.2">
      <c r="L3940" s="12"/>
      <c r="M3940" s="13"/>
    </row>
    <row r="3941" spans="12:13" x14ac:dyDescent="0.2">
      <c r="L3941" s="12"/>
      <c r="M3941" s="13"/>
    </row>
    <row r="3942" spans="12:13" x14ac:dyDescent="0.2">
      <c r="L3942" s="12"/>
      <c r="M3942" s="13"/>
    </row>
    <row r="3943" spans="12:13" x14ac:dyDescent="0.2">
      <c r="L3943" s="12"/>
      <c r="M3943" s="13"/>
    </row>
    <row r="3944" spans="12:13" x14ac:dyDescent="0.2">
      <c r="L3944" s="12"/>
      <c r="M3944" s="13"/>
    </row>
    <row r="3945" spans="12:13" x14ac:dyDescent="0.2">
      <c r="L3945" s="12"/>
      <c r="M3945" s="13"/>
    </row>
    <row r="3946" spans="12:13" x14ac:dyDescent="0.2">
      <c r="L3946" s="12"/>
      <c r="M3946" s="13"/>
    </row>
    <row r="3947" spans="12:13" x14ac:dyDescent="0.2">
      <c r="L3947" s="12"/>
      <c r="M3947" s="13"/>
    </row>
    <row r="3948" spans="12:13" x14ac:dyDescent="0.2">
      <c r="L3948" s="12"/>
      <c r="M3948" s="13"/>
    </row>
    <row r="3949" spans="12:13" x14ac:dyDescent="0.2">
      <c r="L3949" s="12"/>
      <c r="M3949" s="13"/>
    </row>
    <row r="3950" spans="12:13" x14ac:dyDescent="0.2">
      <c r="L3950" s="12"/>
      <c r="M3950" s="13"/>
    </row>
    <row r="3951" spans="12:13" x14ac:dyDescent="0.2">
      <c r="L3951" s="12"/>
      <c r="M3951" s="13"/>
    </row>
    <row r="3952" spans="12:13" x14ac:dyDescent="0.2">
      <c r="L3952" s="12"/>
      <c r="M3952" s="13"/>
    </row>
    <row r="3953" spans="12:13" x14ac:dyDescent="0.2">
      <c r="L3953" s="12"/>
      <c r="M3953" s="13"/>
    </row>
    <row r="3954" spans="12:13" x14ac:dyDescent="0.2">
      <c r="L3954" s="12"/>
      <c r="M3954" s="13"/>
    </row>
    <row r="3955" spans="12:13" x14ac:dyDescent="0.2">
      <c r="L3955" s="12"/>
      <c r="M3955" s="13"/>
    </row>
    <row r="3956" spans="12:13" x14ac:dyDescent="0.2">
      <c r="L3956" s="12"/>
      <c r="M3956" s="13"/>
    </row>
    <row r="3957" spans="12:13" x14ac:dyDescent="0.2">
      <c r="L3957" s="12"/>
      <c r="M3957" s="13"/>
    </row>
    <row r="3958" spans="12:13" x14ac:dyDescent="0.2">
      <c r="L3958" s="12"/>
      <c r="M3958" s="13"/>
    </row>
    <row r="3959" spans="12:13" x14ac:dyDescent="0.2">
      <c r="L3959" s="12"/>
      <c r="M3959" s="13"/>
    </row>
    <row r="3960" spans="12:13" x14ac:dyDescent="0.2">
      <c r="L3960" s="12"/>
      <c r="M3960" s="13"/>
    </row>
    <row r="3961" spans="12:13" x14ac:dyDescent="0.2">
      <c r="L3961" s="12"/>
      <c r="M3961" s="13"/>
    </row>
    <row r="3962" spans="12:13" x14ac:dyDescent="0.2">
      <c r="L3962" s="12"/>
      <c r="M3962" s="13"/>
    </row>
    <row r="3963" spans="12:13" x14ac:dyDescent="0.2">
      <c r="L3963" s="12"/>
      <c r="M3963" s="13"/>
    </row>
    <row r="3964" spans="12:13" x14ac:dyDescent="0.2">
      <c r="L3964" s="12"/>
      <c r="M3964" s="13"/>
    </row>
    <row r="3965" spans="12:13" x14ac:dyDescent="0.2">
      <c r="L3965" s="12"/>
      <c r="M3965" s="13"/>
    </row>
    <row r="3966" spans="12:13" x14ac:dyDescent="0.2">
      <c r="L3966" s="12"/>
      <c r="M3966" s="13"/>
    </row>
    <row r="3967" spans="12:13" x14ac:dyDescent="0.2">
      <c r="L3967" s="12"/>
      <c r="M3967" s="13"/>
    </row>
    <row r="3968" spans="12:13" x14ac:dyDescent="0.2">
      <c r="L3968" s="12"/>
      <c r="M3968" s="13"/>
    </row>
    <row r="3969" spans="12:13" x14ac:dyDescent="0.2">
      <c r="L3969" s="12"/>
      <c r="M3969" s="13"/>
    </row>
    <row r="3970" spans="12:13" x14ac:dyDescent="0.2">
      <c r="L3970" s="12"/>
      <c r="M3970" s="13"/>
    </row>
    <row r="3971" spans="12:13" x14ac:dyDescent="0.2">
      <c r="L3971" s="12"/>
      <c r="M3971" s="13"/>
    </row>
    <row r="3972" spans="12:13" x14ac:dyDescent="0.2">
      <c r="L3972" s="12"/>
      <c r="M3972" s="13"/>
    </row>
    <row r="3973" spans="12:13" x14ac:dyDescent="0.2">
      <c r="L3973" s="12"/>
      <c r="M3973" s="13"/>
    </row>
    <row r="3974" spans="12:13" x14ac:dyDescent="0.2">
      <c r="L3974" s="12"/>
      <c r="M3974" s="13"/>
    </row>
    <row r="3975" spans="12:13" x14ac:dyDescent="0.2">
      <c r="L3975" s="12"/>
      <c r="M3975" s="13"/>
    </row>
    <row r="3976" spans="12:13" x14ac:dyDescent="0.2">
      <c r="L3976" s="12"/>
      <c r="M3976" s="13"/>
    </row>
    <row r="3977" spans="12:13" x14ac:dyDescent="0.2">
      <c r="L3977" s="12"/>
      <c r="M3977" s="13"/>
    </row>
    <row r="3978" spans="12:13" x14ac:dyDescent="0.2">
      <c r="L3978" s="12"/>
      <c r="M3978" s="13"/>
    </row>
    <row r="3979" spans="12:13" x14ac:dyDescent="0.2">
      <c r="L3979" s="12"/>
      <c r="M3979" s="13"/>
    </row>
    <row r="3980" spans="12:13" x14ac:dyDescent="0.2">
      <c r="L3980" s="12"/>
      <c r="M3980" s="13"/>
    </row>
    <row r="3981" spans="12:13" x14ac:dyDescent="0.2">
      <c r="L3981" s="12"/>
      <c r="M3981" s="13"/>
    </row>
    <row r="3982" spans="12:13" x14ac:dyDescent="0.2">
      <c r="L3982" s="12"/>
      <c r="M3982" s="13"/>
    </row>
    <row r="3983" spans="12:13" x14ac:dyDescent="0.2">
      <c r="L3983" s="12"/>
      <c r="M3983" s="13"/>
    </row>
    <row r="3984" spans="12:13" x14ac:dyDescent="0.2">
      <c r="L3984" s="12"/>
      <c r="M3984" s="13"/>
    </row>
    <row r="3985" spans="12:13" x14ac:dyDescent="0.2">
      <c r="L3985" s="12"/>
      <c r="M3985" s="13"/>
    </row>
    <row r="3986" spans="12:13" x14ac:dyDescent="0.2">
      <c r="L3986" s="12"/>
      <c r="M3986" s="13"/>
    </row>
    <row r="3987" spans="12:13" x14ac:dyDescent="0.2">
      <c r="L3987" s="12"/>
      <c r="M3987" s="13"/>
    </row>
    <row r="3988" spans="12:13" x14ac:dyDescent="0.2">
      <c r="L3988" s="12"/>
      <c r="M3988" s="13"/>
    </row>
    <row r="3989" spans="12:13" x14ac:dyDescent="0.2">
      <c r="L3989" s="12"/>
      <c r="M3989" s="13"/>
    </row>
    <row r="3990" spans="12:13" x14ac:dyDescent="0.2">
      <c r="L3990" s="12"/>
      <c r="M3990" s="13"/>
    </row>
    <row r="3991" spans="12:13" x14ac:dyDescent="0.2">
      <c r="L3991" s="12"/>
      <c r="M3991" s="13"/>
    </row>
    <row r="3992" spans="12:13" x14ac:dyDescent="0.2">
      <c r="L3992" s="12"/>
      <c r="M3992" s="13"/>
    </row>
    <row r="3993" spans="12:13" x14ac:dyDescent="0.2">
      <c r="L3993" s="12"/>
      <c r="M3993" s="13"/>
    </row>
    <row r="3994" spans="12:13" x14ac:dyDescent="0.2">
      <c r="L3994" s="12"/>
      <c r="M3994" s="13"/>
    </row>
    <row r="3995" spans="12:13" x14ac:dyDescent="0.2">
      <c r="L3995" s="12"/>
      <c r="M3995" s="13"/>
    </row>
    <row r="3996" spans="12:13" x14ac:dyDescent="0.2">
      <c r="L3996" s="12"/>
      <c r="M3996" s="13"/>
    </row>
    <row r="3997" spans="12:13" x14ac:dyDescent="0.2">
      <c r="L3997" s="12"/>
      <c r="M3997" s="13"/>
    </row>
    <row r="3998" spans="12:13" x14ac:dyDescent="0.2">
      <c r="L3998" s="12"/>
      <c r="M3998" s="13"/>
    </row>
    <row r="3999" spans="12:13" x14ac:dyDescent="0.2">
      <c r="L3999" s="12"/>
      <c r="M3999" s="13"/>
    </row>
    <row r="4000" spans="12:13" x14ac:dyDescent="0.2">
      <c r="L4000" s="12"/>
      <c r="M4000" s="13"/>
    </row>
    <row r="4001" spans="12:13" x14ac:dyDescent="0.2">
      <c r="L4001" s="12"/>
      <c r="M4001" s="13"/>
    </row>
    <row r="4002" spans="12:13" x14ac:dyDescent="0.2">
      <c r="L4002" s="12"/>
      <c r="M4002" s="13"/>
    </row>
    <row r="4003" spans="12:13" x14ac:dyDescent="0.2">
      <c r="L4003" s="12"/>
      <c r="M4003" s="13"/>
    </row>
    <row r="4004" spans="12:13" x14ac:dyDescent="0.2">
      <c r="L4004" s="12"/>
      <c r="M4004" s="13"/>
    </row>
    <row r="4005" spans="12:13" x14ac:dyDescent="0.2">
      <c r="L4005" s="12"/>
      <c r="M4005" s="13"/>
    </row>
    <row r="4006" spans="12:13" x14ac:dyDescent="0.2">
      <c r="L4006" s="12"/>
      <c r="M4006" s="13"/>
    </row>
    <row r="4007" spans="12:13" x14ac:dyDescent="0.2">
      <c r="L4007" s="12"/>
      <c r="M4007" s="13"/>
    </row>
    <row r="4008" spans="12:13" x14ac:dyDescent="0.2">
      <c r="L4008" s="12"/>
      <c r="M4008" s="13"/>
    </row>
    <row r="4009" spans="12:13" x14ac:dyDescent="0.2">
      <c r="L4009" s="12"/>
      <c r="M4009" s="13"/>
    </row>
    <row r="4010" spans="12:13" x14ac:dyDescent="0.2">
      <c r="L4010" s="12"/>
      <c r="M4010" s="13"/>
    </row>
    <row r="4011" spans="12:13" x14ac:dyDescent="0.2">
      <c r="L4011" s="12"/>
      <c r="M4011" s="13"/>
    </row>
    <row r="4012" spans="12:13" x14ac:dyDescent="0.2">
      <c r="L4012" s="12"/>
      <c r="M4012" s="13"/>
    </row>
    <row r="4013" spans="12:13" x14ac:dyDescent="0.2">
      <c r="L4013" s="12"/>
      <c r="M4013" s="13"/>
    </row>
    <row r="4014" spans="12:13" x14ac:dyDescent="0.2">
      <c r="L4014" s="12"/>
      <c r="M4014" s="13"/>
    </row>
    <row r="4015" spans="12:13" x14ac:dyDescent="0.2">
      <c r="L4015" s="12"/>
      <c r="M4015" s="13"/>
    </row>
    <row r="4016" spans="12:13" x14ac:dyDescent="0.2">
      <c r="L4016" s="12"/>
      <c r="M4016" s="13"/>
    </row>
    <row r="4017" spans="12:13" x14ac:dyDescent="0.2">
      <c r="L4017" s="12"/>
      <c r="M4017" s="13"/>
    </row>
    <row r="4018" spans="12:13" x14ac:dyDescent="0.2">
      <c r="L4018" s="12"/>
      <c r="M4018" s="13"/>
    </row>
    <row r="4019" spans="12:13" x14ac:dyDescent="0.2">
      <c r="L4019" s="12"/>
      <c r="M4019" s="13"/>
    </row>
    <row r="4020" spans="12:13" x14ac:dyDescent="0.2">
      <c r="L4020" s="12"/>
      <c r="M4020" s="13"/>
    </row>
    <row r="4021" spans="12:13" x14ac:dyDescent="0.2">
      <c r="L4021" s="12"/>
      <c r="M4021" s="13"/>
    </row>
    <row r="4022" spans="12:13" x14ac:dyDescent="0.2">
      <c r="L4022" s="12"/>
      <c r="M4022" s="13"/>
    </row>
    <row r="4023" spans="12:13" x14ac:dyDescent="0.2">
      <c r="L4023" s="12"/>
      <c r="M4023" s="13"/>
    </row>
    <row r="4024" spans="12:13" x14ac:dyDescent="0.2">
      <c r="L4024" s="12"/>
      <c r="M4024" s="13"/>
    </row>
    <row r="4025" spans="12:13" x14ac:dyDescent="0.2">
      <c r="L4025" s="12"/>
      <c r="M4025" s="13"/>
    </row>
    <row r="4026" spans="12:13" x14ac:dyDescent="0.2">
      <c r="L4026" s="12"/>
      <c r="M4026" s="13"/>
    </row>
    <row r="4027" spans="12:13" x14ac:dyDescent="0.2">
      <c r="L4027" s="12"/>
      <c r="M4027" s="13"/>
    </row>
    <row r="4028" spans="12:13" x14ac:dyDescent="0.2">
      <c r="L4028" s="12"/>
      <c r="M4028" s="13"/>
    </row>
    <row r="4029" spans="12:13" x14ac:dyDescent="0.2">
      <c r="L4029" s="12"/>
      <c r="M4029" s="13"/>
    </row>
    <row r="4030" spans="12:13" x14ac:dyDescent="0.2">
      <c r="L4030" s="12"/>
      <c r="M4030" s="13"/>
    </row>
    <row r="4031" spans="12:13" x14ac:dyDescent="0.2">
      <c r="L4031" s="12"/>
      <c r="M4031" s="13"/>
    </row>
    <row r="4032" spans="12:13" x14ac:dyDescent="0.2">
      <c r="L4032" s="12"/>
      <c r="M4032" s="13"/>
    </row>
    <row r="4033" spans="12:13" x14ac:dyDescent="0.2">
      <c r="L4033" s="12"/>
      <c r="M4033" s="13"/>
    </row>
    <row r="4034" spans="12:13" x14ac:dyDescent="0.2">
      <c r="L4034" s="12"/>
      <c r="M4034" s="13"/>
    </row>
    <row r="4035" spans="12:13" x14ac:dyDescent="0.2">
      <c r="L4035" s="12"/>
      <c r="M4035" s="13"/>
    </row>
    <row r="4036" spans="12:13" x14ac:dyDescent="0.2">
      <c r="L4036" s="12"/>
      <c r="M4036" s="13"/>
    </row>
    <row r="4037" spans="12:13" x14ac:dyDescent="0.2">
      <c r="L4037" s="12"/>
      <c r="M4037" s="13"/>
    </row>
    <row r="4038" spans="12:13" x14ac:dyDescent="0.2">
      <c r="L4038" s="12"/>
      <c r="M4038" s="13"/>
    </row>
    <row r="4039" spans="12:13" x14ac:dyDescent="0.2">
      <c r="L4039" s="12"/>
      <c r="M4039" s="13"/>
    </row>
    <row r="4040" spans="12:13" x14ac:dyDescent="0.2">
      <c r="L4040" s="12"/>
      <c r="M4040" s="13"/>
    </row>
    <row r="4041" spans="12:13" x14ac:dyDescent="0.2">
      <c r="L4041" s="12"/>
      <c r="M4041" s="13"/>
    </row>
    <row r="4042" spans="12:13" x14ac:dyDescent="0.2">
      <c r="L4042" s="12"/>
      <c r="M4042" s="13"/>
    </row>
    <row r="4043" spans="12:13" x14ac:dyDescent="0.2">
      <c r="L4043" s="12"/>
      <c r="M4043" s="13"/>
    </row>
    <row r="4044" spans="12:13" x14ac:dyDescent="0.2">
      <c r="L4044" s="12"/>
      <c r="M4044" s="13"/>
    </row>
    <row r="4045" spans="12:13" x14ac:dyDescent="0.2">
      <c r="L4045" s="12"/>
      <c r="M4045" s="13"/>
    </row>
    <row r="4046" spans="12:13" x14ac:dyDescent="0.2">
      <c r="L4046" s="12"/>
      <c r="M4046" s="13"/>
    </row>
    <row r="4047" spans="12:13" x14ac:dyDescent="0.2">
      <c r="L4047" s="12"/>
      <c r="M4047" s="13"/>
    </row>
    <row r="4048" spans="12:13" x14ac:dyDescent="0.2">
      <c r="L4048" s="12"/>
      <c r="M4048" s="13"/>
    </row>
    <row r="4049" spans="12:13" x14ac:dyDescent="0.2">
      <c r="L4049" s="12"/>
      <c r="M4049" s="13"/>
    </row>
    <row r="4050" spans="12:13" x14ac:dyDescent="0.2">
      <c r="L4050" s="12"/>
      <c r="M4050" s="13"/>
    </row>
    <row r="4051" spans="12:13" x14ac:dyDescent="0.2">
      <c r="L4051" s="12"/>
      <c r="M4051" s="13"/>
    </row>
    <row r="4052" spans="12:13" x14ac:dyDescent="0.2">
      <c r="L4052" s="12"/>
      <c r="M4052" s="13"/>
    </row>
    <row r="4053" spans="12:13" x14ac:dyDescent="0.2">
      <c r="L4053" s="12"/>
      <c r="M4053" s="13"/>
    </row>
    <row r="4054" spans="12:13" x14ac:dyDescent="0.2">
      <c r="L4054" s="12"/>
      <c r="M4054" s="13"/>
    </row>
    <row r="4055" spans="12:13" x14ac:dyDescent="0.2">
      <c r="L4055" s="12"/>
      <c r="M4055" s="13"/>
    </row>
    <row r="4056" spans="12:13" x14ac:dyDescent="0.2">
      <c r="L4056" s="12"/>
      <c r="M4056" s="13"/>
    </row>
    <row r="4057" spans="12:13" x14ac:dyDescent="0.2">
      <c r="L4057" s="12"/>
      <c r="M4057" s="13"/>
    </row>
    <row r="4058" spans="12:13" x14ac:dyDescent="0.2">
      <c r="L4058" s="12"/>
      <c r="M4058" s="13"/>
    </row>
    <row r="4059" spans="12:13" x14ac:dyDescent="0.2">
      <c r="L4059" s="12"/>
      <c r="M4059" s="13"/>
    </row>
    <row r="4060" spans="12:13" x14ac:dyDescent="0.2">
      <c r="L4060" s="12"/>
      <c r="M4060" s="13"/>
    </row>
    <row r="4061" spans="12:13" x14ac:dyDescent="0.2">
      <c r="L4061" s="12"/>
      <c r="M4061" s="13"/>
    </row>
    <row r="4062" spans="12:13" x14ac:dyDescent="0.2">
      <c r="L4062" s="12"/>
      <c r="M4062" s="13"/>
    </row>
    <row r="4063" spans="12:13" x14ac:dyDescent="0.2">
      <c r="L4063" s="12"/>
      <c r="M4063" s="13"/>
    </row>
    <row r="4064" spans="12:13" x14ac:dyDescent="0.2">
      <c r="L4064" s="12"/>
      <c r="M4064" s="13"/>
    </row>
    <row r="4065" spans="12:13" x14ac:dyDescent="0.2">
      <c r="L4065" s="12"/>
      <c r="M4065" s="13"/>
    </row>
    <row r="4066" spans="12:13" x14ac:dyDescent="0.2">
      <c r="L4066" s="12"/>
      <c r="M4066" s="13"/>
    </row>
    <row r="4067" spans="12:13" x14ac:dyDescent="0.2">
      <c r="L4067" s="12"/>
      <c r="M4067" s="13"/>
    </row>
    <row r="4068" spans="12:13" x14ac:dyDescent="0.2">
      <c r="L4068" s="12"/>
      <c r="M4068" s="13"/>
    </row>
    <row r="4069" spans="12:13" x14ac:dyDescent="0.2">
      <c r="L4069" s="12"/>
      <c r="M4069" s="13"/>
    </row>
    <row r="4070" spans="12:13" x14ac:dyDescent="0.2">
      <c r="L4070" s="12"/>
      <c r="M4070" s="13"/>
    </row>
    <row r="4071" spans="12:13" x14ac:dyDescent="0.2">
      <c r="L4071" s="12"/>
      <c r="M4071" s="13"/>
    </row>
    <row r="4072" spans="12:13" x14ac:dyDescent="0.2">
      <c r="L4072" s="12"/>
      <c r="M4072" s="13"/>
    </row>
    <row r="4073" spans="12:13" x14ac:dyDescent="0.2">
      <c r="L4073" s="12"/>
      <c r="M4073" s="13"/>
    </row>
    <row r="4074" spans="12:13" x14ac:dyDescent="0.2">
      <c r="L4074" s="12"/>
      <c r="M4074" s="13"/>
    </row>
    <row r="4075" spans="12:13" x14ac:dyDescent="0.2">
      <c r="L4075" s="12"/>
      <c r="M4075" s="13"/>
    </row>
    <row r="4076" spans="12:13" x14ac:dyDescent="0.2">
      <c r="L4076" s="12"/>
      <c r="M4076" s="13"/>
    </row>
    <row r="4077" spans="12:13" x14ac:dyDescent="0.2">
      <c r="L4077" s="12"/>
      <c r="M4077" s="13"/>
    </row>
    <row r="4078" spans="12:13" x14ac:dyDescent="0.2">
      <c r="L4078" s="12"/>
      <c r="M4078" s="13"/>
    </row>
    <row r="4079" spans="12:13" x14ac:dyDescent="0.2">
      <c r="L4079" s="12"/>
      <c r="M4079" s="13"/>
    </row>
    <row r="4080" spans="12:13" x14ac:dyDescent="0.2">
      <c r="L4080" s="12"/>
      <c r="M4080" s="13"/>
    </row>
    <row r="4081" spans="12:13" x14ac:dyDescent="0.2">
      <c r="L4081" s="12"/>
      <c r="M4081" s="13"/>
    </row>
    <row r="4082" spans="12:13" x14ac:dyDescent="0.2">
      <c r="L4082" s="12"/>
      <c r="M4082" s="13"/>
    </row>
    <row r="4083" spans="12:13" x14ac:dyDescent="0.2">
      <c r="L4083" s="12"/>
      <c r="M4083" s="13"/>
    </row>
    <row r="4084" spans="12:13" x14ac:dyDescent="0.2">
      <c r="L4084" s="12"/>
      <c r="M4084" s="13"/>
    </row>
    <row r="4085" spans="12:13" x14ac:dyDescent="0.2">
      <c r="L4085" s="12"/>
      <c r="M4085" s="13"/>
    </row>
    <row r="4086" spans="12:13" x14ac:dyDescent="0.2">
      <c r="L4086" s="12"/>
      <c r="M4086" s="13"/>
    </row>
    <row r="4087" spans="12:13" x14ac:dyDescent="0.2">
      <c r="L4087" s="12"/>
      <c r="M4087" s="13"/>
    </row>
    <row r="4088" spans="12:13" x14ac:dyDescent="0.2">
      <c r="L4088" s="12"/>
      <c r="M4088" s="13"/>
    </row>
    <row r="4089" spans="12:13" x14ac:dyDescent="0.2">
      <c r="L4089" s="12"/>
      <c r="M4089" s="13"/>
    </row>
    <row r="4090" spans="12:13" x14ac:dyDescent="0.2">
      <c r="L4090" s="12"/>
      <c r="M4090" s="13"/>
    </row>
    <row r="4091" spans="12:13" x14ac:dyDescent="0.2">
      <c r="L4091" s="12"/>
      <c r="M4091" s="13"/>
    </row>
    <row r="4092" spans="12:13" x14ac:dyDescent="0.2">
      <c r="L4092" s="12"/>
      <c r="M4092" s="13"/>
    </row>
    <row r="4093" spans="12:13" x14ac:dyDescent="0.2">
      <c r="L4093" s="12"/>
      <c r="M4093" s="13"/>
    </row>
    <row r="4094" spans="12:13" x14ac:dyDescent="0.2">
      <c r="L4094" s="12"/>
      <c r="M4094" s="13"/>
    </row>
    <row r="4095" spans="12:13" x14ac:dyDescent="0.2">
      <c r="L4095" s="12"/>
      <c r="M4095" s="13"/>
    </row>
    <row r="4096" spans="12:13" x14ac:dyDescent="0.2">
      <c r="L4096" s="12"/>
      <c r="M4096" s="13"/>
    </row>
    <row r="4097" spans="12:13" x14ac:dyDescent="0.2">
      <c r="L4097" s="12"/>
      <c r="M4097" s="13"/>
    </row>
    <row r="4098" spans="12:13" x14ac:dyDescent="0.2">
      <c r="L4098" s="17"/>
      <c r="M4098" s="18"/>
    </row>
    <row r="4099" spans="12:13" x14ac:dyDescent="0.2">
      <c r="L4099" s="12"/>
      <c r="M4099" s="13"/>
    </row>
    <row r="4100" spans="12:13" x14ac:dyDescent="0.2">
      <c r="L4100" s="12"/>
      <c r="M4100" s="13"/>
    </row>
    <row r="4101" spans="12:13" x14ac:dyDescent="0.2">
      <c r="L4101" s="12"/>
      <c r="M4101" s="13"/>
    </row>
    <row r="4102" spans="12:13" x14ac:dyDescent="0.2">
      <c r="L4102" s="12"/>
      <c r="M4102" s="13"/>
    </row>
    <row r="4103" spans="12:13" x14ac:dyDescent="0.2">
      <c r="L4103" s="12"/>
      <c r="M4103" s="13"/>
    </row>
    <row r="4104" spans="12:13" x14ac:dyDescent="0.2">
      <c r="L4104" s="12"/>
      <c r="M4104" s="13"/>
    </row>
    <row r="4105" spans="12:13" x14ac:dyDescent="0.2">
      <c r="L4105" s="12"/>
      <c r="M4105" s="13"/>
    </row>
    <row r="4106" spans="12:13" x14ac:dyDescent="0.2">
      <c r="L4106" s="12"/>
      <c r="M4106" s="13"/>
    </row>
    <row r="4107" spans="12:13" x14ac:dyDescent="0.2">
      <c r="L4107" s="12"/>
      <c r="M4107" s="13"/>
    </row>
    <row r="4108" spans="12:13" x14ac:dyDescent="0.2">
      <c r="L4108" s="12"/>
      <c r="M4108" s="13"/>
    </row>
    <row r="4109" spans="12:13" x14ac:dyDescent="0.2">
      <c r="L4109" s="12"/>
      <c r="M4109" s="13"/>
    </row>
    <row r="4110" spans="12:13" x14ac:dyDescent="0.2">
      <c r="L4110" s="12"/>
      <c r="M4110" s="13"/>
    </row>
    <row r="4111" spans="12:13" x14ac:dyDescent="0.2">
      <c r="L4111" s="12"/>
      <c r="M4111" s="13"/>
    </row>
    <row r="4112" spans="12:13" x14ac:dyDescent="0.2">
      <c r="L4112" s="12"/>
      <c r="M4112" s="13"/>
    </row>
    <row r="4113" spans="12:13" x14ac:dyDescent="0.2">
      <c r="L4113" s="12"/>
      <c r="M4113" s="13"/>
    </row>
    <row r="4114" spans="12:13" x14ac:dyDescent="0.2">
      <c r="L4114" s="12"/>
      <c r="M4114" s="13"/>
    </row>
    <row r="4115" spans="12:13" x14ac:dyDescent="0.2">
      <c r="L4115" s="12"/>
      <c r="M4115" s="13"/>
    </row>
    <row r="4116" spans="12:13" x14ac:dyDescent="0.2">
      <c r="L4116" s="12"/>
      <c r="M4116" s="13"/>
    </row>
    <row r="4117" spans="12:13" x14ac:dyDescent="0.2">
      <c r="L4117" s="12"/>
      <c r="M4117" s="13"/>
    </row>
    <row r="4118" spans="12:13" x14ac:dyDescent="0.2">
      <c r="L4118" s="12"/>
      <c r="M4118" s="13"/>
    </row>
    <row r="4119" spans="12:13" x14ac:dyDescent="0.2">
      <c r="L4119" s="12"/>
      <c r="M4119" s="13"/>
    </row>
    <row r="4120" spans="12:13" x14ac:dyDescent="0.2">
      <c r="L4120" s="12"/>
      <c r="M4120" s="13"/>
    </row>
    <row r="4121" spans="12:13" x14ac:dyDescent="0.2">
      <c r="L4121" s="12"/>
      <c r="M4121" s="13"/>
    </row>
    <row r="4122" spans="12:13" x14ac:dyDescent="0.2">
      <c r="L4122" s="12"/>
      <c r="M4122" s="13"/>
    </row>
    <row r="4123" spans="12:13" x14ac:dyDescent="0.2">
      <c r="L4123" s="12"/>
      <c r="M4123" s="13"/>
    </row>
    <row r="4124" spans="12:13" x14ac:dyDescent="0.2">
      <c r="L4124" s="12"/>
      <c r="M4124" s="13"/>
    </row>
    <row r="4125" spans="12:13" x14ac:dyDescent="0.2">
      <c r="L4125" s="12"/>
      <c r="M4125" s="13"/>
    </row>
    <row r="4126" spans="12:13" x14ac:dyDescent="0.2">
      <c r="L4126" s="12"/>
      <c r="M4126" s="13"/>
    </row>
    <row r="4127" spans="12:13" x14ac:dyDescent="0.2">
      <c r="L4127" s="12"/>
      <c r="M4127" s="13"/>
    </row>
    <row r="4128" spans="12:13" x14ac:dyDescent="0.2">
      <c r="L4128" s="12"/>
      <c r="M4128" s="13"/>
    </row>
    <row r="4129" spans="12:13" x14ac:dyDescent="0.2">
      <c r="L4129" s="12"/>
      <c r="M4129" s="13"/>
    </row>
    <row r="4130" spans="12:13" x14ac:dyDescent="0.2">
      <c r="L4130" s="12"/>
      <c r="M4130" s="13"/>
    </row>
    <row r="4131" spans="12:13" x14ac:dyDescent="0.2">
      <c r="L4131" s="12"/>
      <c r="M4131" s="13"/>
    </row>
    <row r="4132" spans="12:13" x14ac:dyDescent="0.2">
      <c r="L4132" s="12"/>
      <c r="M4132" s="13"/>
    </row>
    <row r="4133" spans="12:13" x14ac:dyDescent="0.2">
      <c r="L4133" s="12"/>
      <c r="M4133" s="13"/>
    </row>
    <row r="4134" spans="12:13" x14ac:dyDescent="0.2">
      <c r="L4134" s="12"/>
      <c r="M4134" s="13"/>
    </row>
    <row r="4135" spans="12:13" x14ac:dyDescent="0.2">
      <c r="L4135" s="12"/>
      <c r="M4135" s="13"/>
    </row>
    <row r="4136" spans="12:13" x14ac:dyDescent="0.2">
      <c r="L4136" s="12"/>
      <c r="M4136" s="13"/>
    </row>
    <row r="4137" spans="12:13" x14ac:dyDescent="0.2">
      <c r="L4137" s="12"/>
      <c r="M4137" s="13"/>
    </row>
    <row r="4138" spans="12:13" x14ac:dyDescent="0.2">
      <c r="L4138" s="12"/>
      <c r="M4138" s="13"/>
    </row>
    <row r="4139" spans="12:13" x14ac:dyDescent="0.2">
      <c r="L4139" s="12"/>
      <c r="M4139" s="13"/>
    </row>
    <row r="4140" spans="12:13" x14ac:dyDescent="0.2">
      <c r="L4140" s="12"/>
      <c r="M4140" s="13"/>
    </row>
    <row r="4141" spans="12:13" x14ac:dyDescent="0.2">
      <c r="L4141" s="12"/>
      <c r="M4141" s="13"/>
    </row>
    <row r="4142" spans="12:13" x14ac:dyDescent="0.2">
      <c r="L4142" s="12"/>
      <c r="M4142" s="13"/>
    </row>
    <row r="4143" spans="12:13" x14ac:dyDescent="0.2">
      <c r="L4143" s="12"/>
      <c r="M4143" s="13"/>
    </row>
    <row r="4144" spans="12:13" x14ac:dyDescent="0.2">
      <c r="L4144" s="12"/>
      <c r="M4144" s="13"/>
    </row>
    <row r="4145" spans="12:13" x14ac:dyDescent="0.2">
      <c r="L4145" s="12"/>
      <c r="M4145" s="13"/>
    </row>
    <row r="4146" spans="12:13" x14ac:dyDescent="0.2">
      <c r="L4146" s="12"/>
      <c r="M4146" s="13"/>
    </row>
    <row r="4147" spans="12:13" x14ac:dyDescent="0.2">
      <c r="L4147" s="12"/>
      <c r="M4147" s="13"/>
    </row>
    <row r="4148" spans="12:13" x14ac:dyDescent="0.2">
      <c r="L4148" s="12"/>
      <c r="M4148" s="13"/>
    </row>
    <row r="4149" spans="12:13" x14ac:dyDescent="0.2">
      <c r="L4149" s="12"/>
      <c r="M4149" s="13"/>
    </row>
    <row r="4150" spans="12:13" x14ac:dyDescent="0.2">
      <c r="L4150" s="12"/>
      <c r="M4150" s="13"/>
    </row>
    <row r="4151" spans="12:13" x14ac:dyDescent="0.2">
      <c r="L4151" s="12"/>
      <c r="M4151" s="13"/>
    </row>
    <row r="4152" spans="12:13" x14ac:dyDescent="0.2">
      <c r="L4152" s="12"/>
      <c r="M4152" s="13"/>
    </row>
    <row r="4153" spans="12:13" x14ac:dyDescent="0.2">
      <c r="L4153" s="12"/>
      <c r="M4153" s="13"/>
    </row>
    <row r="4154" spans="12:13" x14ac:dyDescent="0.2">
      <c r="L4154" s="12"/>
      <c r="M4154" s="13"/>
    </row>
    <row r="4155" spans="12:13" x14ac:dyDescent="0.2">
      <c r="L4155" s="12"/>
      <c r="M4155" s="13"/>
    </row>
    <row r="4156" spans="12:13" x14ac:dyDescent="0.2">
      <c r="L4156" s="12"/>
      <c r="M4156" s="13"/>
    </row>
    <row r="4157" spans="12:13" x14ac:dyDescent="0.2">
      <c r="L4157" s="12"/>
      <c r="M4157" s="13"/>
    </row>
    <row r="4158" spans="12:13" x14ac:dyDescent="0.2">
      <c r="L4158" s="12"/>
      <c r="M4158" s="13"/>
    </row>
    <row r="4159" spans="12:13" x14ac:dyDescent="0.2">
      <c r="L4159" s="12"/>
      <c r="M4159" s="13"/>
    </row>
    <row r="4160" spans="12:13" x14ac:dyDescent="0.2">
      <c r="L4160" s="12"/>
      <c r="M4160" s="13"/>
    </row>
    <row r="4161" spans="12:13" x14ac:dyDescent="0.2">
      <c r="L4161" s="12"/>
      <c r="M4161" s="13"/>
    </row>
    <row r="4162" spans="12:13" x14ac:dyDescent="0.2">
      <c r="L4162" s="12"/>
      <c r="M4162" s="13"/>
    </row>
    <row r="4163" spans="12:13" x14ac:dyDescent="0.2">
      <c r="L4163" s="12"/>
      <c r="M4163" s="13"/>
    </row>
    <row r="4164" spans="12:13" x14ac:dyDescent="0.2">
      <c r="L4164" s="12"/>
      <c r="M4164" s="13"/>
    </row>
    <row r="4165" spans="12:13" x14ac:dyDescent="0.2">
      <c r="L4165" s="12"/>
      <c r="M4165" s="13"/>
    </row>
    <row r="4166" spans="12:13" x14ac:dyDescent="0.2">
      <c r="L4166" s="12"/>
      <c r="M4166" s="13"/>
    </row>
    <row r="4167" spans="12:13" x14ac:dyDescent="0.2">
      <c r="L4167" s="12"/>
      <c r="M4167" s="13"/>
    </row>
    <row r="4168" spans="12:13" x14ac:dyDescent="0.2">
      <c r="L4168" s="12"/>
      <c r="M4168" s="13"/>
    </row>
    <row r="4169" spans="12:13" x14ac:dyDescent="0.2">
      <c r="L4169" s="12"/>
      <c r="M4169" s="13"/>
    </row>
    <row r="4170" spans="12:13" x14ac:dyDescent="0.2">
      <c r="L4170" s="12"/>
      <c r="M4170" s="13"/>
    </row>
    <row r="4171" spans="12:13" x14ac:dyDescent="0.2">
      <c r="L4171" s="12"/>
      <c r="M4171" s="13"/>
    </row>
    <row r="4172" spans="12:13" x14ac:dyDescent="0.2">
      <c r="L4172" s="12"/>
      <c r="M4172" s="13"/>
    </row>
    <row r="4173" spans="12:13" x14ac:dyDescent="0.2">
      <c r="L4173" s="12"/>
      <c r="M4173" s="13"/>
    </row>
    <row r="4174" spans="12:13" x14ac:dyDescent="0.2">
      <c r="L4174" s="12"/>
      <c r="M4174" s="13"/>
    </row>
    <row r="4175" spans="12:13" x14ac:dyDescent="0.2">
      <c r="L4175" s="12"/>
      <c r="M4175" s="13"/>
    </row>
    <row r="4176" spans="12:13" x14ac:dyDescent="0.2">
      <c r="L4176" s="12"/>
      <c r="M4176" s="13"/>
    </row>
    <row r="4177" spans="12:13" x14ac:dyDescent="0.2">
      <c r="L4177" s="12"/>
      <c r="M4177" s="13"/>
    </row>
    <row r="4178" spans="12:13" x14ac:dyDescent="0.2">
      <c r="L4178" s="12"/>
      <c r="M4178" s="13"/>
    </row>
    <row r="4179" spans="12:13" x14ac:dyDescent="0.2">
      <c r="L4179" s="12"/>
      <c r="M4179" s="13"/>
    </row>
    <row r="4180" spans="12:13" x14ac:dyDescent="0.2">
      <c r="L4180" s="12"/>
      <c r="M4180" s="13"/>
    </row>
    <row r="4181" spans="12:13" x14ac:dyDescent="0.2">
      <c r="L4181" s="12"/>
      <c r="M4181" s="13"/>
    </row>
    <row r="4182" spans="12:13" x14ac:dyDescent="0.2">
      <c r="L4182" s="12"/>
      <c r="M4182" s="13"/>
    </row>
    <row r="4183" spans="12:13" x14ac:dyDescent="0.2">
      <c r="L4183" s="12"/>
      <c r="M4183" s="13"/>
    </row>
    <row r="4184" spans="12:13" x14ac:dyDescent="0.2">
      <c r="L4184" s="12"/>
      <c r="M4184" s="13"/>
    </row>
    <row r="4185" spans="12:13" x14ac:dyDescent="0.2">
      <c r="L4185" s="12"/>
      <c r="M4185" s="13"/>
    </row>
    <row r="4186" spans="12:13" x14ac:dyDescent="0.2">
      <c r="L4186" s="12"/>
      <c r="M4186" s="13"/>
    </row>
    <row r="4187" spans="12:13" x14ac:dyDescent="0.2">
      <c r="L4187" s="12"/>
      <c r="M4187" s="13"/>
    </row>
    <row r="4188" spans="12:13" x14ac:dyDescent="0.2">
      <c r="L4188" s="12"/>
      <c r="M4188" s="13"/>
    </row>
    <row r="4189" spans="12:13" x14ac:dyDescent="0.2">
      <c r="L4189" s="12"/>
      <c r="M4189" s="13"/>
    </row>
    <row r="4190" spans="12:13" x14ac:dyDescent="0.2">
      <c r="L4190" s="12"/>
      <c r="M4190" s="13"/>
    </row>
    <row r="4191" spans="12:13" x14ac:dyDescent="0.2">
      <c r="L4191" s="12"/>
      <c r="M4191" s="13"/>
    </row>
    <row r="4192" spans="12:13" x14ac:dyDescent="0.2">
      <c r="L4192" s="12"/>
      <c r="M4192" s="13"/>
    </row>
    <row r="4193" spans="12:13" x14ac:dyDescent="0.2">
      <c r="L4193" s="12"/>
      <c r="M4193" s="13"/>
    </row>
    <row r="4194" spans="12:13" x14ac:dyDescent="0.2">
      <c r="L4194" s="12"/>
      <c r="M4194" s="13"/>
    </row>
    <row r="4195" spans="12:13" x14ac:dyDescent="0.2">
      <c r="L4195" s="12"/>
      <c r="M4195" s="13"/>
    </row>
    <row r="4196" spans="12:13" x14ac:dyDescent="0.2">
      <c r="L4196" s="12"/>
      <c r="M4196" s="13"/>
    </row>
    <row r="4197" spans="12:13" x14ac:dyDescent="0.2">
      <c r="L4197" s="12"/>
      <c r="M4197" s="13"/>
    </row>
    <row r="4198" spans="12:13" x14ac:dyDescent="0.2">
      <c r="L4198" s="12"/>
      <c r="M4198" s="13"/>
    </row>
    <row r="4199" spans="12:13" x14ac:dyDescent="0.2">
      <c r="L4199" s="12"/>
      <c r="M4199" s="13"/>
    </row>
    <row r="4200" spans="12:13" x14ac:dyDescent="0.2">
      <c r="L4200" s="12"/>
      <c r="M4200" s="13"/>
    </row>
    <row r="4201" spans="12:13" x14ac:dyDescent="0.2">
      <c r="L4201" s="12"/>
      <c r="M4201" s="13"/>
    </row>
    <row r="4202" spans="12:13" x14ac:dyDescent="0.2">
      <c r="L4202" s="12"/>
      <c r="M4202" s="13"/>
    </row>
    <row r="4203" spans="12:13" x14ac:dyDescent="0.2">
      <c r="L4203" s="12"/>
      <c r="M4203" s="13"/>
    </row>
    <row r="4204" spans="12:13" x14ac:dyDescent="0.2">
      <c r="L4204" s="12"/>
      <c r="M4204" s="13"/>
    </row>
    <row r="4205" spans="12:13" x14ac:dyDescent="0.2">
      <c r="L4205" s="12"/>
      <c r="M4205" s="13"/>
    </row>
    <row r="4206" spans="12:13" x14ac:dyDescent="0.2">
      <c r="L4206" s="12"/>
      <c r="M4206" s="13"/>
    </row>
    <row r="4207" spans="12:13" x14ac:dyDescent="0.2">
      <c r="L4207" s="12"/>
      <c r="M4207" s="13"/>
    </row>
    <row r="4208" spans="12:13" x14ac:dyDescent="0.2">
      <c r="L4208" s="12"/>
      <c r="M4208" s="13"/>
    </row>
    <row r="4209" spans="12:13" x14ac:dyDescent="0.2">
      <c r="L4209" s="12"/>
      <c r="M4209" s="13"/>
    </row>
    <row r="4210" spans="12:13" x14ac:dyDescent="0.2">
      <c r="L4210" s="12"/>
      <c r="M4210" s="13"/>
    </row>
    <row r="4211" spans="12:13" x14ac:dyDescent="0.2">
      <c r="L4211" s="12"/>
      <c r="M4211" s="13"/>
    </row>
    <row r="4212" spans="12:13" x14ac:dyDescent="0.2">
      <c r="L4212" s="12"/>
      <c r="M4212" s="13"/>
    </row>
    <row r="4213" spans="12:13" x14ac:dyDescent="0.2">
      <c r="L4213" s="12"/>
      <c r="M4213" s="13"/>
    </row>
    <row r="4214" spans="12:13" x14ac:dyDescent="0.2">
      <c r="L4214" s="12"/>
      <c r="M4214" s="13"/>
    </row>
    <row r="4215" spans="12:13" x14ac:dyDescent="0.2">
      <c r="L4215" s="12"/>
      <c r="M4215" s="13"/>
    </row>
    <row r="4216" spans="12:13" x14ac:dyDescent="0.2">
      <c r="L4216" s="12"/>
      <c r="M4216" s="13"/>
    </row>
    <row r="4217" spans="12:13" x14ac:dyDescent="0.2">
      <c r="L4217" s="12"/>
      <c r="M4217" s="13"/>
    </row>
    <row r="4218" spans="12:13" x14ac:dyDescent="0.2">
      <c r="L4218" s="12"/>
      <c r="M4218" s="13"/>
    </row>
    <row r="4219" spans="12:13" x14ac:dyDescent="0.2">
      <c r="L4219" s="12"/>
      <c r="M4219" s="13"/>
    </row>
    <row r="4220" spans="12:13" x14ac:dyDescent="0.2">
      <c r="L4220" s="12"/>
      <c r="M4220" s="13"/>
    </row>
    <row r="4221" spans="12:13" x14ac:dyDescent="0.2">
      <c r="L4221" s="12"/>
      <c r="M4221" s="13"/>
    </row>
    <row r="4222" spans="12:13" x14ac:dyDescent="0.2">
      <c r="L4222" s="12"/>
      <c r="M4222" s="13"/>
    </row>
    <row r="4223" spans="12:13" x14ac:dyDescent="0.2">
      <c r="L4223" s="12"/>
      <c r="M4223" s="13"/>
    </row>
    <row r="4224" spans="12:13" x14ac:dyDescent="0.2">
      <c r="L4224" s="12"/>
      <c r="M4224" s="13"/>
    </row>
    <row r="4225" spans="12:13" x14ac:dyDescent="0.2">
      <c r="L4225" s="12"/>
      <c r="M4225" s="13"/>
    </row>
    <row r="4226" spans="12:13" x14ac:dyDescent="0.2">
      <c r="L4226" s="12"/>
      <c r="M4226" s="13"/>
    </row>
    <row r="4227" spans="12:13" x14ac:dyDescent="0.2">
      <c r="L4227" s="12"/>
      <c r="M4227" s="13"/>
    </row>
    <row r="4228" spans="12:13" x14ac:dyDescent="0.2">
      <c r="L4228" s="12"/>
      <c r="M4228" s="13"/>
    </row>
    <row r="4229" spans="12:13" x14ac:dyDescent="0.2">
      <c r="L4229" s="12"/>
      <c r="M4229" s="13"/>
    </row>
    <row r="4230" spans="12:13" x14ac:dyDescent="0.2">
      <c r="L4230" s="12"/>
      <c r="M4230" s="13"/>
    </row>
    <row r="4231" spans="12:13" x14ac:dyDescent="0.2">
      <c r="L4231" s="12"/>
      <c r="M4231" s="13"/>
    </row>
    <row r="4232" spans="12:13" x14ac:dyDescent="0.2">
      <c r="L4232" s="12"/>
      <c r="M4232" s="13"/>
    </row>
    <row r="4233" spans="12:13" x14ac:dyDescent="0.2">
      <c r="L4233" s="12"/>
      <c r="M4233" s="13"/>
    </row>
    <row r="4234" spans="12:13" x14ac:dyDescent="0.2">
      <c r="L4234" s="12"/>
      <c r="M4234" s="13"/>
    </row>
    <row r="4235" spans="12:13" x14ac:dyDescent="0.2">
      <c r="L4235" s="12"/>
      <c r="M4235" s="13"/>
    </row>
    <row r="4236" spans="12:13" x14ac:dyDescent="0.2">
      <c r="L4236" s="12"/>
      <c r="M4236" s="13"/>
    </row>
    <row r="4237" spans="12:13" x14ac:dyDescent="0.2">
      <c r="L4237" s="12"/>
      <c r="M4237" s="13"/>
    </row>
    <row r="4238" spans="12:13" x14ac:dyDescent="0.2">
      <c r="L4238" s="12"/>
      <c r="M4238" s="13"/>
    </row>
    <row r="4239" spans="12:13" x14ac:dyDescent="0.2">
      <c r="L4239" s="12"/>
      <c r="M4239" s="13"/>
    </row>
    <row r="4240" spans="12:13" x14ac:dyDescent="0.2">
      <c r="L4240" s="12"/>
      <c r="M4240" s="13"/>
    </row>
    <row r="4241" spans="12:13" x14ac:dyDescent="0.2">
      <c r="L4241" s="12"/>
      <c r="M4241" s="13"/>
    </row>
    <row r="4242" spans="12:13" x14ac:dyDescent="0.2">
      <c r="L4242" s="12"/>
      <c r="M4242" s="13"/>
    </row>
    <row r="4243" spans="12:13" x14ac:dyDescent="0.2">
      <c r="L4243" s="12"/>
      <c r="M4243" s="13"/>
    </row>
    <row r="4244" spans="12:13" x14ac:dyDescent="0.2">
      <c r="L4244" s="12"/>
      <c r="M4244" s="13"/>
    </row>
    <row r="4245" spans="12:13" x14ac:dyDescent="0.2">
      <c r="L4245" s="12"/>
      <c r="M4245" s="13"/>
    </row>
    <row r="4246" spans="12:13" x14ac:dyDescent="0.2">
      <c r="L4246" s="12"/>
      <c r="M4246" s="13"/>
    </row>
    <row r="4247" spans="12:13" x14ac:dyDescent="0.2">
      <c r="L4247" s="12"/>
      <c r="M4247" s="13"/>
    </row>
    <row r="4248" spans="12:13" x14ac:dyDescent="0.2">
      <c r="L4248" s="12"/>
      <c r="M4248" s="13"/>
    </row>
    <row r="4249" spans="12:13" x14ac:dyDescent="0.2">
      <c r="L4249" s="12"/>
      <c r="M4249" s="13"/>
    </row>
    <row r="4250" spans="12:13" x14ac:dyDescent="0.2">
      <c r="L4250" s="12"/>
      <c r="M4250" s="13"/>
    </row>
    <row r="4251" spans="12:13" x14ac:dyDescent="0.2">
      <c r="L4251" s="12"/>
      <c r="M4251" s="13"/>
    </row>
    <row r="4252" spans="12:13" x14ac:dyDescent="0.2">
      <c r="L4252" s="12"/>
      <c r="M4252" s="13"/>
    </row>
    <row r="4253" spans="12:13" x14ac:dyDescent="0.2">
      <c r="L4253" s="12"/>
      <c r="M4253" s="13"/>
    </row>
    <row r="4254" spans="12:13" x14ac:dyDescent="0.2">
      <c r="L4254" s="12"/>
      <c r="M4254" s="13"/>
    </row>
    <row r="4255" spans="12:13" x14ac:dyDescent="0.2">
      <c r="L4255" s="12"/>
      <c r="M4255" s="13"/>
    </row>
    <row r="4256" spans="12:13" x14ac:dyDescent="0.2">
      <c r="L4256" s="12"/>
      <c r="M4256" s="13"/>
    </row>
    <row r="4257" spans="12:13" x14ac:dyDescent="0.2">
      <c r="L4257" s="12"/>
      <c r="M4257" s="13"/>
    </row>
    <row r="4258" spans="12:13" x14ac:dyDescent="0.2">
      <c r="L4258" s="12"/>
      <c r="M4258" s="13"/>
    </row>
    <row r="4259" spans="12:13" x14ac:dyDescent="0.2">
      <c r="L4259" s="12"/>
      <c r="M4259" s="13"/>
    </row>
    <row r="4260" spans="12:13" x14ac:dyDescent="0.2">
      <c r="L4260" s="12"/>
      <c r="M4260" s="13"/>
    </row>
    <row r="4261" spans="12:13" x14ac:dyDescent="0.2">
      <c r="L4261" s="12"/>
      <c r="M4261" s="13"/>
    </row>
    <row r="4262" spans="12:13" x14ac:dyDescent="0.2">
      <c r="L4262" s="12"/>
      <c r="M4262" s="13"/>
    </row>
    <row r="4263" spans="12:13" x14ac:dyDescent="0.2">
      <c r="L4263" s="12"/>
      <c r="M4263" s="13"/>
    </row>
    <row r="4264" spans="12:13" x14ac:dyDescent="0.2">
      <c r="L4264" s="12"/>
      <c r="M4264" s="13"/>
    </row>
    <row r="4265" spans="12:13" x14ac:dyDescent="0.2">
      <c r="L4265" s="12"/>
      <c r="M4265" s="13"/>
    </row>
    <row r="4266" spans="12:13" x14ac:dyDescent="0.2">
      <c r="L4266" s="12"/>
      <c r="M4266" s="13"/>
    </row>
    <row r="4267" spans="12:13" x14ac:dyDescent="0.2">
      <c r="L4267" s="12"/>
      <c r="M4267" s="13"/>
    </row>
    <row r="4268" spans="12:13" x14ac:dyDescent="0.2">
      <c r="L4268" s="12"/>
      <c r="M4268" s="13"/>
    </row>
    <row r="4269" spans="12:13" x14ac:dyDescent="0.2">
      <c r="L4269" s="12"/>
      <c r="M4269" s="13"/>
    </row>
    <row r="4270" spans="12:13" x14ac:dyDescent="0.2">
      <c r="L4270" s="12"/>
      <c r="M4270" s="13"/>
    </row>
    <row r="4271" spans="12:13" x14ac:dyDescent="0.2">
      <c r="L4271" s="12"/>
      <c r="M4271" s="13"/>
    </row>
    <row r="4272" spans="12:13" x14ac:dyDescent="0.2">
      <c r="L4272" s="12"/>
      <c r="M4272" s="13"/>
    </row>
    <row r="4273" spans="12:13" x14ac:dyDescent="0.2">
      <c r="L4273" s="12"/>
      <c r="M4273" s="13"/>
    </row>
    <row r="4274" spans="12:13" x14ac:dyDescent="0.2">
      <c r="L4274" s="12"/>
      <c r="M4274" s="13"/>
    </row>
    <row r="4275" spans="12:13" x14ac:dyDescent="0.2">
      <c r="L4275" s="12"/>
      <c r="M4275" s="13"/>
    </row>
    <row r="4276" spans="12:13" x14ac:dyDescent="0.2">
      <c r="L4276" s="12"/>
      <c r="M4276" s="13"/>
    </row>
    <row r="4277" spans="12:13" x14ac:dyDescent="0.2">
      <c r="L4277" s="12"/>
      <c r="M4277" s="13"/>
    </row>
    <row r="4278" spans="12:13" x14ac:dyDescent="0.2">
      <c r="L4278" s="12"/>
      <c r="M4278" s="13"/>
    </row>
    <row r="4279" spans="12:13" x14ac:dyDescent="0.2">
      <c r="L4279" s="12"/>
      <c r="M4279" s="13"/>
    </row>
    <row r="4280" spans="12:13" x14ac:dyDescent="0.2">
      <c r="L4280" s="12"/>
      <c r="M4280" s="13"/>
    </row>
    <row r="4281" spans="12:13" x14ac:dyDescent="0.2">
      <c r="L4281" s="12"/>
      <c r="M4281" s="13"/>
    </row>
    <row r="4282" spans="12:13" x14ac:dyDescent="0.2">
      <c r="L4282" s="12"/>
      <c r="M4282" s="13"/>
    </row>
    <row r="4283" spans="12:13" x14ac:dyDescent="0.2">
      <c r="L4283" s="12"/>
      <c r="M4283" s="13"/>
    </row>
    <row r="4284" spans="12:13" x14ac:dyDescent="0.2">
      <c r="L4284" s="12"/>
      <c r="M4284" s="13"/>
    </row>
    <row r="4285" spans="12:13" x14ac:dyDescent="0.2">
      <c r="L4285" s="12"/>
      <c r="M4285" s="13"/>
    </row>
    <row r="4286" spans="12:13" x14ac:dyDescent="0.2">
      <c r="L4286" s="12"/>
      <c r="M4286" s="13"/>
    </row>
    <row r="4287" spans="12:13" x14ac:dyDescent="0.2">
      <c r="L4287" s="12"/>
      <c r="M4287" s="13"/>
    </row>
    <row r="4288" spans="12:13" x14ac:dyDescent="0.2">
      <c r="L4288" s="12"/>
      <c r="M4288" s="13"/>
    </row>
    <row r="4289" spans="12:13" x14ac:dyDescent="0.2">
      <c r="L4289" s="12"/>
      <c r="M4289" s="13"/>
    </row>
    <row r="4290" spans="12:13" x14ac:dyDescent="0.2">
      <c r="L4290" s="12"/>
      <c r="M4290" s="13"/>
    </row>
    <row r="4291" spans="12:13" x14ac:dyDescent="0.2">
      <c r="L4291" s="12"/>
      <c r="M4291" s="13"/>
    </row>
    <row r="4292" spans="12:13" x14ac:dyDescent="0.2">
      <c r="L4292" s="12"/>
      <c r="M4292" s="13"/>
    </row>
    <row r="4293" spans="12:13" x14ac:dyDescent="0.2">
      <c r="L4293" s="12"/>
      <c r="M4293" s="13"/>
    </row>
    <row r="4294" spans="12:13" x14ac:dyDescent="0.2">
      <c r="L4294" s="12"/>
      <c r="M4294" s="13"/>
    </row>
    <row r="4295" spans="12:13" x14ac:dyDescent="0.2">
      <c r="L4295" s="12"/>
      <c r="M4295" s="13"/>
    </row>
    <row r="4296" spans="12:13" x14ac:dyDescent="0.2">
      <c r="L4296" s="12"/>
      <c r="M4296" s="13"/>
    </row>
    <row r="4297" spans="12:13" x14ac:dyDescent="0.2">
      <c r="L4297" s="12"/>
      <c r="M4297" s="13"/>
    </row>
    <row r="4298" spans="12:13" x14ac:dyDescent="0.2">
      <c r="L4298" s="12"/>
      <c r="M4298" s="13"/>
    </row>
    <row r="4299" spans="12:13" x14ac:dyDescent="0.2">
      <c r="L4299" s="12"/>
      <c r="M4299" s="13"/>
    </row>
    <row r="4300" spans="12:13" x14ac:dyDescent="0.2">
      <c r="L4300" s="12"/>
      <c r="M4300" s="13"/>
    </row>
    <row r="4301" spans="12:13" x14ac:dyDescent="0.2">
      <c r="L4301" s="12"/>
      <c r="M4301" s="13"/>
    </row>
    <row r="4302" spans="12:13" x14ac:dyDescent="0.2">
      <c r="L4302" s="12"/>
      <c r="M4302" s="13"/>
    </row>
    <row r="4303" spans="12:13" x14ac:dyDescent="0.2">
      <c r="L4303" s="12"/>
      <c r="M4303" s="13"/>
    </row>
    <row r="4304" spans="12:13" x14ac:dyDescent="0.2">
      <c r="L4304" s="12"/>
      <c r="M4304" s="13"/>
    </row>
    <row r="4305" spans="12:13" x14ac:dyDescent="0.2">
      <c r="L4305" s="12"/>
      <c r="M4305" s="13"/>
    </row>
    <row r="4306" spans="12:13" x14ac:dyDescent="0.2">
      <c r="L4306" s="12"/>
      <c r="M4306" s="13"/>
    </row>
    <row r="4307" spans="12:13" x14ac:dyDescent="0.2">
      <c r="L4307" s="12"/>
      <c r="M4307" s="13"/>
    </row>
    <row r="4308" spans="12:13" x14ac:dyDescent="0.2">
      <c r="L4308" s="12"/>
      <c r="M4308" s="13"/>
    </row>
    <row r="4309" spans="12:13" x14ac:dyDescent="0.2">
      <c r="L4309" s="12"/>
      <c r="M4309" s="13"/>
    </row>
    <row r="4310" spans="12:13" x14ac:dyDescent="0.2">
      <c r="L4310" s="12"/>
      <c r="M4310" s="13"/>
    </row>
    <row r="4311" spans="12:13" x14ac:dyDescent="0.2">
      <c r="L4311" s="12"/>
      <c r="M4311" s="13"/>
    </row>
    <row r="4312" spans="12:13" x14ac:dyDescent="0.2">
      <c r="L4312" s="12"/>
      <c r="M4312" s="13"/>
    </row>
    <row r="4313" spans="12:13" x14ac:dyDescent="0.2">
      <c r="L4313" s="12"/>
      <c r="M4313" s="13"/>
    </row>
    <row r="4314" spans="12:13" x14ac:dyDescent="0.2">
      <c r="L4314" s="12"/>
      <c r="M4314" s="13"/>
    </row>
    <row r="4315" spans="12:13" x14ac:dyDescent="0.2">
      <c r="L4315" s="12"/>
      <c r="M4315" s="13"/>
    </row>
    <row r="4316" spans="12:13" x14ac:dyDescent="0.2">
      <c r="L4316" s="12"/>
      <c r="M4316" s="13"/>
    </row>
    <row r="4317" spans="12:13" x14ac:dyDescent="0.2">
      <c r="L4317" s="12"/>
      <c r="M4317" s="13"/>
    </row>
    <row r="4318" spans="12:13" x14ac:dyDescent="0.2">
      <c r="L4318" s="12"/>
      <c r="M4318" s="13"/>
    </row>
    <row r="4319" spans="12:13" x14ac:dyDescent="0.2">
      <c r="L4319" s="12"/>
      <c r="M4319" s="13"/>
    </row>
    <row r="4320" spans="12:13" x14ac:dyDescent="0.2">
      <c r="L4320" s="12"/>
      <c r="M4320" s="13"/>
    </row>
    <row r="4321" spans="12:13" x14ac:dyDescent="0.2">
      <c r="L4321" s="12"/>
      <c r="M4321" s="13"/>
    </row>
    <row r="4322" spans="12:13" x14ac:dyDescent="0.2">
      <c r="L4322" s="12"/>
      <c r="M4322" s="13"/>
    </row>
    <row r="4323" spans="12:13" x14ac:dyDescent="0.2">
      <c r="L4323" s="12"/>
      <c r="M4323" s="13"/>
    </row>
    <row r="4324" spans="12:13" x14ac:dyDescent="0.2">
      <c r="L4324" s="12"/>
      <c r="M4324" s="13"/>
    </row>
    <row r="4325" spans="12:13" x14ac:dyDescent="0.2">
      <c r="L4325" s="12"/>
      <c r="M4325" s="13"/>
    </row>
    <row r="4326" spans="12:13" x14ac:dyDescent="0.2">
      <c r="L4326" s="12"/>
      <c r="M4326" s="13"/>
    </row>
    <row r="4327" spans="12:13" x14ac:dyDescent="0.2">
      <c r="L4327" s="12"/>
      <c r="M4327" s="13"/>
    </row>
    <row r="4328" spans="12:13" x14ac:dyDescent="0.2">
      <c r="L4328" s="12"/>
      <c r="M4328" s="13"/>
    </row>
    <row r="4329" spans="12:13" x14ac:dyDescent="0.2">
      <c r="L4329" s="12"/>
      <c r="M4329" s="13"/>
    </row>
    <row r="4330" spans="12:13" x14ac:dyDescent="0.2">
      <c r="L4330" s="12"/>
      <c r="M4330" s="13"/>
    </row>
    <row r="4331" spans="12:13" x14ac:dyDescent="0.2">
      <c r="L4331" s="12"/>
      <c r="M4331" s="13"/>
    </row>
    <row r="4332" spans="12:13" x14ac:dyDescent="0.2">
      <c r="L4332" s="12"/>
      <c r="M4332" s="13"/>
    </row>
    <row r="4333" spans="12:13" x14ac:dyDescent="0.2">
      <c r="L4333" s="12"/>
      <c r="M4333" s="13"/>
    </row>
    <row r="4334" spans="12:13" x14ac:dyDescent="0.2">
      <c r="L4334" s="12"/>
      <c r="M4334" s="13"/>
    </row>
    <row r="4335" spans="12:13" x14ac:dyDescent="0.2">
      <c r="L4335" s="12"/>
      <c r="M4335" s="13"/>
    </row>
    <row r="4336" spans="12:13" x14ac:dyDescent="0.2">
      <c r="L4336" s="12"/>
      <c r="M4336" s="13"/>
    </row>
    <row r="4337" spans="12:13" x14ac:dyDescent="0.2">
      <c r="L4337" s="12"/>
      <c r="M4337" s="13"/>
    </row>
    <row r="4338" spans="12:13" x14ac:dyDescent="0.2">
      <c r="L4338" s="12"/>
      <c r="M4338" s="13"/>
    </row>
    <row r="4339" spans="12:13" x14ac:dyDescent="0.2">
      <c r="L4339" s="12"/>
      <c r="M4339" s="13"/>
    </row>
    <row r="4340" spans="12:13" x14ac:dyDescent="0.2">
      <c r="L4340" s="12"/>
      <c r="M4340" s="13"/>
    </row>
    <row r="4341" spans="12:13" x14ac:dyDescent="0.2">
      <c r="L4341" s="12"/>
      <c r="M4341" s="13"/>
    </row>
    <row r="4342" spans="12:13" x14ac:dyDescent="0.2">
      <c r="L4342" s="12"/>
      <c r="M4342" s="13"/>
    </row>
    <row r="4343" spans="12:13" x14ac:dyDescent="0.2">
      <c r="L4343" s="12"/>
      <c r="M4343" s="13"/>
    </row>
    <row r="4344" spans="12:13" x14ac:dyDescent="0.2">
      <c r="L4344" s="12"/>
      <c r="M4344" s="13"/>
    </row>
    <row r="4345" spans="12:13" x14ac:dyDescent="0.2">
      <c r="L4345" s="12"/>
      <c r="M4345" s="13"/>
    </row>
    <row r="4346" spans="12:13" x14ac:dyDescent="0.2">
      <c r="L4346" s="12"/>
      <c r="M4346" s="13"/>
    </row>
    <row r="4347" spans="12:13" x14ac:dyDescent="0.2">
      <c r="L4347" s="12"/>
      <c r="M4347" s="13"/>
    </row>
    <row r="4348" spans="12:13" x14ac:dyDescent="0.2">
      <c r="L4348" s="12"/>
      <c r="M4348" s="13"/>
    </row>
    <row r="4349" spans="12:13" x14ac:dyDescent="0.2">
      <c r="L4349" s="12"/>
      <c r="M4349" s="13"/>
    </row>
    <row r="4350" spans="12:13" x14ac:dyDescent="0.2">
      <c r="L4350" s="12"/>
      <c r="M4350" s="13"/>
    </row>
    <row r="4351" spans="12:13" x14ac:dyDescent="0.2">
      <c r="L4351" s="12"/>
      <c r="M4351" s="13"/>
    </row>
    <row r="4352" spans="12:13" x14ac:dyDescent="0.2">
      <c r="L4352" s="12"/>
      <c r="M4352" s="13"/>
    </row>
    <row r="4353" spans="12:13" x14ac:dyDescent="0.2">
      <c r="L4353" s="12"/>
      <c r="M4353" s="13"/>
    </row>
    <row r="4354" spans="12:13" x14ac:dyDescent="0.2">
      <c r="L4354" s="17"/>
      <c r="M4354" s="18"/>
    </row>
    <row r="4355" spans="12:13" x14ac:dyDescent="0.2">
      <c r="L4355" s="12"/>
      <c r="M4355" s="13"/>
    </row>
    <row r="4356" spans="12:13" x14ac:dyDescent="0.2">
      <c r="L4356" s="12"/>
      <c r="M4356" s="13"/>
    </row>
    <row r="4357" spans="12:13" x14ac:dyDescent="0.2">
      <c r="L4357" s="12"/>
      <c r="M4357" s="13"/>
    </row>
    <row r="4358" spans="12:13" x14ac:dyDescent="0.2">
      <c r="L4358" s="12"/>
      <c r="M4358" s="13"/>
    </row>
    <row r="4359" spans="12:13" x14ac:dyDescent="0.2">
      <c r="L4359" s="12"/>
      <c r="M4359" s="13"/>
    </row>
    <row r="4360" spans="12:13" x14ac:dyDescent="0.2">
      <c r="L4360" s="12"/>
      <c r="M4360" s="13"/>
    </row>
    <row r="4361" spans="12:13" x14ac:dyDescent="0.2">
      <c r="L4361" s="12"/>
      <c r="M4361" s="13"/>
    </row>
    <row r="4362" spans="12:13" x14ac:dyDescent="0.2">
      <c r="L4362" s="12"/>
      <c r="M4362" s="13"/>
    </row>
    <row r="4363" spans="12:13" x14ac:dyDescent="0.2">
      <c r="L4363" s="12"/>
      <c r="M4363" s="13"/>
    </row>
    <row r="4364" spans="12:13" x14ac:dyDescent="0.2">
      <c r="L4364" s="12"/>
      <c r="M4364" s="13"/>
    </row>
    <row r="4365" spans="12:13" x14ac:dyDescent="0.2">
      <c r="L4365" s="12"/>
      <c r="M4365" s="13"/>
    </row>
    <row r="4366" spans="12:13" x14ac:dyDescent="0.2">
      <c r="L4366" s="12"/>
      <c r="M4366" s="13"/>
    </row>
    <row r="4367" spans="12:13" x14ac:dyDescent="0.2">
      <c r="L4367" s="12"/>
      <c r="M4367" s="13"/>
    </row>
    <row r="4368" spans="12:13" x14ac:dyDescent="0.2">
      <c r="L4368" s="12"/>
      <c r="M4368" s="13"/>
    </row>
    <row r="4369" spans="12:13" x14ac:dyDescent="0.2">
      <c r="L4369" s="12"/>
      <c r="M4369" s="13"/>
    </row>
    <row r="4370" spans="12:13" x14ac:dyDescent="0.2">
      <c r="L4370" s="12"/>
      <c r="M4370" s="13"/>
    </row>
    <row r="4371" spans="12:13" x14ac:dyDescent="0.2">
      <c r="L4371" s="12"/>
      <c r="M4371" s="13"/>
    </row>
    <row r="4372" spans="12:13" x14ac:dyDescent="0.2">
      <c r="L4372" s="12"/>
      <c r="M4372" s="13"/>
    </row>
    <row r="4373" spans="12:13" x14ac:dyDescent="0.2">
      <c r="L4373" s="12"/>
      <c r="M4373" s="13"/>
    </row>
    <row r="4374" spans="12:13" x14ac:dyDescent="0.2">
      <c r="L4374" s="12"/>
      <c r="M4374" s="13"/>
    </row>
    <row r="4375" spans="12:13" x14ac:dyDescent="0.2">
      <c r="L4375" s="12"/>
      <c r="M4375" s="13"/>
    </row>
    <row r="4376" spans="12:13" x14ac:dyDescent="0.2">
      <c r="L4376" s="12"/>
      <c r="M4376" s="13"/>
    </row>
    <row r="4377" spans="12:13" x14ac:dyDescent="0.2">
      <c r="L4377" s="12"/>
      <c r="M4377" s="13"/>
    </row>
    <row r="4378" spans="12:13" x14ac:dyDescent="0.2">
      <c r="L4378" s="12"/>
      <c r="M4378" s="13"/>
    </row>
    <row r="4379" spans="12:13" x14ac:dyDescent="0.2">
      <c r="L4379" s="12"/>
      <c r="M4379" s="13"/>
    </row>
    <row r="4380" spans="12:13" x14ac:dyDescent="0.2">
      <c r="L4380" s="12"/>
      <c r="M4380" s="13"/>
    </row>
    <row r="4381" spans="12:13" x14ac:dyDescent="0.2">
      <c r="L4381" s="12"/>
      <c r="M4381" s="13"/>
    </row>
    <row r="4382" spans="12:13" x14ac:dyDescent="0.2">
      <c r="L4382" s="12"/>
      <c r="M4382" s="13"/>
    </row>
    <row r="4383" spans="12:13" x14ac:dyDescent="0.2">
      <c r="L4383" s="12"/>
      <c r="M4383" s="13"/>
    </row>
    <row r="4384" spans="12:13" x14ac:dyDescent="0.2">
      <c r="L4384" s="12"/>
      <c r="M4384" s="13"/>
    </row>
    <row r="4385" spans="12:13" x14ac:dyDescent="0.2">
      <c r="L4385" s="12"/>
      <c r="M4385" s="13"/>
    </row>
    <row r="4386" spans="12:13" x14ac:dyDescent="0.2">
      <c r="L4386" s="12"/>
      <c r="M4386" s="13"/>
    </row>
    <row r="4387" spans="12:13" x14ac:dyDescent="0.2">
      <c r="L4387" s="12"/>
      <c r="M4387" s="13"/>
    </row>
    <row r="4388" spans="12:13" x14ac:dyDescent="0.2">
      <c r="L4388" s="12"/>
      <c r="M4388" s="13"/>
    </row>
    <row r="4389" spans="12:13" x14ac:dyDescent="0.2">
      <c r="L4389" s="12"/>
      <c r="M4389" s="13"/>
    </row>
    <row r="4390" spans="12:13" x14ac:dyDescent="0.2">
      <c r="L4390" s="12"/>
      <c r="M4390" s="13"/>
    </row>
    <row r="4391" spans="12:13" x14ac:dyDescent="0.2">
      <c r="L4391" s="12"/>
      <c r="M4391" s="13"/>
    </row>
    <row r="4392" spans="12:13" x14ac:dyDescent="0.2">
      <c r="L4392" s="12"/>
      <c r="M4392" s="13"/>
    </row>
    <row r="4393" spans="12:13" x14ac:dyDescent="0.2">
      <c r="L4393" s="12"/>
      <c r="M4393" s="13"/>
    </row>
    <row r="4394" spans="12:13" x14ac:dyDescent="0.2">
      <c r="L4394" s="12"/>
      <c r="M4394" s="13"/>
    </row>
    <row r="4395" spans="12:13" x14ac:dyDescent="0.2">
      <c r="L4395" s="12"/>
      <c r="M4395" s="13"/>
    </row>
    <row r="4396" spans="12:13" x14ac:dyDescent="0.2">
      <c r="L4396" s="12"/>
      <c r="M4396" s="13"/>
    </row>
    <row r="4397" spans="12:13" x14ac:dyDescent="0.2">
      <c r="L4397" s="12"/>
      <c r="M4397" s="13"/>
    </row>
    <row r="4398" spans="12:13" x14ac:dyDescent="0.2">
      <c r="L4398" s="12"/>
      <c r="M4398" s="13"/>
    </row>
    <row r="4399" spans="12:13" x14ac:dyDescent="0.2">
      <c r="L4399" s="12"/>
      <c r="M4399" s="13"/>
    </row>
    <row r="4400" spans="12:13" x14ac:dyDescent="0.2">
      <c r="L4400" s="12"/>
      <c r="M4400" s="13"/>
    </row>
    <row r="4401" spans="12:13" x14ac:dyDescent="0.2">
      <c r="L4401" s="12"/>
      <c r="M4401" s="13"/>
    </row>
    <row r="4402" spans="12:13" x14ac:dyDescent="0.2">
      <c r="L4402" s="12"/>
      <c r="M4402" s="13"/>
    </row>
    <row r="4403" spans="12:13" x14ac:dyDescent="0.2">
      <c r="L4403" s="12"/>
      <c r="M4403" s="13"/>
    </row>
    <row r="4404" spans="12:13" x14ac:dyDescent="0.2">
      <c r="L4404" s="12"/>
      <c r="M4404" s="13"/>
    </row>
    <row r="4405" spans="12:13" x14ac:dyDescent="0.2">
      <c r="L4405" s="12"/>
      <c r="M4405" s="13"/>
    </row>
    <row r="4406" spans="12:13" x14ac:dyDescent="0.2">
      <c r="L4406" s="12"/>
      <c r="M4406" s="13"/>
    </row>
    <row r="4407" spans="12:13" x14ac:dyDescent="0.2">
      <c r="L4407" s="12"/>
      <c r="M4407" s="13"/>
    </row>
    <row r="4408" spans="12:13" x14ac:dyDescent="0.2">
      <c r="L4408" s="12"/>
      <c r="M4408" s="13"/>
    </row>
    <row r="4409" spans="12:13" x14ac:dyDescent="0.2">
      <c r="L4409" s="12"/>
      <c r="M4409" s="13"/>
    </row>
    <row r="4410" spans="12:13" x14ac:dyDescent="0.2">
      <c r="L4410" s="12"/>
      <c r="M4410" s="13"/>
    </row>
    <row r="4411" spans="12:13" x14ac:dyDescent="0.2">
      <c r="L4411" s="12"/>
      <c r="M4411" s="13"/>
    </row>
    <row r="4412" spans="12:13" x14ac:dyDescent="0.2">
      <c r="L4412" s="12"/>
      <c r="M4412" s="13"/>
    </row>
    <row r="4413" spans="12:13" x14ac:dyDescent="0.2">
      <c r="L4413" s="12"/>
      <c r="M4413" s="13"/>
    </row>
    <row r="4414" spans="12:13" x14ac:dyDescent="0.2">
      <c r="L4414" s="12"/>
      <c r="M4414" s="13"/>
    </row>
    <row r="4415" spans="12:13" x14ac:dyDescent="0.2">
      <c r="L4415" s="12"/>
      <c r="M4415" s="13"/>
    </row>
    <row r="4416" spans="12:13" x14ac:dyDescent="0.2">
      <c r="L4416" s="12"/>
      <c r="M4416" s="13"/>
    </row>
    <row r="4417" spans="12:13" x14ac:dyDescent="0.2">
      <c r="L4417" s="12"/>
      <c r="M4417" s="13"/>
    </row>
    <row r="4418" spans="12:13" x14ac:dyDescent="0.2">
      <c r="L4418" s="12"/>
      <c r="M4418" s="13"/>
    </row>
    <row r="4419" spans="12:13" x14ac:dyDescent="0.2">
      <c r="L4419" s="12"/>
      <c r="M4419" s="13"/>
    </row>
    <row r="4420" spans="12:13" x14ac:dyDescent="0.2">
      <c r="L4420" s="12"/>
      <c r="M4420" s="13"/>
    </row>
    <row r="4421" spans="12:13" x14ac:dyDescent="0.2">
      <c r="L4421" s="12"/>
      <c r="M4421" s="13"/>
    </row>
    <row r="4422" spans="12:13" x14ac:dyDescent="0.2">
      <c r="L4422" s="12"/>
      <c r="M4422" s="13"/>
    </row>
    <row r="4423" spans="12:13" x14ac:dyDescent="0.2">
      <c r="L4423" s="12"/>
      <c r="M4423" s="13"/>
    </row>
    <row r="4424" spans="12:13" x14ac:dyDescent="0.2">
      <c r="L4424" s="12"/>
      <c r="M4424" s="13"/>
    </row>
    <row r="4425" spans="12:13" x14ac:dyDescent="0.2">
      <c r="L4425" s="12"/>
      <c r="M4425" s="13"/>
    </row>
    <row r="4426" spans="12:13" x14ac:dyDescent="0.2">
      <c r="L4426" s="12"/>
      <c r="M4426" s="13"/>
    </row>
    <row r="4427" spans="12:13" x14ac:dyDescent="0.2">
      <c r="L4427" s="12"/>
      <c r="M4427" s="13"/>
    </row>
    <row r="4428" spans="12:13" x14ac:dyDescent="0.2">
      <c r="L4428" s="12"/>
      <c r="M4428" s="13"/>
    </row>
    <row r="4429" spans="12:13" x14ac:dyDescent="0.2">
      <c r="L4429" s="12"/>
      <c r="M4429" s="13"/>
    </row>
    <row r="4430" spans="12:13" x14ac:dyDescent="0.2">
      <c r="L4430" s="12"/>
      <c r="M4430" s="13"/>
    </row>
    <row r="4431" spans="12:13" x14ac:dyDescent="0.2">
      <c r="L4431" s="12"/>
      <c r="M4431" s="13"/>
    </row>
    <row r="4432" spans="12:13" x14ac:dyDescent="0.2">
      <c r="L4432" s="12"/>
      <c r="M4432" s="13"/>
    </row>
    <row r="4433" spans="12:13" x14ac:dyDescent="0.2">
      <c r="L4433" s="12"/>
      <c r="M4433" s="13"/>
    </row>
    <row r="4434" spans="12:13" x14ac:dyDescent="0.2">
      <c r="L4434" s="12"/>
      <c r="M4434" s="13"/>
    </row>
    <row r="4435" spans="12:13" x14ac:dyDescent="0.2">
      <c r="L4435" s="12"/>
      <c r="M4435" s="13"/>
    </row>
    <row r="4436" spans="12:13" x14ac:dyDescent="0.2">
      <c r="L4436" s="12"/>
      <c r="M4436" s="13"/>
    </row>
    <row r="4437" spans="12:13" x14ac:dyDescent="0.2">
      <c r="L4437" s="12"/>
      <c r="M4437" s="13"/>
    </row>
    <row r="4438" spans="12:13" x14ac:dyDescent="0.2">
      <c r="L4438" s="12"/>
      <c r="M4438" s="13"/>
    </row>
    <row r="4439" spans="12:13" x14ac:dyDescent="0.2">
      <c r="L4439" s="12"/>
      <c r="M4439" s="13"/>
    </row>
    <row r="4440" spans="12:13" x14ac:dyDescent="0.2">
      <c r="L4440" s="12"/>
      <c r="M4440" s="13"/>
    </row>
    <row r="4441" spans="12:13" x14ac:dyDescent="0.2">
      <c r="L4441" s="12"/>
      <c r="M4441" s="13"/>
    </row>
    <row r="4442" spans="12:13" x14ac:dyDescent="0.2">
      <c r="L4442" s="12"/>
      <c r="M4442" s="13"/>
    </row>
    <row r="4443" spans="12:13" x14ac:dyDescent="0.2">
      <c r="L4443" s="12"/>
      <c r="M4443" s="13"/>
    </row>
    <row r="4444" spans="12:13" x14ac:dyDescent="0.2">
      <c r="L4444" s="12"/>
      <c r="M4444" s="13"/>
    </row>
    <row r="4445" spans="12:13" x14ac:dyDescent="0.2">
      <c r="L4445" s="12"/>
      <c r="M4445" s="13"/>
    </row>
    <row r="4446" spans="12:13" x14ac:dyDescent="0.2">
      <c r="L4446" s="12"/>
      <c r="M4446" s="13"/>
    </row>
    <row r="4447" spans="12:13" x14ac:dyDescent="0.2">
      <c r="L4447" s="12"/>
      <c r="M4447" s="13"/>
    </row>
    <row r="4448" spans="12:13" x14ac:dyDescent="0.2">
      <c r="L4448" s="12"/>
      <c r="M4448" s="13"/>
    </row>
    <row r="4449" spans="12:13" x14ac:dyDescent="0.2">
      <c r="L4449" s="12"/>
      <c r="M4449" s="13"/>
    </row>
    <row r="4450" spans="12:13" x14ac:dyDescent="0.2">
      <c r="L4450" s="12"/>
      <c r="M4450" s="13"/>
    </row>
    <row r="4451" spans="12:13" x14ac:dyDescent="0.2">
      <c r="L4451" s="12"/>
      <c r="M4451" s="13"/>
    </row>
    <row r="4452" spans="12:13" x14ac:dyDescent="0.2">
      <c r="L4452" s="12"/>
      <c r="M4452" s="13"/>
    </row>
    <row r="4453" spans="12:13" x14ac:dyDescent="0.2">
      <c r="L4453" s="12"/>
      <c r="M4453" s="13"/>
    </row>
    <row r="4454" spans="12:13" x14ac:dyDescent="0.2">
      <c r="L4454" s="12"/>
      <c r="M4454" s="13"/>
    </row>
    <row r="4455" spans="12:13" x14ac:dyDescent="0.2">
      <c r="L4455" s="12"/>
      <c r="M4455" s="13"/>
    </row>
    <row r="4456" spans="12:13" x14ac:dyDescent="0.2">
      <c r="L4456" s="12"/>
      <c r="M4456" s="13"/>
    </row>
    <row r="4457" spans="12:13" x14ac:dyDescent="0.2">
      <c r="L4457" s="12"/>
      <c r="M4457" s="13"/>
    </row>
    <row r="4458" spans="12:13" x14ac:dyDescent="0.2">
      <c r="L4458" s="12"/>
      <c r="M4458" s="13"/>
    </row>
    <row r="4459" spans="12:13" x14ac:dyDescent="0.2">
      <c r="L4459" s="12"/>
      <c r="M4459" s="13"/>
    </row>
    <row r="4460" spans="12:13" x14ac:dyDescent="0.2">
      <c r="L4460" s="12"/>
      <c r="M4460" s="13"/>
    </row>
    <row r="4461" spans="12:13" x14ac:dyDescent="0.2">
      <c r="L4461" s="12"/>
      <c r="M4461" s="13"/>
    </row>
    <row r="4462" spans="12:13" x14ac:dyDescent="0.2">
      <c r="L4462" s="12"/>
      <c r="M4462" s="13"/>
    </row>
    <row r="4463" spans="12:13" x14ac:dyDescent="0.2">
      <c r="L4463" s="12"/>
      <c r="M4463" s="13"/>
    </row>
    <row r="4464" spans="12:13" x14ac:dyDescent="0.2">
      <c r="L4464" s="12"/>
      <c r="M4464" s="13"/>
    </row>
    <row r="4465" spans="12:13" x14ac:dyDescent="0.2">
      <c r="L4465" s="12"/>
      <c r="M4465" s="13"/>
    </row>
    <row r="4466" spans="12:13" x14ac:dyDescent="0.2">
      <c r="L4466" s="12"/>
      <c r="M4466" s="13"/>
    </row>
    <row r="4467" spans="12:13" x14ac:dyDescent="0.2">
      <c r="L4467" s="12"/>
      <c r="M4467" s="13"/>
    </row>
    <row r="4468" spans="12:13" x14ac:dyDescent="0.2">
      <c r="L4468" s="12"/>
      <c r="M4468" s="13"/>
    </row>
    <row r="4469" spans="12:13" x14ac:dyDescent="0.2">
      <c r="L4469" s="12"/>
      <c r="M4469" s="13"/>
    </row>
    <row r="4470" spans="12:13" x14ac:dyDescent="0.2">
      <c r="L4470" s="12"/>
      <c r="M4470" s="13"/>
    </row>
    <row r="4471" spans="12:13" x14ac:dyDescent="0.2">
      <c r="L4471" s="12"/>
      <c r="M4471" s="13"/>
    </row>
    <row r="4472" spans="12:13" x14ac:dyDescent="0.2">
      <c r="L4472" s="12"/>
      <c r="M4472" s="13"/>
    </row>
    <row r="4473" spans="12:13" x14ac:dyDescent="0.2">
      <c r="L4473" s="12"/>
      <c r="M4473" s="13"/>
    </row>
    <row r="4474" spans="12:13" x14ac:dyDescent="0.2">
      <c r="L4474" s="12"/>
      <c r="M4474" s="13"/>
    </row>
    <row r="4475" spans="12:13" x14ac:dyDescent="0.2">
      <c r="L4475" s="12"/>
      <c r="M4475" s="13"/>
    </row>
    <row r="4476" spans="12:13" x14ac:dyDescent="0.2">
      <c r="L4476" s="12"/>
      <c r="M4476" s="13"/>
    </row>
    <row r="4477" spans="12:13" x14ac:dyDescent="0.2">
      <c r="L4477" s="12"/>
      <c r="M4477" s="13"/>
    </row>
    <row r="4478" spans="12:13" x14ac:dyDescent="0.2">
      <c r="L4478" s="12"/>
      <c r="M4478" s="13"/>
    </row>
    <row r="4479" spans="12:13" x14ac:dyDescent="0.2">
      <c r="L4479" s="12"/>
      <c r="M4479" s="13"/>
    </row>
    <row r="4480" spans="12:13" x14ac:dyDescent="0.2">
      <c r="L4480" s="12"/>
      <c r="M4480" s="13"/>
    </row>
    <row r="4481" spans="12:13" x14ac:dyDescent="0.2">
      <c r="L4481" s="12"/>
      <c r="M4481" s="13"/>
    </row>
    <row r="4482" spans="12:13" x14ac:dyDescent="0.2">
      <c r="L4482" s="12"/>
      <c r="M4482" s="13"/>
    </row>
    <row r="4483" spans="12:13" x14ac:dyDescent="0.2">
      <c r="L4483" s="12"/>
      <c r="M4483" s="13"/>
    </row>
    <row r="4484" spans="12:13" x14ac:dyDescent="0.2">
      <c r="L4484" s="12"/>
      <c r="M4484" s="13"/>
    </row>
    <row r="4485" spans="12:13" x14ac:dyDescent="0.2">
      <c r="L4485" s="12"/>
      <c r="M4485" s="13"/>
    </row>
    <row r="4486" spans="12:13" x14ac:dyDescent="0.2">
      <c r="L4486" s="12"/>
      <c r="M4486" s="13"/>
    </row>
    <row r="4487" spans="12:13" x14ac:dyDescent="0.2">
      <c r="L4487" s="12"/>
      <c r="M4487" s="13"/>
    </row>
    <row r="4488" spans="12:13" x14ac:dyDescent="0.2">
      <c r="L4488" s="12"/>
      <c r="M4488" s="13"/>
    </row>
    <row r="4489" spans="12:13" x14ac:dyDescent="0.2">
      <c r="L4489" s="12"/>
      <c r="M4489" s="13"/>
    </row>
    <row r="4490" spans="12:13" x14ac:dyDescent="0.2">
      <c r="L4490" s="12"/>
      <c r="M4490" s="13"/>
    </row>
    <row r="4491" spans="12:13" x14ac:dyDescent="0.2">
      <c r="L4491" s="12"/>
      <c r="M4491" s="13"/>
    </row>
    <row r="4492" spans="12:13" x14ac:dyDescent="0.2">
      <c r="L4492" s="12"/>
      <c r="M4492" s="13"/>
    </row>
    <row r="4493" spans="12:13" x14ac:dyDescent="0.2">
      <c r="L4493" s="12"/>
      <c r="M4493" s="13"/>
    </row>
    <row r="4494" spans="12:13" x14ac:dyDescent="0.2">
      <c r="L4494" s="12"/>
      <c r="M4494" s="13"/>
    </row>
    <row r="4495" spans="12:13" x14ac:dyDescent="0.2">
      <c r="L4495" s="12"/>
      <c r="M4495" s="13"/>
    </row>
    <row r="4496" spans="12:13" x14ac:dyDescent="0.2">
      <c r="L4496" s="12"/>
      <c r="M4496" s="13"/>
    </row>
    <row r="4497" spans="12:13" x14ac:dyDescent="0.2">
      <c r="L4497" s="12"/>
      <c r="M4497" s="13"/>
    </row>
    <row r="4498" spans="12:13" x14ac:dyDescent="0.2">
      <c r="L4498" s="12"/>
      <c r="M4498" s="13"/>
    </row>
    <row r="4499" spans="12:13" x14ac:dyDescent="0.2">
      <c r="L4499" s="12"/>
      <c r="M4499" s="13"/>
    </row>
    <row r="4500" spans="12:13" x14ac:dyDescent="0.2">
      <c r="L4500" s="12"/>
      <c r="M4500" s="13"/>
    </row>
    <row r="4501" spans="12:13" x14ac:dyDescent="0.2">
      <c r="L4501" s="12"/>
      <c r="M4501" s="13"/>
    </row>
    <row r="4502" spans="12:13" x14ac:dyDescent="0.2">
      <c r="L4502" s="12"/>
      <c r="M4502" s="13"/>
    </row>
    <row r="4503" spans="12:13" x14ac:dyDescent="0.2">
      <c r="L4503" s="12"/>
      <c r="M4503" s="13"/>
    </row>
    <row r="4504" spans="12:13" x14ac:dyDescent="0.2">
      <c r="L4504" s="12"/>
      <c r="M4504" s="13"/>
    </row>
    <row r="4505" spans="12:13" x14ac:dyDescent="0.2">
      <c r="L4505" s="12"/>
      <c r="M4505" s="13"/>
    </row>
    <row r="4506" spans="12:13" x14ac:dyDescent="0.2">
      <c r="L4506" s="12"/>
      <c r="M4506" s="13"/>
    </row>
    <row r="4507" spans="12:13" x14ac:dyDescent="0.2">
      <c r="L4507" s="12"/>
      <c r="M4507" s="13"/>
    </row>
    <row r="4508" spans="12:13" x14ac:dyDescent="0.2">
      <c r="L4508" s="12"/>
      <c r="M4508" s="13"/>
    </row>
    <row r="4509" spans="12:13" x14ac:dyDescent="0.2">
      <c r="L4509" s="12"/>
      <c r="M4509" s="13"/>
    </row>
    <row r="4510" spans="12:13" x14ac:dyDescent="0.2">
      <c r="L4510" s="12"/>
      <c r="M4510" s="13"/>
    </row>
    <row r="4511" spans="12:13" x14ac:dyDescent="0.2">
      <c r="L4511" s="12"/>
      <c r="M4511" s="13"/>
    </row>
    <row r="4512" spans="12:13" x14ac:dyDescent="0.2">
      <c r="L4512" s="12"/>
      <c r="M4512" s="13"/>
    </row>
    <row r="4513" spans="12:13" x14ac:dyDescent="0.2">
      <c r="L4513" s="12"/>
      <c r="M4513" s="13"/>
    </row>
    <row r="4514" spans="12:13" x14ac:dyDescent="0.2">
      <c r="L4514" s="12"/>
      <c r="M4514" s="13"/>
    </row>
    <row r="4515" spans="12:13" x14ac:dyDescent="0.2">
      <c r="L4515" s="12"/>
      <c r="M4515" s="13"/>
    </row>
    <row r="4516" spans="12:13" x14ac:dyDescent="0.2">
      <c r="L4516" s="12"/>
      <c r="M4516" s="13"/>
    </row>
    <row r="4517" spans="12:13" x14ac:dyDescent="0.2">
      <c r="L4517" s="12"/>
      <c r="M4517" s="13"/>
    </row>
    <row r="4518" spans="12:13" x14ac:dyDescent="0.2">
      <c r="L4518" s="12"/>
      <c r="M4518" s="13"/>
    </row>
    <row r="4519" spans="12:13" x14ac:dyDescent="0.2">
      <c r="L4519" s="12"/>
      <c r="M4519" s="13"/>
    </row>
    <row r="4520" spans="12:13" x14ac:dyDescent="0.2">
      <c r="L4520" s="12"/>
      <c r="M4520" s="13"/>
    </row>
    <row r="4521" spans="12:13" x14ac:dyDescent="0.2">
      <c r="L4521" s="12"/>
      <c r="M4521" s="13"/>
    </row>
    <row r="4522" spans="12:13" x14ac:dyDescent="0.2">
      <c r="L4522" s="12"/>
      <c r="M4522" s="13"/>
    </row>
    <row r="4523" spans="12:13" x14ac:dyDescent="0.2">
      <c r="L4523" s="12"/>
      <c r="M4523" s="13"/>
    </row>
    <row r="4524" spans="12:13" x14ac:dyDescent="0.2">
      <c r="L4524" s="12"/>
      <c r="M4524" s="13"/>
    </row>
    <row r="4525" spans="12:13" x14ac:dyDescent="0.2">
      <c r="L4525" s="12"/>
      <c r="M4525" s="13"/>
    </row>
    <row r="4526" spans="12:13" x14ac:dyDescent="0.2">
      <c r="L4526" s="12"/>
      <c r="M4526" s="13"/>
    </row>
    <row r="4527" spans="12:13" x14ac:dyDescent="0.2">
      <c r="L4527" s="12"/>
      <c r="M4527" s="13"/>
    </row>
    <row r="4528" spans="12:13" x14ac:dyDescent="0.2">
      <c r="L4528" s="12"/>
      <c r="M4528" s="13"/>
    </row>
    <row r="4529" spans="12:13" x14ac:dyDescent="0.2">
      <c r="L4529" s="12"/>
      <c r="M4529" s="13"/>
    </row>
    <row r="4530" spans="12:13" x14ac:dyDescent="0.2">
      <c r="L4530" s="12"/>
      <c r="M4530" s="13"/>
    </row>
    <row r="4531" spans="12:13" x14ac:dyDescent="0.2">
      <c r="L4531" s="12"/>
      <c r="M4531" s="13"/>
    </row>
    <row r="4532" spans="12:13" x14ac:dyDescent="0.2">
      <c r="L4532" s="12"/>
      <c r="M4532" s="13"/>
    </row>
    <row r="4533" spans="12:13" x14ac:dyDescent="0.2">
      <c r="L4533" s="12"/>
      <c r="M4533" s="13"/>
    </row>
    <row r="4534" spans="12:13" x14ac:dyDescent="0.2">
      <c r="L4534" s="12"/>
      <c r="M4534" s="13"/>
    </row>
    <row r="4535" spans="12:13" x14ac:dyDescent="0.2">
      <c r="L4535" s="12"/>
      <c r="M4535" s="13"/>
    </row>
    <row r="4536" spans="12:13" x14ac:dyDescent="0.2">
      <c r="L4536" s="12"/>
      <c r="M4536" s="13"/>
    </row>
    <row r="4537" spans="12:13" x14ac:dyDescent="0.2">
      <c r="L4537" s="12"/>
      <c r="M4537" s="13"/>
    </row>
    <row r="4538" spans="12:13" x14ac:dyDescent="0.2">
      <c r="L4538" s="12"/>
      <c r="M4538" s="13"/>
    </row>
    <row r="4539" spans="12:13" x14ac:dyDescent="0.2">
      <c r="L4539" s="12"/>
      <c r="M4539" s="13"/>
    </row>
    <row r="4540" spans="12:13" x14ac:dyDescent="0.2">
      <c r="L4540" s="12"/>
      <c r="M4540" s="13"/>
    </row>
    <row r="4541" spans="12:13" x14ac:dyDescent="0.2">
      <c r="L4541" s="12"/>
      <c r="M4541" s="13"/>
    </row>
    <row r="4542" spans="12:13" x14ac:dyDescent="0.2">
      <c r="L4542" s="12"/>
      <c r="M4542" s="13"/>
    </row>
    <row r="4543" spans="12:13" x14ac:dyDescent="0.2">
      <c r="L4543" s="12"/>
      <c r="M4543" s="13"/>
    </row>
    <row r="4544" spans="12:13" x14ac:dyDescent="0.2">
      <c r="L4544" s="12"/>
      <c r="M4544" s="13"/>
    </row>
    <row r="4545" spans="12:13" x14ac:dyDescent="0.2">
      <c r="L4545" s="12"/>
      <c r="M4545" s="13"/>
    </row>
    <row r="4546" spans="12:13" x14ac:dyDescent="0.2">
      <c r="L4546" s="12"/>
      <c r="M4546" s="13"/>
    </row>
    <row r="4547" spans="12:13" x14ac:dyDescent="0.2">
      <c r="L4547" s="12"/>
      <c r="M4547" s="13"/>
    </row>
    <row r="4548" spans="12:13" x14ac:dyDescent="0.2">
      <c r="L4548" s="12"/>
      <c r="M4548" s="13"/>
    </row>
    <row r="4549" spans="12:13" x14ac:dyDescent="0.2">
      <c r="L4549" s="12"/>
      <c r="M4549" s="13"/>
    </row>
    <row r="4550" spans="12:13" x14ac:dyDescent="0.2">
      <c r="L4550" s="12"/>
      <c r="M4550" s="13"/>
    </row>
    <row r="4551" spans="12:13" x14ac:dyDescent="0.2">
      <c r="L4551" s="12"/>
      <c r="M4551" s="13"/>
    </row>
    <row r="4552" spans="12:13" x14ac:dyDescent="0.2">
      <c r="L4552" s="12"/>
      <c r="M4552" s="13"/>
    </row>
    <row r="4553" spans="12:13" x14ac:dyDescent="0.2">
      <c r="L4553" s="12"/>
      <c r="M4553" s="13"/>
    </row>
    <row r="4554" spans="12:13" x14ac:dyDescent="0.2">
      <c r="L4554" s="12"/>
      <c r="M4554" s="13"/>
    </row>
    <row r="4555" spans="12:13" x14ac:dyDescent="0.2">
      <c r="L4555" s="12"/>
      <c r="M4555" s="13"/>
    </row>
    <row r="4556" spans="12:13" x14ac:dyDescent="0.2">
      <c r="L4556" s="12"/>
      <c r="M4556" s="13"/>
    </row>
    <row r="4557" spans="12:13" x14ac:dyDescent="0.2">
      <c r="L4557" s="12"/>
      <c r="M4557" s="13"/>
    </row>
    <row r="4558" spans="12:13" x14ac:dyDescent="0.2">
      <c r="L4558" s="12"/>
      <c r="M4558" s="13"/>
    </row>
    <row r="4559" spans="12:13" x14ac:dyDescent="0.2">
      <c r="L4559" s="12"/>
      <c r="M4559" s="13"/>
    </row>
    <row r="4560" spans="12:13" x14ac:dyDescent="0.2">
      <c r="L4560" s="12"/>
      <c r="M4560" s="13"/>
    </row>
    <row r="4561" spans="12:13" x14ac:dyDescent="0.2">
      <c r="L4561" s="12"/>
      <c r="M4561" s="13"/>
    </row>
    <row r="4562" spans="12:13" x14ac:dyDescent="0.2">
      <c r="L4562" s="12"/>
      <c r="M4562" s="13"/>
    </row>
    <row r="4563" spans="12:13" x14ac:dyDescent="0.2">
      <c r="L4563" s="12"/>
      <c r="M4563" s="13"/>
    </row>
    <row r="4564" spans="12:13" x14ac:dyDescent="0.2">
      <c r="L4564" s="12"/>
      <c r="M4564" s="13"/>
    </row>
    <row r="4565" spans="12:13" x14ac:dyDescent="0.2">
      <c r="L4565" s="12"/>
      <c r="M4565" s="13"/>
    </row>
    <row r="4566" spans="12:13" x14ac:dyDescent="0.2">
      <c r="L4566" s="12"/>
      <c r="M4566" s="13"/>
    </row>
    <row r="4567" spans="12:13" x14ac:dyDescent="0.2">
      <c r="L4567" s="12"/>
      <c r="M4567" s="13"/>
    </row>
    <row r="4568" spans="12:13" x14ac:dyDescent="0.2">
      <c r="L4568" s="12"/>
      <c r="M4568" s="13"/>
    </row>
    <row r="4569" spans="12:13" x14ac:dyDescent="0.2">
      <c r="L4569" s="12"/>
      <c r="M4569" s="13"/>
    </row>
    <row r="4570" spans="12:13" x14ac:dyDescent="0.2">
      <c r="L4570" s="12"/>
      <c r="M4570" s="13"/>
    </row>
    <row r="4571" spans="12:13" x14ac:dyDescent="0.2">
      <c r="L4571" s="12"/>
      <c r="M4571" s="13"/>
    </row>
    <row r="4572" spans="12:13" x14ac:dyDescent="0.2">
      <c r="L4572" s="12"/>
      <c r="M4572" s="13"/>
    </row>
    <row r="4573" spans="12:13" x14ac:dyDescent="0.2">
      <c r="L4573" s="12"/>
      <c r="M4573" s="13"/>
    </row>
    <row r="4574" spans="12:13" x14ac:dyDescent="0.2">
      <c r="L4574" s="12"/>
      <c r="M4574" s="13"/>
    </row>
    <row r="4575" spans="12:13" x14ac:dyDescent="0.2">
      <c r="L4575" s="12"/>
      <c r="M4575" s="13"/>
    </row>
    <row r="4576" spans="12:13" x14ac:dyDescent="0.2">
      <c r="L4576" s="12"/>
      <c r="M4576" s="13"/>
    </row>
    <row r="4577" spans="12:13" x14ac:dyDescent="0.2">
      <c r="L4577" s="12"/>
      <c r="M4577" s="13"/>
    </row>
    <row r="4578" spans="12:13" x14ac:dyDescent="0.2">
      <c r="L4578" s="12"/>
      <c r="M4578" s="13"/>
    </row>
    <row r="4579" spans="12:13" x14ac:dyDescent="0.2">
      <c r="L4579" s="12"/>
      <c r="M4579" s="13"/>
    </row>
    <row r="4580" spans="12:13" x14ac:dyDescent="0.2">
      <c r="L4580" s="12"/>
      <c r="M4580" s="13"/>
    </row>
    <row r="4581" spans="12:13" x14ac:dyDescent="0.2">
      <c r="L4581" s="12"/>
      <c r="M4581" s="13"/>
    </row>
    <row r="4582" spans="12:13" x14ac:dyDescent="0.2">
      <c r="L4582" s="12"/>
      <c r="M4582" s="13"/>
    </row>
    <row r="4583" spans="12:13" x14ac:dyDescent="0.2">
      <c r="L4583" s="12"/>
      <c r="M4583" s="13"/>
    </row>
    <row r="4584" spans="12:13" x14ac:dyDescent="0.2">
      <c r="L4584" s="12"/>
      <c r="M4584" s="13"/>
    </row>
    <row r="4585" spans="12:13" x14ac:dyDescent="0.2">
      <c r="L4585" s="12"/>
      <c r="M4585" s="13"/>
    </row>
    <row r="4586" spans="12:13" x14ac:dyDescent="0.2">
      <c r="L4586" s="12"/>
      <c r="M4586" s="13"/>
    </row>
    <row r="4587" spans="12:13" x14ac:dyDescent="0.2">
      <c r="L4587" s="12"/>
      <c r="M4587" s="13"/>
    </row>
    <row r="4588" spans="12:13" x14ac:dyDescent="0.2">
      <c r="L4588" s="12"/>
      <c r="M4588" s="13"/>
    </row>
    <row r="4589" spans="12:13" x14ac:dyDescent="0.2">
      <c r="L4589" s="12"/>
      <c r="M4589" s="13"/>
    </row>
    <row r="4590" spans="12:13" x14ac:dyDescent="0.2">
      <c r="L4590" s="12"/>
      <c r="M4590" s="13"/>
    </row>
    <row r="4591" spans="12:13" x14ac:dyDescent="0.2">
      <c r="L4591" s="12"/>
      <c r="M4591" s="13"/>
    </row>
    <row r="4592" spans="12:13" x14ac:dyDescent="0.2">
      <c r="L4592" s="12"/>
      <c r="M4592" s="13"/>
    </row>
    <row r="4593" spans="12:13" x14ac:dyDescent="0.2">
      <c r="L4593" s="12"/>
      <c r="M4593" s="13"/>
    </row>
    <row r="4594" spans="12:13" x14ac:dyDescent="0.2">
      <c r="L4594" s="12"/>
      <c r="M4594" s="13"/>
    </row>
    <row r="4595" spans="12:13" x14ac:dyDescent="0.2">
      <c r="L4595" s="12"/>
      <c r="M4595" s="13"/>
    </row>
    <row r="4596" spans="12:13" x14ac:dyDescent="0.2">
      <c r="L4596" s="12"/>
      <c r="M4596" s="13"/>
    </row>
    <row r="4597" spans="12:13" x14ac:dyDescent="0.2">
      <c r="L4597" s="12"/>
      <c r="M4597" s="13"/>
    </row>
    <row r="4598" spans="12:13" x14ac:dyDescent="0.2">
      <c r="L4598" s="12"/>
      <c r="M4598" s="13"/>
    </row>
    <row r="4599" spans="12:13" x14ac:dyDescent="0.2">
      <c r="L4599" s="12"/>
      <c r="M4599" s="13"/>
    </row>
    <row r="4600" spans="12:13" x14ac:dyDescent="0.2">
      <c r="L4600" s="12"/>
      <c r="M4600" s="13"/>
    </row>
    <row r="4601" spans="12:13" x14ac:dyDescent="0.2">
      <c r="L4601" s="12"/>
      <c r="M4601" s="13"/>
    </row>
    <row r="4602" spans="12:13" x14ac:dyDescent="0.2">
      <c r="L4602" s="12"/>
      <c r="M4602" s="13"/>
    </row>
    <row r="4603" spans="12:13" x14ac:dyDescent="0.2">
      <c r="L4603" s="12"/>
      <c r="M4603" s="13"/>
    </row>
    <row r="4604" spans="12:13" x14ac:dyDescent="0.2">
      <c r="L4604" s="12"/>
      <c r="M4604" s="13"/>
    </row>
    <row r="4605" spans="12:13" x14ac:dyDescent="0.2">
      <c r="L4605" s="12"/>
      <c r="M4605" s="13"/>
    </row>
    <row r="4606" spans="12:13" x14ac:dyDescent="0.2">
      <c r="L4606" s="12"/>
      <c r="M4606" s="13"/>
    </row>
    <row r="4607" spans="12:13" x14ac:dyDescent="0.2">
      <c r="L4607" s="12"/>
      <c r="M4607" s="13"/>
    </row>
    <row r="4608" spans="12:13" x14ac:dyDescent="0.2">
      <c r="L4608" s="12"/>
      <c r="M4608" s="13"/>
    </row>
    <row r="4609" spans="12:13" x14ac:dyDescent="0.2">
      <c r="L4609" s="12"/>
      <c r="M4609" s="13"/>
    </row>
    <row r="4610" spans="12:13" x14ac:dyDescent="0.2">
      <c r="L4610" s="17"/>
      <c r="M4610" s="18"/>
    </row>
    <row r="4611" spans="12:13" x14ac:dyDescent="0.2">
      <c r="L4611" s="12"/>
      <c r="M4611" s="13"/>
    </row>
    <row r="4612" spans="12:13" x14ac:dyDescent="0.2">
      <c r="L4612" s="12"/>
      <c r="M4612" s="13"/>
    </row>
    <row r="4613" spans="12:13" x14ac:dyDescent="0.2">
      <c r="L4613" s="12"/>
      <c r="M4613" s="13"/>
    </row>
    <row r="4614" spans="12:13" x14ac:dyDescent="0.2">
      <c r="L4614" s="12"/>
      <c r="M4614" s="13"/>
    </row>
    <row r="4615" spans="12:13" x14ac:dyDescent="0.2">
      <c r="L4615" s="12"/>
      <c r="M4615" s="13"/>
    </row>
    <row r="4616" spans="12:13" x14ac:dyDescent="0.2">
      <c r="L4616" s="12"/>
      <c r="M4616" s="13"/>
    </row>
    <row r="4617" spans="12:13" x14ac:dyDescent="0.2">
      <c r="L4617" s="12"/>
      <c r="M4617" s="13"/>
    </row>
    <row r="4618" spans="12:13" x14ac:dyDescent="0.2">
      <c r="L4618" s="12"/>
      <c r="M4618" s="13"/>
    </row>
    <row r="4619" spans="12:13" x14ac:dyDescent="0.2">
      <c r="L4619" s="12"/>
      <c r="M4619" s="13"/>
    </row>
    <row r="4620" spans="12:13" x14ac:dyDescent="0.2">
      <c r="L4620" s="12"/>
      <c r="M4620" s="13"/>
    </row>
    <row r="4621" spans="12:13" x14ac:dyDescent="0.2">
      <c r="L4621" s="12"/>
      <c r="M4621" s="13"/>
    </row>
    <row r="4622" spans="12:13" x14ac:dyDescent="0.2">
      <c r="L4622" s="12"/>
      <c r="M4622" s="13"/>
    </row>
    <row r="4623" spans="12:13" x14ac:dyDescent="0.2">
      <c r="L4623" s="12"/>
      <c r="M4623" s="13"/>
    </row>
    <row r="4624" spans="12:13" x14ac:dyDescent="0.2">
      <c r="L4624" s="12"/>
      <c r="M4624" s="13"/>
    </row>
    <row r="4625" spans="12:13" x14ac:dyDescent="0.2">
      <c r="L4625" s="12"/>
      <c r="M4625" s="13"/>
    </row>
    <row r="4626" spans="12:13" x14ac:dyDescent="0.2">
      <c r="L4626" s="12"/>
      <c r="M4626" s="13"/>
    </row>
    <row r="4627" spans="12:13" x14ac:dyDescent="0.2">
      <c r="L4627" s="12"/>
      <c r="M4627" s="13"/>
    </row>
    <row r="4628" spans="12:13" x14ac:dyDescent="0.2">
      <c r="L4628" s="12"/>
      <c r="M4628" s="13"/>
    </row>
    <row r="4629" spans="12:13" x14ac:dyDescent="0.2">
      <c r="L4629" s="12"/>
      <c r="M4629" s="13"/>
    </row>
    <row r="4630" spans="12:13" x14ac:dyDescent="0.2">
      <c r="L4630" s="12"/>
      <c r="M4630" s="13"/>
    </row>
    <row r="4631" spans="12:13" x14ac:dyDescent="0.2">
      <c r="L4631" s="12"/>
      <c r="M4631" s="13"/>
    </row>
    <row r="4632" spans="12:13" x14ac:dyDescent="0.2">
      <c r="L4632" s="12"/>
      <c r="M4632" s="13"/>
    </row>
    <row r="4633" spans="12:13" x14ac:dyDescent="0.2">
      <c r="L4633" s="12"/>
      <c r="M4633" s="13"/>
    </row>
    <row r="4634" spans="12:13" x14ac:dyDescent="0.2">
      <c r="L4634" s="12"/>
      <c r="M4634" s="13"/>
    </row>
    <row r="4635" spans="12:13" x14ac:dyDescent="0.2">
      <c r="L4635" s="12"/>
      <c r="M4635" s="13"/>
    </row>
    <row r="4636" spans="12:13" x14ac:dyDescent="0.2">
      <c r="L4636" s="12"/>
      <c r="M4636" s="13"/>
    </row>
    <row r="4637" spans="12:13" x14ac:dyDescent="0.2">
      <c r="L4637" s="12"/>
      <c r="M4637" s="13"/>
    </row>
    <row r="4638" spans="12:13" x14ac:dyDescent="0.2">
      <c r="L4638" s="12"/>
      <c r="M4638" s="13"/>
    </row>
    <row r="4639" spans="12:13" x14ac:dyDescent="0.2">
      <c r="L4639" s="12"/>
      <c r="M4639" s="13"/>
    </row>
    <row r="4640" spans="12:13" x14ac:dyDescent="0.2">
      <c r="L4640" s="12"/>
      <c r="M4640" s="13"/>
    </row>
    <row r="4641" spans="12:13" x14ac:dyDescent="0.2">
      <c r="L4641" s="12"/>
      <c r="M4641" s="13"/>
    </row>
    <row r="4642" spans="12:13" x14ac:dyDescent="0.2">
      <c r="L4642" s="12"/>
      <c r="M4642" s="13"/>
    </row>
    <row r="4643" spans="12:13" x14ac:dyDescent="0.2">
      <c r="L4643" s="12"/>
      <c r="M4643" s="13"/>
    </row>
    <row r="4644" spans="12:13" x14ac:dyDescent="0.2">
      <c r="L4644" s="12"/>
      <c r="M4644" s="13"/>
    </row>
    <row r="4645" spans="12:13" x14ac:dyDescent="0.2">
      <c r="L4645" s="12"/>
      <c r="M4645" s="13"/>
    </row>
    <row r="4646" spans="12:13" x14ac:dyDescent="0.2">
      <c r="L4646" s="12"/>
      <c r="M4646" s="13"/>
    </row>
    <row r="4647" spans="12:13" x14ac:dyDescent="0.2">
      <c r="L4647" s="12"/>
      <c r="M4647" s="13"/>
    </row>
    <row r="4648" spans="12:13" x14ac:dyDescent="0.2">
      <c r="L4648" s="12"/>
      <c r="M4648" s="13"/>
    </row>
    <row r="4649" spans="12:13" x14ac:dyDescent="0.2">
      <c r="L4649" s="12"/>
      <c r="M4649" s="13"/>
    </row>
    <row r="4650" spans="12:13" x14ac:dyDescent="0.2">
      <c r="L4650" s="12"/>
      <c r="M4650" s="13"/>
    </row>
    <row r="4651" spans="12:13" x14ac:dyDescent="0.2">
      <c r="L4651" s="12"/>
      <c r="M4651" s="13"/>
    </row>
    <row r="4652" spans="12:13" x14ac:dyDescent="0.2">
      <c r="L4652" s="12"/>
      <c r="M4652" s="13"/>
    </row>
    <row r="4653" spans="12:13" x14ac:dyDescent="0.2">
      <c r="L4653" s="12"/>
      <c r="M4653" s="13"/>
    </row>
    <row r="4654" spans="12:13" x14ac:dyDescent="0.2">
      <c r="L4654" s="12"/>
      <c r="M4654" s="13"/>
    </row>
    <row r="4655" spans="12:13" x14ac:dyDescent="0.2">
      <c r="L4655" s="12"/>
      <c r="M4655" s="13"/>
    </row>
    <row r="4656" spans="12:13" x14ac:dyDescent="0.2">
      <c r="L4656" s="12"/>
      <c r="M4656" s="13"/>
    </row>
    <row r="4657" spans="12:13" x14ac:dyDescent="0.2">
      <c r="L4657" s="12"/>
      <c r="M4657" s="13"/>
    </row>
    <row r="4658" spans="12:13" x14ac:dyDescent="0.2">
      <c r="L4658" s="12"/>
      <c r="M4658" s="13"/>
    </row>
    <row r="4659" spans="12:13" x14ac:dyDescent="0.2">
      <c r="L4659" s="12"/>
      <c r="M4659" s="13"/>
    </row>
    <row r="4660" spans="12:13" x14ac:dyDescent="0.2">
      <c r="L4660" s="12"/>
      <c r="M4660" s="13"/>
    </row>
    <row r="4661" spans="12:13" x14ac:dyDescent="0.2">
      <c r="L4661" s="12"/>
      <c r="M4661" s="13"/>
    </row>
    <row r="4662" spans="12:13" x14ac:dyDescent="0.2">
      <c r="L4662" s="12"/>
      <c r="M4662" s="13"/>
    </row>
    <row r="4663" spans="12:13" x14ac:dyDescent="0.2">
      <c r="L4663" s="12"/>
      <c r="M4663" s="13"/>
    </row>
    <row r="4664" spans="12:13" x14ac:dyDescent="0.2">
      <c r="L4664" s="12"/>
      <c r="M4664" s="13"/>
    </row>
    <row r="4665" spans="12:13" x14ac:dyDescent="0.2">
      <c r="L4665" s="12"/>
      <c r="M4665" s="13"/>
    </row>
    <row r="4666" spans="12:13" x14ac:dyDescent="0.2">
      <c r="L4666" s="12"/>
      <c r="M4666" s="13"/>
    </row>
    <row r="4667" spans="12:13" x14ac:dyDescent="0.2">
      <c r="L4667" s="12"/>
      <c r="M4667" s="13"/>
    </row>
    <row r="4668" spans="12:13" x14ac:dyDescent="0.2">
      <c r="L4668" s="12"/>
      <c r="M4668" s="13"/>
    </row>
    <row r="4669" spans="12:13" x14ac:dyDescent="0.2">
      <c r="L4669" s="12"/>
      <c r="M4669" s="13"/>
    </row>
    <row r="4670" spans="12:13" x14ac:dyDescent="0.2">
      <c r="L4670" s="12"/>
      <c r="M4670" s="13"/>
    </row>
    <row r="4671" spans="12:13" x14ac:dyDescent="0.2">
      <c r="L4671" s="12"/>
      <c r="M4671" s="13"/>
    </row>
    <row r="4672" spans="12:13" x14ac:dyDescent="0.2">
      <c r="L4672" s="12"/>
      <c r="M4672" s="13"/>
    </row>
    <row r="4673" spans="12:13" x14ac:dyDescent="0.2">
      <c r="L4673" s="12"/>
      <c r="M4673" s="13"/>
    </row>
    <row r="4674" spans="12:13" x14ac:dyDescent="0.2">
      <c r="L4674" s="12"/>
      <c r="M4674" s="13"/>
    </row>
    <row r="4675" spans="12:13" x14ac:dyDescent="0.2">
      <c r="L4675" s="12"/>
      <c r="M4675" s="13"/>
    </row>
    <row r="4676" spans="12:13" x14ac:dyDescent="0.2">
      <c r="L4676" s="12"/>
      <c r="M4676" s="13"/>
    </row>
    <row r="4677" spans="12:13" x14ac:dyDescent="0.2">
      <c r="L4677" s="12"/>
      <c r="M4677" s="13"/>
    </row>
    <row r="4678" spans="12:13" x14ac:dyDescent="0.2">
      <c r="L4678" s="12"/>
      <c r="M4678" s="13"/>
    </row>
    <row r="4679" spans="12:13" x14ac:dyDescent="0.2">
      <c r="L4679" s="12"/>
      <c r="M4679" s="13"/>
    </row>
    <row r="4680" spans="12:13" x14ac:dyDescent="0.2">
      <c r="L4680" s="12"/>
      <c r="M4680" s="13"/>
    </row>
    <row r="4681" spans="12:13" x14ac:dyDescent="0.2">
      <c r="L4681" s="12"/>
      <c r="M4681" s="13"/>
    </row>
    <row r="4682" spans="12:13" x14ac:dyDescent="0.2">
      <c r="L4682" s="12"/>
      <c r="M4682" s="13"/>
    </row>
    <row r="4683" spans="12:13" x14ac:dyDescent="0.2">
      <c r="L4683" s="12"/>
      <c r="M4683" s="13"/>
    </row>
    <row r="4684" spans="12:13" x14ac:dyDescent="0.2">
      <c r="L4684" s="12"/>
      <c r="M4684" s="13"/>
    </row>
    <row r="4685" spans="12:13" x14ac:dyDescent="0.2">
      <c r="L4685" s="12"/>
      <c r="M4685" s="13"/>
    </row>
    <row r="4686" spans="12:13" x14ac:dyDescent="0.2">
      <c r="L4686" s="12"/>
      <c r="M4686" s="13"/>
    </row>
    <row r="4687" spans="12:13" x14ac:dyDescent="0.2">
      <c r="L4687" s="12"/>
      <c r="M4687" s="13"/>
    </row>
    <row r="4688" spans="12:13" x14ac:dyDescent="0.2">
      <c r="L4688" s="12"/>
      <c r="M4688" s="13"/>
    </row>
    <row r="4689" spans="12:13" x14ac:dyDescent="0.2">
      <c r="L4689" s="12"/>
      <c r="M4689" s="13"/>
    </row>
    <row r="4690" spans="12:13" x14ac:dyDescent="0.2">
      <c r="L4690" s="12"/>
      <c r="M4690" s="13"/>
    </row>
    <row r="4691" spans="12:13" x14ac:dyDescent="0.2">
      <c r="L4691" s="12"/>
      <c r="M4691" s="13"/>
    </row>
    <row r="4692" spans="12:13" x14ac:dyDescent="0.2">
      <c r="L4692" s="12"/>
      <c r="M4692" s="13"/>
    </row>
    <row r="4693" spans="12:13" x14ac:dyDescent="0.2">
      <c r="L4693" s="12"/>
      <c r="M4693" s="13"/>
    </row>
    <row r="4694" spans="12:13" x14ac:dyDescent="0.2">
      <c r="L4694" s="12"/>
      <c r="M4694" s="13"/>
    </row>
    <row r="4695" spans="12:13" x14ac:dyDescent="0.2">
      <c r="L4695" s="12"/>
      <c r="M4695" s="13"/>
    </row>
    <row r="4696" spans="12:13" x14ac:dyDescent="0.2">
      <c r="L4696" s="12"/>
      <c r="M4696" s="13"/>
    </row>
    <row r="4697" spans="12:13" x14ac:dyDescent="0.2">
      <c r="L4697" s="12"/>
      <c r="M4697" s="13"/>
    </row>
    <row r="4698" spans="12:13" x14ac:dyDescent="0.2">
      <c r="L4698" s="12"/>
      <c r="M4698" s="13"/>
    </row>
    <row r="4699" spans="12:13" x14ac:dyDescent="0.2">
      <c r="L4699" s="12"/>
      <c r="M4699" s="13"/>
    </row>
    <row r="4700" spans="12:13" x14ac:dyDescent="0.2">
      <c r="L4700" s="12"/>
      <c r="M4700" s="13"/>
    </row>
    <row r="4701" spans="12:13" x14ac:dyDescent="0.2">
      <c r="L4701" s="12"/>
      <c r="M4701" s="13"/>
    </row>
    <row r="4702" spans="12:13" x14ac:dyDescent="0.2">
      <c r="L4702" s="12"/>
      <c r="M4702" s="13"/>
    </row>
    <row r="4703" spans="12:13" x14ac:dyDescent="0.2">
      <c r="L4703" s="12"/>
      <c r="M4703" s="13"/>
    </row>
    <row r="4704" spans="12:13" x14ac:dyDescent="0.2">
      <c r="L4704" s="12"/>
      <c r="M4704" s="13"/>
    </row>
    <row r="4705" spans="12:13" x14ac:dyDescent="0.2">
      <c r="L4705" s="12"/>
      <c r="M4705" s="13"/>
    </row>
    <row r="4706" spans="12:13" x14ac:dyDescent="0.2">
      <c r="L4706" s="12"/>
      <c r="M4706" s="13"/>
    </row>
    <row r="4707" spans="12:13" x14ac:dyDescent="0.2">
      <c r="L4707" s="12"/>
      <c r="M4707" s="13"/>
    </row>
    <row r="4708" spans="12:13" x14ac:dyDescent="0.2">
      <c r="L4708" s="12"/>
      <c r="M4708" s="13"/>
    </row>
    <row r="4709" spans="12:13" x14ac:dyDescent="0.2">
      <c r="L4709" s="12"/>
      <c r="M4709" s="13"/>
    </row>
    <row r="4710" spans="12:13" x14ac:dyDescent="0.2">
      <c r="L4710" s="12"/>
      <c r="M4710" s="13"/>
    </row>
    <row r="4711" spans="12:13" x14ac:dyDescent="0.2">
      <c r="L4711" s="12"/>
      <c r="M4711" s="13"/>
    </row>
    <row r="4712" spans="12:13" x14ac:dyDescent="0.2">
      <c r="L4712" s="12"/>
      <c r="M4712" s="13"/>
    </row>
    <row r="4713" spans="12:13" x14ac:dyDescent="0.2">
      <c r="L4713" s="12"/>
      <c r="M4713" s="13"/>
    </row>
    <row r="4714" spans="12:13" x14ac:dyDescent="0.2">
      <c r="L4714" s="12"/>
      <c r="M4714" s="13"/>
    </row>
    <row r="4715" spans="12:13" x14ac:dyDescent="0.2">
      <c r="L4715" s="12"/>
      <c r="M4715" s="13"/>
    </row>
    <row r="4716" spans="12:13" x14ac:dyDescent="0.2">
      <c r="L4716" s="12"/>
      <c r="M4716" s="13"/>
    </row>
    <row r="4717" spans="12:13" x14ac:dyDescent="0.2">
      <c r="L4717" s="12"/>
      <c r="M4717" s="13"/>
    </row>
    <row r="4718" spans="12:13" x14ac:dyDescent="0.2">
      <c r="L4718" s="12"/>
      <c r="M4718" s="13"/>
    </row>
    <row r="4719" spans="12:13" x14ac:dyDescent="0.2">
      <c r="L4719" s="12"/>
      <c r="M4719" s="13"/>
    </row>
    <row r="4720" spans="12:13" x14ac:dyDescent="0.2">
      <c r="L4720" s="12"/>
      <c r="M4720" s="13"/>
    </row>
    <row r="4721" spans="12:13" x14ac:dyDescent="0.2">
      <c r="L4721" s="12"/>
      <c r="M4721" s="13"/>
    </row>
    <row r="4722" spans="12:13" x14ac:dyDescent="0.2">
      <c r="L4722" s="12"/>
      <c r="M4722" s="13"/>
    </row>
    <row r="4723" spans="12:13" x14ac:dyDescent="0.2">
      <c r="L4723" s="12"/>
      <c r="M4723" s="13"/>
    </row>
    <row r="4724" spans="12:13" x14ac:dyDescent="0.2">
      <c r="L4724" s="12"/>
      <c r="M4724" s="13"/>
    </row>
    <row r="4725" spans="12:13" x14ac:dyDescent="0.2">
      <c r="L4725" s="12"/>
      <c r="M4725" s="13"/>
    </row>
    <row r="4726" spans="12:13" x14ac:dyDescent="0.2">
      <c r="L4726" s="12"/>
      <c r="M4726" s="13"/>
    </row>
    <row r="4727" spans="12:13" x14ac:dyDescent="0.2">
      <c r="L4727" s="12"/>
      <c r="M4727" s="13"/>
    </row>
    <row r="4728" spans="12:13" x14ac:dyDescent="0.2">
      <c r="L4728" s="12"/>
      <c r="M4728" s="13"/>
    </row>
    <row r="4729" spans="12:13" x14ac:dyDescent="0.2">
      <c r="L4729" s="12"/>
      <c r="M4729" s="13"/>
    </row>
    <row r="4730" spans="12:13" x14ac:dyDescent="0.2">
      <c r="L4730" s="12"/>
      <c r="M4730" s="13"/>
    </row>
    <row r="4731" spans="12:13" x14ac:dyDescent="0.2">
      <c r="L4731" s="12"/>
      <c r="M4731" s="13"/>
    </row>
    <row r="4732" spans="12:13" x14ac:dyDescent="0.2">
      <c r="L4732" s="12"/>
      <c r="M4732" s="13"/>
    </row>
    <row r="4733" spans="12:13" x14ac:dyDescent="0.2">
      <c r="L4733" s="12"/>
      <c r="M4733" s="13"/>
    </row>
    <row r="4734" spans="12:13" x14ac:dyDescent="0.2">
      <c r="L4734" s="12"/>
      <c r="M4734" s="13"/>
    </row>
    <row r="4735" spans="12:13" x14ac:dyDescent="0.2">
      <c r="L4735" s="12"/>
      <c r="M4735" s="13"/>
    </row>
    <row r="4736" spans="12:13" x14ac:dyDescent="0.2">
      <c r="L4736" s="12"/>
      <c r="M4736" s="13"/>
    </row>
    <row r="4737" spans="12:13" x14ac:dyDescent="0.2">
      <c r="L4737" s="12"/>
      <c r="M4737" s="13"/>
    </row>
    <row r="4738" spans="12:13" x14ac:dyDescent="0.2">
      <c r="L4738" s="12"/>
      <c r="M4738" s="13"/>
    </row>
    <row r="4739" spans="12:13" x14ac:dyDescent="0.2">
      <c r="L4739" s="12"/>
      <c r="M4739" s="13"/>
    </row>
    <row r="4740" spans="12:13" x14ac:dyDescent="0.2">
      <c r="L4740" s="12"/>
      <c r="M4740" s="13"/>
    </row>
    <row r="4741" spans="12:13" x14ac:dyDescent="0.2">
      <c r="L4741" s="12"/>
      <c r="M4741" s="13"/>
    </row>
    <row r="4742" spans="12:13" x14ac:dyDescent="0.2">
      <c r="L4742" s="12"/>
      <c r="M4742" s="13"/>
    </row>
    <row r="4743" spans="12:13" x14ac:dyDescent="0.2">
      <c r="L4743" s="12"/>
      <c r="M4743" s="13"/>
    </row>
    <row r="4744" spans="12:13" x14ac:dyDescent="0.2">
      <c r="L4744" s="12"/>
      <c r="M4744" s="13"/>
    </row>
    <row r="4745" spans="12:13" x14ac:dyDescent="0.2">
      <c r="L4745" s="12"/>
      <c r="M4745" s="13"/>
    </row>
    <row r="4746" spans="12:13" x14ac:dyDescent="0.2">
      <c r="L4746" s="12"/>
      <c r="M4746" s="13"/>
    </row>
    <row r="4747" spans="12:13" x14ac:dyDescent="0.2">
      <c r="L4747" s="12"/>
      <c r="M4747" s="13"/>
    </row>
    <row r="4748" spans="12:13" x14ac:dyDescent="0.2">
      <c r="L4748" s="12"/>
      <c r="M4748" s="13"/>
    </row>
    <row r="4749" spans="12:13" x14ac:dyDescent="0.2">
      <c r="L4749" s="12"/>
      <c r="M4749" s="13"/>
    </row>
    <row r="4750" spans="12:13" x14ac:dyDescent="0.2">
      <c r="L4750" s="12"/>
      <c r="M4750" s="13"/>
    </row>
    <row r="4751" spans="12:13" x14ac:dyDescent="0.2">
      <c r="L4751" s="12"/>
      <c r="M4751" s="13"/>
    </row>
    <row r="4752" spans="12:13" x14ac:dyDescent="0.2">
      <c r="L4752" s="12"/>
      <c r="M4752" s="13"/>
    </row>
    <row r="4753" spans="12:13" x14ac:dyDescent="0.2">
      <c r="L4753" s="12"/>
      <c r="M4753" s="13"/>
    </row>
    <row r="4754" spans="12:13" x14ac:dyDescent="0.2">
      <c r="L4754" s="12"/>
      <c r="M4754" s="13"/>
    </row>
    <row r="4755" spans="12:13" x14ac:dyDescent="0.2">
      <c r="L4755" s="12"/>
      <c r="M4755" s="13"/>
    </row>
    <row r="4756" spans="12:13" x14ac:dyDescent="0.2">
      <c r="L4756" s="12"/>
      <c r="M4756" s="13"/>
    </row>
    <row r="4757" spans="12:13" x14ac:dyDescent="0.2">
      <c r="L4757" s="12"/>
      <c r="M4757" s="13"/>
    </row>
    <row r="4758" spans="12:13" x14ac:dyDescent="0.2">
      <c r="L4758" s="12"/>
      <c r="M4758" s="13"/>
    </row>
    <row r="4759" spans="12:13" x14ac:dyDescent="0.2">
      <c r="L4759" s="12"/>
      <c r="M4759" s="13"/>
    </row>
    <row r="4760" spans="12:13" x14ac:dyDescent="0.2">
      <c r="L4760" s="12"/>
      <c r="M4760" s="13"/>
    </row>
    <row r="4761" spans="12:13" x14ac:dyDescent="0.2">
      <c r="L4761" s="12"/>
      <c r="M4761" s="13"/>
    </row>
    <row r="4762" spans="12:13" x14ac:dyDescent="0.2">
      <c r="L4762" s="12"/>
      <c r="M4762" s="13"/>
    </row>
    <row r="4763" spans="12:13" x14ac:dyDescent="0.2">
      <c r="L4763" s="12"/>
      <c r="M4763" s="13"/>
    </row>
    <row r="4764" spans="12:13" x14ac:dyDescent="0.2">
      <c r="L4764" s="12"/>
      <c r="M4764" s="13"/>
    </row>
    <row r="4765" spans="12:13" x14ac:dyDescent="0.2">
      <c r="L4765" s="12"/>
      <c r="M4765" s="13"/>
    </row>
    <row r="4766" spans="12:13" x14ac:dyDescent="0.2">
      <c r="L4766" s="12"/>
      <c r="M4766" s="13"/>
    </row>
    <row r="4767" spans="12:13" x14ac:dyDescent="0.2">
      <c r="L4767" s="12"/>
      <c r="M4767" s="13"/>
    </row>
    <row r="4768" spans="12:13" x14ac:dyDescent="0.2">
      <c r="L4768" s="12"/>
      <c r="M4768" s="13"/>
    </row>
    <row r="4769" spans="12:13" x14ac:dyDescent="0.2">
      <c r="L4769" s="12"/>
      <c r="M4769" s="13"/>
    </row>
    <row r="4770" spans="12:13" x14ac:dyDescent="0.2">
      <c r="L4770" s="12"/>
      <c r="M4770" s="13"/>
    </row>
    <row r="4771" spans="12:13" x14ac:dyDescent="0.2">
      <c r="L4771" s="12"/>
      <c r="M4771" s="13"/>
    </row>
    <row r="4772" spans="12:13" x14ac:dyDescent="0.2">
      <c r="L4772" s="12"/>
      <c r="M4772" s="13"/>
    </row>
    <row r="4773" spans="12:13" x14ac:dyDescent="0.2">
      <c r="L4773" s="12"/>
      <c r="M4773" s="13"/>
    </row>
    <row r="4774" spans="12:13" x14ac:dyDescent="0.2">
      <c r="L4774" s="12"/>
      <c r="M4774" s="13"/>
    </row>
    <row r="4775" spans="12:13" x14ac:dyDescent="0.2">
      <c r="L4775" s="12"/>
      <c r="M4775" s="13"/>
    </row>
    <row r="4776" spans="12:13" x14ac:dyDescent="0.2">
      <c r="L4776" s="12"/>
      <c r="M4776" s="13"/>
    </row>
    <row r="4777" spans="12:13" x14ac:dyDescent="0.2">
      <c r="L4777" s="12"/>
      <c r="M4777" s="13"/>
    </row>
    <row r="4778" spans="12:13" x14ac:dyDescent="0.2">
      <c r="L4778" s="12"/>
      <c r="M4778" s="13"/>
    </row>
    <row r="4779" spans="12:13" x14ac:dyDescent="0.2">
      <c r="L4779" s="12"/>
      <c r="M4779" s="13"/>
    </row>
    <row r="4780" spans="12:13" x14ac:dyDescent="0.2">
      <c r="L4780" s="12"/>
      <c r="M4780" s="13"/>
    </row>
    <row r="4781" spans="12:13" x14ac:dyDescent="0.2">
      <c r="L4781" s="12"/>
      <c r="M4781" s="13"/>
    </row>
    <row r="4782" spans="12:13" x14ac:dyDescent="0.2">
      <c r="L4782" s="12"/>
      <c r="M4782" s="13"/>
    </row>
    <row r="4783" spans="12:13" x14ac:dyDescent="0.2">
      <c r="L4783" s="12"/>
      <c r="M4783" s="13"/>
    </row>
    <row r="4784" spans="12:13" x14ac:dyDescent="0.2">
      <c r="L4784" s="12"/>
      <c r="M4784" s="13"/>
    </row>
    <row r="4785" spans="12:13" x14ac:dyDescent="0.2">
      <c r="L4785" s="12"/>
      <c r="M4785" s="13"/>
    </row>
    <row r="4786" spans="12:13" x14ac:dyDescent="0.2">
      <c r="L4786" s="12"/>
      <c r="M4786" s="13"/>
    </row>
    <row r="4787" spans="12:13" x14ac:dyDescent="0.2">
      <c r="L4787" s="12"/>
      <c r="M4787" s="13"/>
    </row>
    <row r="4788" spans="12:13" x14ac:dyDescent="0.2">
      <c r="L4788" s="12"/>
      <c r="M4788" s="13"/>
    </row>
    <row r="4789" spans="12:13" x14ac:dyDescent="0.2">
      <c r="L4789" s="12"/>
      <c r="M4789" s="13"/>
    </row>
    <row r="4790" spans="12:13" x14ac:dyDescent="0.2">
      <c r="L4790" s="12"/>
      <c r="M4790" s="13"/>
    </row>
    <row r="4791" spans="12:13" x14ac:dyDescent="0.2">
      <c r="L4791" s="12"/>
      <c r="M4791" s="13"/>
    </row>
    <row r="4792" spans="12:13" x14ac:dyDescent="0.2">
      <c r="L4792" s="12"/>
      <c r="M4792" s="13"/>
    </row>
    <row r="4793" spans="12:13" x14ac:dyDescent="0.2">
      <c r="L4793" s="12"/>
      <c r="M4793" s="13"/>
    </row>
    <row r="4794" spans="12:13" x14ac:dyDescent="0.2">
      <c r="L4794" s="12"/>
      <c r="M4794" s="13"/>
    </row>
    <row r="4795" spans="12:13" x14ac:dyDescent="0.2">
      <c r="L4795" s="12"/>
      <c r="M4795" s="13"/>
    </row>
    <row r="4796" spans="12:13" x14ac:dyDescent="0.2">
      <c r="L4796" s="12"/>
      <c r="M4796" s="13"/>
    </row>
    <row r="4797" spans="12:13" x14ac:dyDescent="0.2">
      <c r="L4797" s="12"/>
      <c r="M4797" s="13"/>
    </row>
    <row r="4798" spans="12:13" x14ac:dyDescent="0.2">
      <c r="L4798" s="12"/>
      <c r="M4798" s="13"/>
    </row>
    <row r="4799" spans="12:13" x14ac:dyDescent="0.2">
      <c r="L4799" s="12"/>
      <c r="M4799" s="13"/>
    </row>
    <row r="4800" spans="12:13" x14ac:dyDescent="0.2">
      <c r="L4800" s="12"/>
      <c r="M4800" s="13"/>
    </row>
    <row r="4801" spans="12:13" x14ac:dyDescent="0.2">
      <c r="L4801" s="12"/>
      <c r="M4801" s="13"/>
    </row>
    <row r="4802" spans="12:13" x14ac:dyDescent="0.2">
      <c r="L4802" s="12"/>
      <c r="M4802" s="13"/>
    </row>
    <row r="4803" spans="12:13" x14ac:dyDescent="0.2">
      <c r="L4803" s="12"/>
      <c r="M4803" s="13"/>
    </row>
    <row r="4804" spans="12:13" x14ac:dyDescent="0.2">
      <c r="L4804" s="12"/>
      <c r="M4804" s="13"/>
    </row>
    <row r="4805" spans="12:13" x14ac:dyDescent="0.2">
      <c r="L4805" s="12"/>
      <c r="M4805" s="13"/>
    </row>
    <row r="4806" spans="12:13" x14ac:dyDescent="0.2">
      <c r="L4806" s="12"/>
      <c r="M4806" s="13"/>
    </row>
    <row r="4807" spans="12:13" x14ac:dyDescent="0.2">
      <c r="L4807" s="12"/>
      <c r="M4807" s="13"/>
    </row>
    <row r="4808" spans="12:13" x14ac:dyDescent="0.2">
      <c r="L4808" s="12"/>
      <c r="M4808" s="13"/>
    </row>
    <row r="4809" spans="12:13" x14ac:dyDescent="0.2">
      <c r="L4809" s="12"/>
      <c r="M4809" s="13"/>
    </row>
    <row r="4810" spans="12:13" x14ac:dyDescent="0.2">
      <c r="L4810" s="12"/>
      <c r="M4810" s="13"/>
    </row>
    <row r="4811" spans="12:13" x14ac:dyDescent="0.2">
      <c r="L4811" s="12"/>
      <c r="M4811" s="13"/>
    </row>
    <row r="4812" spans="12:13" x14ac:dyDescent="0.2">
      <c r="L4812" s="12"/>
      <c r="M4812" s="13"/>
    </row>
    <row r="4813" spans="12:13" x14ac:dyDescent="0.2">
      <c r="L4813" s="12"/>
      <c r="M4813" s="13"/>
    </row>
    <row r="4814" spans="12:13" x14ac:dyDescent="0.2">
      <c r="L4814" s="12"/>
      <c r="M4814" s="13"/>
    </row>
    <row r="4815" spans="12:13" x14ac:dyDescent="0.2">
      <c r="L4815" s="12"/>
      <c r="M4815" s="13"/>
    </row>
    <row r="4816" spans="12:13" x14ac:dyDescent="0.2">
      <c r="L4816" s="12"/>
      <c r="M4816" s="13"/>
    </row>
    <row r="4817" spans="12:13" x14ac:dyDescent="0.2">
      <c r="L4817" s="12"/>
      <c r="M4817" s="13"/>
    </row>
    <row r="4818" spans="12:13" x14ac:dyDescent="0.2">
      <c r="L4818" s="12"/>
      <c r="M4818" s="13"/>
    </row>
    <row r="4819" spans="12:13" x14ac:dyDescent="0.2">
      <c r="L4819" s="12"/>
      <c r="M4819" s="13"/>
    </row>
    <row r="4820" spans="12:13" x14ac:dyDescent="0.2">
      <c r="L4820" s="12"/>
      <c r="M4820" s="13"/>
    </row>
    <row r="4821" spans="12:13" x14ac:dyDescent="0.2">
      <c r="L4821" s="12"/>
      <c r="M4821" s="13"/>
    </row>
    <row r="4822" spans="12:13" x14ac:dyDescent="0.2">
      <c r="L4822" s="12"/>
      <c r="M4822" s="13"/>
    </row>
    <row r="4823" spans="12:13" x14ac:dyDescent="0.2">
      <c r="L4823" s="12"/>
      <c r="M4823" s="13"/>
    </row>
    <row r="4824" spans="12:13" x14ac:dyDescent="0.2">
      <c r="L4824" s="12"/>
      <c r="M4824" s="13"/>
    </row>
    <row r="4825" spans="12:13" x14ac:dyDescent="0.2">
      <c r="L4825" s="12"/>
      <c r="M4825" s="13"/>
    </row>
    <row r="4826" spans="12:13" x14ac:dyDescent="0.2">
      <c r="L4826" s="12"/>
      <c r="M4826" s="13"/>
    </row>
    <row r="4827" spans="12:13" x14ac:dyDescent="0.2">
      <c r="L4827" s="12"/>
      <c r="M4827" s="13"/>
    </row>
    <row r="4828" spans="12:13" x14ac:dyDescent="0.2">
      <c r="L4828" s="12"/>
      <c r="M4828" s="13"/>
    </row>
    <row r="4829" spans="12:13" x14ac:dyDescent="0.2">
      <c r="L4829" s="12"/>
      <c r="M4829" s="13"/>
    </row>
    <row r="4830" spans="12:13" x14ac:dyDescent="0.2">
      <c r="L4830" s="12"/>
      <c r="M4830" s="13"/>
    </row>
    <row r="4831" spans="12:13" x14ac:dyDescent="0.2">
      <c r="L4831" s="12"/>
      <c r="M4831" s="13"/>
    </row>
    <row r="4832" spans="12:13" x14ac:dyDescent="0.2">
      <c r="L4832" s="12"/>
      <c r="M4832" s="13"/>
    </row>
    <row r="4833" spans="12:13" x14ac:dyDescent="0.2">
      <c r="L4833" s="12"/>
      <c r="M4833" s="13"/>
    </row>
    <row r="4834" spans="12:13" x14ac:dyDescent="0.2">
      <c r="L4834" s="12"/>
      <c r="M4834" s="13"/>
    </row>
    <row r="4835" spans="12:13" x14ac:dyDescent="0.2">
      <c r="L4835" s="12"/>
      <c r="M4835" s="13"/>
    </row>
    <row r="4836" spans="12:13" x14ac:dyDescent="0.2">
      <c r="L4836" s="12"/>
      <c r="M4836" s="13"/>
    </row>
    <row r="4837" spans="12:13" x14ac:dyDescent="0.2">
      <c r="L4837" s="12"/>
      <c r="M4837" s="13"/>
    </row>
    <row r="4838" spans="12:13" x14ac:dyDescent="0.2">
      <c r="L4838" s="12"/>
      <c r="M4838" s="13"/>
    </row>
    <row r="4839" spans="12:13" x14ac:dyDescent="0.2">
      <c r="L4839" s="12"/>
      <c r="M4839" s="13"/>
    </row>
    <row r="4840" spans="12:13" x14ac:dyDescent="0.2">
      <c r="L4840" s="12"/>
      <c r="M4840" s="13"/>
    </row>
    <row r="4841" spans="12:13" x14ac:dyDescent="0.2">
      <c r="L4841" s="12"/>
      <c r="M4841" s="13"/>
    </row>
    <row r="4842" spans="12:13" x14ac:dyDescent="0.2">
      <c r="L4842" s="12"/>
      <c r="M4842" s="13"/>
    </row>
    <row r="4843" spans="12:13" x14ac:dyDescent="0.2">
      <c r="L4843" s="12"/>
      <c r="M4843" s="13"/>
    </row>
    <row r="4844" spans="12:13" x14ac:dyDescent="0.2">
      <c r="L4844" s="12"/>
      <c r="M4844" s="13"/>
    </row>
    <row r="4845" spans="12:13" x14ac:dyDescent="0.2">
      <c r="L4845" s="12"/>
      <c r="M4845" s="13"/>
    </row>
    <row r="4846" spans="12:13" x14ac:dyDescent="0.2">
      <c r="L4846" s="12"/>
      <c r="M4846" s="13"/>
    </row>
    <row r="4847" spans="12:13" x14ac:dyDescent="0.2">
      <c r="L4847" s="12"/>
      <c r="M4847" s="13"/>
    </row>
    <row r="4848" spans="12:13" x14ac:dyDescent="0.2">
      <c r="L4848" s="12"/>
      <c r="M4848" s="13"/>
    </row>
    <row r="4849" spans="12:13" x14ac:dyDescent="0.2">
      <c r="L4849" s="12"/>
      <c r="M4849" s="13"/>
    </row>
    <row r="4850" spans="12:13" x14ac:dyDescent="0.2">
      <c r="L4850" s="12"/>
      <c r="M4850" s="13"/>
    </row>
    <row r="4851" spans="12:13" x14ac:dyDescent="0.2">
      <c r="L4851" s="12"/>
      <c r="M4851" s="13"/>
    </row>
    <row r="4852" spans="12:13" x14ac:dyDescent="0.2">
      <c r="L4852" s="12"/>
      <c r="M4852" s="13"/>
    </row>
    <row r="4853" spans="12:13" x14ac:dyDescent="0.2">
      <c r="L4853" s="12"/>
      <c r="M4853" s="13"/>
    </row>
    <row r="4854" spans="12:13" x14ac:dyDescent="0.2">
      <c r="L4854" s="12"/>
      <c r="M4854" s="13"/>
    </row>
    <row r="4855" spans="12:13" x14ac:dyDescent="0.2">
      <c r="L4855" s="12"/>
      <c r="M4855" s="13"/>
    </row>
    <row r="4856" spans="12:13" x14ac:dyDescent="0.2">
      <c r="L4856" s="12"/>
      <c r="M4856" s="13"/>
    </row>
    <row r="4857" spans="12:13" x14ac:dyDescent="0.2">
      <c r="L4857" s="12"/>
      <c r="M4857" s="13"/>
    </row>
    <row r="4858" spans="12:13" x14ac:dyDescent="0.2">
      <c r="L4858" s="12"/>
      <c r="M4858" s="13"/>
    </row>
    <row r="4859" spans="12:13" x14ac:dyDescent="0.2">
      <c r="L4859" s="12"/>
      <c r="M4859" s="13"/>
    </row>
    <row r="4860" spans="12:13" x14ac:dyDescent="0.2">
      <c r="L4860" s="12"/>
      <c r="M4860" s="13"/>
    </row>
    <row r="4861" spans="12:13" x14ac:dyDescent="0.2">
      <c r="L4861" s="12"/>
      <c r="M4861" s="13"/>
    </row>
    <row r="4862" spans="12:13" x14ac:dyDescent="0.2">
      <c r="L4862" s="12"/>
      <c r="M4862" s="13"/>
    </row>
    <row r="4863" spans="12:13" x14ac:dyDescent="0.2">
      <c r="L4863" s="12"/>
      <c r="M4863" s="13"/>
    </row>
    <row r="4864" spans="12:13" x14ac:dyDescent="0.2">
      <c r="L4864" s="12"/>
      <c r="M4864" s="13"/>
    </row>
    <row r="4865" spans="12:13" x14ac:dyDescent="0.2">
      <c r="L4865" s="12"/>
      <c r="M4865" s="13"/>
    </row>
    <row r="4866" spans="12:13" x14ac:dyDescent="0.2">
      <c r="L4866" s="17"/>
      <c r="M4866" s="18"/>
    </row>
    <row r="4867" spans="12:13" x14ac:dyDescent="0.2">
      <c r="L4867" s="12"/>
      <c r="M4867" s="13"/>
    </row>
    <row r="4868" spans="12:13" x14ac:dyDescent="0.2">
      <c r="L4868" s="12"/>
      <c r="M4868" s="13"/>
    </row>
    <row r="4869" spans="12:13" x14ac:dyDescent="0.2">
      <c r="L4869" s="12"/>
      <c r="M4869" s="13"/>
    </row>
    <row r="4870" spans="12:13" x14ac:dyDescent="0.2">
      <c r="L4870" s="12"/>
      <c r="M4870" s="13"/>
    </row>
    <row r="4871" spans="12:13" x14ac:dyDescent="0.2">
      <c r="L4871" s="12"/>
      <c r="M4871" s="13"/>
    </row>
    <row r="4872" spans="12:13" x14ac:dyDescent="0.2">
      <c r="L4872" s="12"/>
      <c r="M4872" s="13"/>
    </row>
    <row r="4873" spans="12:13" x14ac:dyDescent="0.2">
      <c r="L4873" s="12"/>
      <c r="M4873" s="13"/>
    </row>
    <row r="4874" spans="12:13" x14ac:dyDescent="0.2">
      <c r="L4874" s="12"/>
      <c r="M4874" s="13"/>
    </row>
    <row r="4875" spans="12:13" x14ac:dyDescent="0.2">
      <c r="L4875" s="12"/>
      <c r="M4875" s="13"/>
    </row>
    <row r="4876" spans="12:13" x14ac:dyDescent="0.2">
      <c r="L4876" s="12"/>
      <c r="M4876" s="13"/>
    </row>
    <row r="4877" spans="12:13" x14ac:dyDescent="0.2">
      <c r="L4877" s="12"/>
      <c r="M4877" s="13"/>
    </row>
    <row r="4878" spans="12:13" x14ac:dyDescent="0.2">
      <c r="L4878" s="12"/>
      <c r="M4878" s="13"/>
    </row>
    <row r="4879" spans="12:13" x14ac:dyDescent="0.2">
      <c r="L4879" s="12"/>
      <c r="M4879" s="13"/>
    </row>
    <row r="4880" spans="12:13" x14ac:dyDescent="0.2">
      <c r="L4880" s="12"/>
      <c r="M4880" s="13"/>
    </row>
    <row r="4881" spans="12:13" x14ac:dyDescent="0.2">
      <c r="L4881" s="12"/>
      <c r="M4881" s="13"/>
    </row>
    <row r="4882" spans="12:13" x14ac:dyDescent="0.2">
      <c r="L4882" s="12"/>
      <c r="M4882" s="13"/>
    </row>
    <row r="4883" spans="12:13" x14ac:dyDescent="0.2">
      <c r="L4883" s="12"/>
      <c r="M4883" s="13"/>
    </row>
    <row r="4884" spans="12:13" x14ac:dyDescent="0.2">
      <c r="L4884" s="12"/>
      <c r="M4884" s="13"/>
    </row>
    <row r="4885" spans="12:13" x14ac:dyDescent="0.2">
      <c r="L4885" s="12"/>
      <c r="M4885" s="13"/>
    </row>
    <row r="4886" spans="12:13" x14ac:dyDescent="0.2">
      <c r="L4886" s="12"/>
      <c r="M4886" s="13"/>
    </row>
    <row r="4887" spans="12:13" x14ac:dyDescent="0.2">
      <c r="L4887" s="12"/>
      <c r="M4887" s="13"/>
    </row>
    <row r="4888" spans="12:13" x14ac:dyDescent="0.2">
      <c r="L4888" s="12"/>
      <c r="M4888" s="13"/>
    </row>
    <row r="4889" spans="12:13" x14ac:dyDescent="0.2">
      <c r="L4889" s="12"/>
      <c r="M4889" s="13"/>
    </row>
    <row r="4890" spans="12:13" x14ac:dyDescent="0.2">
      <c r="L4890" s="12"/>
      <c r="M4890" s="13"/>
    </row>
    <row r="4891" spans="12:13" x14ac:dyDescent="0.2">
      <c r="L4891" s="12"/>
      <c r="M4891" s="13"/>
    </row>
    <row r="4892" spans="12:13" x14ac:dyDescent="0.2">
      <c r="L4892" s="12"/>
      <c r="M4892" s="13"/>
    </row>
    <row r="4893" spans="12:13" x14ac:dyDescent="0.2">
      <c r="L4893" s="12"/>
      <c r="M4893" s="13"/>
    </row>
    <row r="4894" spans="12:13" x14ac:dyDescent="0.2">
      <c r="L4894" s="12"/>
      <c r="M4894" s="13"/>
    </row>
    <row r="4895" spans="12:13" x14ac:dyDescent="0.2">
      <c r="L4895" s="12"/>
      <c r="M4895" s="13"/>
    </row>
    <row r="4896" spans="12:13" x14ac:dyDescent="0.2">
      <c r="L4896" s="12"/>
      <c r="M4896" s="13"/>
    </row>
    <row r="4897" spans="12:13" x14ac:dyDescent="0.2">
      <c r="L4897" s="12"/>
      <c r="M4897" s="13"/>
    </row>
    <row r="4898" spans="12:13" x14ac:dyDescent="0.2">
      <c r="L4898" s="12"/>
      <c r="M4898" s="13"/>
    </row>
    <row r="4899" spans="12:13" x14ac:dyDescent="0.2">
      <c r="L4899" s="12"/>
      <c r="M4899" s="13"/>
    </row>
    <row r="4900" spans="12:13" x14ac:dyDescent="0.2">
      <c r="L4900" s="12"/>
      <c r="M4900" s="13"/>
    </row>
    <row r="4901" spans="12:13" x14ac:dyDescent="0.2">
      <c r="L4901" s="12"/>
      <c r="M4901" s="13"/>
    </row>
    <row r="4902" spans="12:13" x14ac:dyDescent="0.2">
      <c r="L4902" s="12"/>
      <c r="M4902" s="13"/>
    </row>
    <row r="4903" spans="12:13" x14ac:dyDescent="0.2">
      <c r="L4903" s="12"/>
      <c r="M4903" s="13"/>
    </row>
    <row r="4904" spans="12:13" x14ac:dyDescent="0.2">
      <c r="L4904" s="12"/>
      <c r="M4904" s="13"/>
    </row>
    <row r="4905" spans="12:13" x14ac:dyDescent="0.2">
      <c r="L4905" s="12"/>
      <c r="M4905" s="13"/>
    </row>
    <row r="4906" spans="12:13" x14ac:dyDescent="0.2">
      <c r="L4906" s="12"/>
      <c r="M4906" s="13"/>
    </row>
    <row r="4907" spans="12:13" x14ac:dyDescent="0.2">
      <c r="L4907" s="12"/>
      <c r="M4907" s="13"/>
    </row>
    <row r="4908" spans="12:13" x14ac:dyDescent="0.2">
      <c r="L4908" s="12"/>
      <c r="M4908" s="13"/>
    </row>
    <row r="4909" spans="12:13" x14ac:dyDescent="0.2">
      <c r="L4909" s="12"/>
      <c r="M4909" s="13"/>
    </row>
    <row r="4910" spans="12:13" x14ac:dyDescent="0.2">
      <c r="L4910" s="12"/>
      <c r="M4910" s="13"/>
    </row>
    <row r="4911" spans="12:13" x14ac:dyDescent="0.2">
      <c r="L4911" s="12"/>
      <c r="M4911" s="13"/>
    </row>
    <row r="4912" spans="12:13" x14ac:dyDescent="0.2">
      <c r="L4912" s="12"/>
      <c r="M4912" s="13"/>
    </row>
    <row r="4913" spans="12:13" x14ac:dyDescent="0.2">
      <c r="L4913" s="12"/>
      <c r="M4913" s="13"/>
    </row>
    <row r="4914" spans="12:13" x14ac:dyDescent="0.2">
      <c r="L4914" s="12"/>
      <c r="M4914" s="13"/>
    </row>
    <row r="4915" spans="12:13" x14ac:dyDescent="0.2">
      <c r="L4915" s="12"/>
      <c r="M4915" s="13"/>
    </row>
    <row r="4916" spans="12:13" x14ac:dyDescent="0.2">
      <c r="L4916" s="12"/>
      <c r="M4916" s="13"/>
    </row>
    <row r="4917" spans="12:13" x14ac:dyDescent="0.2">
      <c r="L4917" s="12"/>
      <c r="M4917" s="13"/>
    </row>
    <row r="4918" spans="12:13" x14ac:dyDescent="0.2">
      <c r="L4918" s="12"/>
      <c r="M4918" s="13"/>
    </row>
    <row r="4919" spans="12:13" x14ac:dyDescent="0.2">
      <c r="L4919" s="12"/>
      <c r="M4919" s="13"/>
    </row>
    <row r="4920" spans="12:13" x14ac:dyDescent="0.2">
      <c r="L4920" s="12"/>
      <c r="M4920" s="13"/>
    </row>
    <row r="4921" spans="12:13" x14ac:dyDescent="0.2">
      <c r="L4921" s="12"/>
      <c r="M4921" s="13"/>
    </row>
    <row r="4922" spans="12:13" x14ac:dyDescent="0.2">
      <c r="L4922" s="12"/>
      <c r="M4922" s="13"/>
    </row>
    <row r="4923" spans="12:13" x14ac:dyDescent="0.2">
      <c r="L4923" s="12"/>
      <c r="M4923" s="13"/>
    </row>
    <row r="4924" spans="12:13" x14ac:dyDescent="0.2">
      <c r="L4924" s="12"/>
      <c r="M4924" s="13"/>
    </row>
    <row r="4925" spans="12:13" x14ac:dyDescent="0.2">
      <c r="L4925" s="12"/>
      <c r="M4925" s="13"/>
    </row>
    <row r="4926" spans="12:13" x14ac:dyDescent="0.2">
      <c r="L4926" s="12"/>
      <c r="M4926" s="13"/>
    </row>
    <row r="4927" spans="12:13" x14ac:dyDescent="0.2">
      <c r="L4927" s="12"/>
      <c r="M4927" s="13"/>
    </row>
    <row r="4928" spans="12:13" x14ac:dyDescent="0.2">
      <c r="L4928" s="12"/>
      <c r="M4928" s="13"/>
    </row>
    <row r="4929" spans="12:13" x14ac:dyDescent="0.2">
      <c r="L4929" s="12"/>
      <c r="M4929" s="13"/>
    </row>
    <row r="4930" spans="12:13" x14ac:dyDescent="0.2">
      <c r="L4930" s="12"/>
      <c r="M4930" s="13"/>
    </row>
    <row r="4931" spans="12:13" x14ac:dyDescent="0.2">
      <c r="L4931" s="12"/>
      <c r="M4931" s="13"/>
    </row>
    <row r="4932" spans="12:13" x14ac:dyDescent="0.2">
      <c r="L4932" s="12"/>
      <c r="M4932" s="13"/>
    </row>
    <row r="4933" spans="12:13" x14ac:dyDescent="0.2">
      <c r="L4933" s="12"/>
      <c r="M4933" s="13"/>
    </row>
    <row r="4934" spans="12:13" x14ac:dyDescent="0.2">
      <c r="L4934" s="12"/>
      <c r="M4934" s="13"/>
    </row>
    <row r="4935" spans="12:13" x14ac:dyDescent="0.2">
      <c r="L4935" s="12"/>
      <c r="M4935" s="13"/>
    </row>
    <row r="4936" spans="12:13" x14ac:dyDescent="0.2">
      <c r="L4936" s="12"/>
      <c r="M4936" s="13"/>
    </row>
    <row r="4937" spans="12:13" x14ac:dyDescent="0.2">
      <c r="L4937" s="12"/>
      <c r="M4937" s="13"/>
    </row>
    <row r="4938" spans="12:13" x14ac:dyDescent="0.2">
      <c r="L4938" s="12"/>
      <c r="M4938" s="13"/>
    </row>
    <row r="4939" spans="12:13" x14ac:dyDescent="0.2">
      <c r="L4939" s="12"/>
      <c r="M4939" s="13"/>
    </row>
    <row r="4940" spans="12:13" x14ac:dyDescent="0.2">
      <c r="L4940" s="12"/>
      <c r="M4940" s="13"/>
    </row>
    <row r="4941" spans="12:13" x14ac:dyDescent="0.2">
      <c r="L4941" s="12"/>
      <c r="M4941" s="13"/>
    </row>
    <row r="4942" spans="12:13" x14ac:dyDescent="0.2">
      <c r="L4942" s="12"/>
      <c r="M4942" s="13"/>
    </row>
    <row r="4943" spans="12:13" x14ac:dyDescent="0.2">
      <c r="L4943" s="12"/>
      <c r="M4943" s="13"/>
    </row>
    <row r="4944" spans="12:13" x14ac:dyDescent="0.2">
      <c r="L4944" s="12"/>
      <c r="M4944" s="13"/>
    </row>
    <row r="4945" spans="12:13" x14ac:dyDescent="0.2">
      <c r="L4945" s="12"/>
      <c r="M4945" s="13"/>
    </row>
    <row r="4946" spans="12:13" x14ac:dyDescent="0.2">
      <c r="L4946" s="12"/>
      <c r="M4946" s="13"/>
    </row>
    <row r="4947" spans="12:13" x14ac:dyDescent="0.2">
      <c r="L4947" s="12"/>
      <c r="M4947" s="13"/>
    </row>
    <row r="4948" spans="12:13" x14ac:dyDescent="0.2">
      <c r="L4948" s="12"/>
      <c r="M4948" s="13"/>
    </row>
    <row r="4949" spans="12:13" x14ac:dyDescent="0.2">
      <c r="L4949" s="12"/>
      <c r="M4949" s="13"/>
    </row>
    <row r="4950" spans="12:13" x14ac:dyDescent="0.2">
      <c r="L4950" s="12"/>
      <c r="M4950" s="13"/>
    </row>
    <row r="4951" spans="12:13" x14ac:dyDescent="0.2">
      <c r="L4951" s="12"/>
      <c r="M4951" s="13"/>
    </row>
    <row r="4952" spans="12:13" x14ac:dyDescent="0.2">
      <c r="L4952" s="12"/>
      <c r="M4952" s="13"/>
    </row>
    <row r="4953" spans="12:13" x14ac:dyDescent="0.2">
      <c r="L4953" s="12"/>
      <c r="M4953" s="13"/>
    </row>
    <row r="4954" spans="12:13" x14ac:dyDescent="0.2">
      <c r="L4954" s="12"/>
      <c r="M4954" s="13"/>
    </row>
    <row r="4955" spans="12:13" x14ac:dyDescent="0.2">
      <c r="L4955" s="12"/>
      <c r="M4955" s="13"/>
    </row>
    <row r="4956" spans="12:13" x14ac:dyDescent="0.2">
      <c r="L4956" s="12"/>
      <c r="M4956" s="13"/>
    </row>
    <row r="4957" spans="12:13" x14ac:dyDescent="0.2">
      <c r="L4957" s="12"/>
      <c r="M4957" s="13"/>
    </row>
    <row r="4958" spans="12:13" x14ac:dyDescent="0.2">
      <c r="L4958" s="12"/>
      <c r="M4958" s="13"/>
    </row>
    <row r="4959" spans="12:13" x14ac:dyDescent="0.2">
      <c r="L4959" s="12"/>
      <c r="M4959" s="13"/>
    </row>
    <row r="4960" spans="12:13" x14ac:dyDescent="0.2">
      <c r="L4960" s="12"/>
      <c r="M4960" s="13"/>
    </row>
    <row r="4961" spans="12:13" x14ac:dyDescent="0.2">
      <c r="L4961" s="12"/>
      <c r="M4961" s="13"/>
    </row>
    <row r="4962" spans="12:13" x14ac:dyDescent="0.2">
      <c r="L4962" s="12"/>
      <c r="M4962" s="13"/>
    </row>
    <row r="4963" spans="12:13" x14ac:dyDescent="0.2">
      <c r="L4963" s="12"/>
      <c r="M4963" s="13"/>
    </row>
    <row r="4964" spans="12:13" x14ac:dyDescent="0.2">
      <c r="L4964" s="12"/>
      <c r="M4964" s="13"/>
    </row>
    <row r="4965" spans="12:13" x14ac:dyDescent="0.2">
      <c r="L4965" s="12"/>
      <c r="M4965" s="13"/>
    </row>
    <row r="4966" spans="12:13" x14ac:dyDescent="0.2">
      <c r="L4966" s="12"/>
      <c r="M4966" s="13"/>
    </row>
    <row r="4967" spans="12:13" x14ac:dyDescent="0.2">
      <c r="L4967" s="12"/>
      <c r="M4967" s="13"/>
    </row>
    <row r="4968" spans="12:13" x14ac:dyDescent="0.2">
      <c r="L4968" s="12"/>
      <c r="M4968" s="13"/>
    </row>
    <row r="4969" spans="12:13" x14ac:dyDescent="0.2">
      <c r="L4969" s="12"/>
      <c r="M4969" s="13"/>
    </row>
    <row r="4970" spans="12:13" x14ac:dyDescent="0.2">
      <c r="L4970" s="12"/>
      <c r="M4970" s="13"/>
    </row>
    <row r="4971" spans="12:13" x14ac:dyDescent="0.2">
      <c r="L4971" s="12"/>
      <c r="M4971" s="13"/>
    </row>
    <row r="4972" spans="12:13" x14ac:dyDescent="0.2">
      <c r="L4972" s="12"/>
      <c r="M4972" s="13"/>
    </row>
    <row r="4973" spans="12:13" x14ac:dyDescent="0.2">
      <c r="L4973" s="12"/>
      <c r="M4973" s="13"/>
    </row>
    <row r="4974" spans="12:13" x14ac:dyDescent="0.2">
      <c r="L4974" s="12"/>
      <c r="M4974" s="13"/>
    </row>
    <row r="4975" spans="12:13" x14ac:dyDescent="0.2">
      <c r="L4975" s="12"/>
      <c r="M4975" s="13"/>
    </row>
    <row r="4976" spans="12:13" x14ac:dyDescent="0.2">
      <c r="L4976" s="12"/>
      <c r="M4976" s="13"/>
    </row>
    <row r="4977" spans="12:13" x14ac:dyDescent="0.2">
      <c r="L4977" s="12"/>
      <c r="M4977" s="13"/>
    </row>
    <row r="4978" spans="12:13" x14ac:dyDescent="0.2">
      <c r="L4978" s="12"/>
      <c r="M4978" s="13"/>
    </row>
    <row r="4979" spans="12:13" x14ac:dyDescent="0.2">
      <c r="L4979" s="12"/>
      <c r="M4979" s="13"/>
    </row>
    <row r="4980" spans="12:13" x14ac:dyDescent="0.2">
      <c r="L4980" s="12"/>
      <c r="M4980" s="13"/>
    </row>
    <row r="4981" spans="12:13" x14ac:dyDescent="0.2">
      <c r="L4981" s="12"/>
      <c r="M4981" s="13"/>
    </row>
    <row r="4982" spans="12:13" x14ac:dyDescent="0.2">
      <c r="L4982" s="12"/>
      <c r="M4982" s="13"/>
    </row>
    <row r="4983" spans="12:13" x14ac:dyDescent="0.2">
      <c r="L4983" s="12"/>
      <c r="M4983" s="13"/>
    </row>
    <row r="4984" spans="12:13" x14ac:dyDescent="0.2">
      <c r="L4984" s="12"/>
      <c r="M4984" s="13"/>
    </row>
    <row r="4985" spans="12:13" x14ac:dyDescent="0.2">
      <c r="L4985" s="12"/>
      <c r="M4985" s="13"/>
    </row>
    <row r="4986" spans="12:13" x14ac:dyDescent="0.2">
      <c r="L4986" s="12"/>
      <c r="M4986" s="13"/>
    </row>
    <row r="4987" spans="12:13" x14ac:dyDescent="0.2">
      <c r="L4987" s="12"/>
      <c r="M4987" s="13"/>
    </row>
    <row r="4988" spans="12:13" x14ac:dyDescent="0.2">
      <c r="L4988" s="12"/>
      <c r="M4988" s="13"/>
    </row>
    <row r="4989" spans="12:13" x14ac:dyDescent="0.2">
      <c r="L4989" s="12"/>
      <c r="M4989" s="13"/>
    </row>
    <row r="4990" spans="12:13" x14ac:dyDescent="0.2">
      <c r="L4990" s="12"/>
      <c r="M4990" s="13"/>
    </row>
    <row r="4991" spans="12:13" x14ac:dyDescent="0.2">
      <c r="L4991" s="12"/>
      <c r="M4991" s="13"/>
    </row>
    <row r="4992" spans="12:13" x14ac:dyDescent="0.2">
      <c r="L4992" s="12"/>
      <c r="M4992" s="13"/>
    </row>
    <row r="4993" spans="12:13" x14ac:dyDescent="0.2">
      <c r="L4993" s="12"/>
      <c r="M4993" s="13"/>
    </row>
    <row r="4994" spans="12:13" x14ac:dyDescent="0.2">
      <c r="L4994" s="12"/>
      <c r="M4994" s="13"/>
    </row>
    <row r="4995" spans="12:13" x14ac:dyDescent="0.2">
      <c r="L4995" s="12"/>
      <c r="M4995" s="13"/>
    </row>
    <row r="4996" spans="12:13" x14ac:dyDescent="0.2">
      <c r="L4996" s="12"/>
      <c r="M4996" s="13"/>
    </row>
    <row r="4997" spans="12:13" x14ac:dyDescent="0.2">
      <c r="L4997" s="12"/>
      <c r="M4997" s="13"/>
    </row>
    <row r="4998" spans="12:13" x14ac:dyDescent="0.2">
      <c r="L4998" s="12"/>
      <c r="M4998" s="13"/>
    </row>
    <row r="4999" spans="12:13" x14ac:dyDescent="0.2">
      <c r="L4999" s="12"/>
      <c r="M4999" s="13"/>
    </row>
    <row r="5000" spans="12:13" x14ac:dyDescent="0.2">
      <c r="L5000" s="12"/>
      <c r="M5000" s="13"/>
    </row>
    <row r="5001" spans="12:13" x14ac:dyDescent="0.2">
      <c r="L5001" s="12"/>
      <c r="M5001" s="13"/>
    </row>
    <row r="5002" spans="12:13" x14ac:dyDescent="0.2">
      <c r="L5002" s="12"/>
      <c r="M5002" s="13"/>
    </row>
    <row r="5003" spans="12:13" x14ac:dyDescent="0.2">
      <c r="L5003" s="12"/>
      <c r="M5003" s="13"/>
    </row>
    <row r="5004" spans="12:13" x14ac:dyDescent="0.2">
      <c r="L5004" s="12"/>
      <c r="M5004" s="13"/>
    </row>
    <row r="5005" spans="12:13" x14ac:dyDescent="0.2">
      <c r="L5005" s="12"/>
      <c r="M5005" s="13"/>
    </row>
    <row r="5006" spans="12:13" x14ac:dyDescent="0.2">
      <c r="L5006" s="12"/>
      <c r="M5006" s="13"/>
    </row>
    <row r="5007" spans="12:13" x14ac:dyDescent="0.2">
      <c r="L5007" s="12"/>
      <c r="M5007" s="13"/>
    </row>
    <row r="5008" spans="12:13" x14ac:dyDescent="0.2">
      <c r="L5008" s="12"/>
      <c r="M5008" s="13"/>
    </row>
    <row r="5009" spans="12:13" x14ac:dyDescent="0.2">
      <c r="L5009" s="12"/>
      <c r="M5009" s="13"/>
    </row>
    <row r="5010" spans="12:13" x14ac:dyDescent="0.2">
      <c r="L5010" s="12"/>
      <c r="M5010" s="13"/>
    </row>
    <row r="5011" spans="12:13" x14ac:dyDescent="0.2">
      <c r="L5011" s="12"/>
      <c r="M5011" s="13"/>
    </row>
    <row r="5012" spans="12:13" x14ac:dyDescent="0.2">
      <c r="L5012" s="12"/>
      <c r="M5012" s="13"/>
    </row>
    <row r="5013" spans="12:13" x14ac:dyDescent="0.2">
      <c r="L5013" s="12"/>
      <c r="M5013" s="13"/>
    </row>
    <row r="5014" spans="12:13" x14ac:dyDescent="0.2">
      <c r="L5014" s="12"/>
      <c r="M5014" s="13"/>
    </row>
    <row r="5015" spans="12:13" x14ac:dyDescent="0.2">
      <c r="L5015" s="12"/>
      <c r="M5015" s="13"/>
    </row>
    <row r="5016" spans="12:13" x14ac:dyDescent="0.2">
      <c r="L5016" s="12"/>
      <c r="M5016" s="13"/>
    </row>
    <row r="5017" spans="12:13" x14ac:dyDescent="0.2">
      <c r="L5017" s="12"/>
      <c r="M5017" s="13"/>
    </row>
    <row r="5018" spans="12:13" x14ac:dyDescent="0.2">
      <c r="L5018" s="12"/>
      <c r="M5018" s="13"/>
    </row>
    <row r="5019" spans="12:13" x14ac:dyDescent="0.2">
      <c r="L5019" s="12"/>
      <c r="M5019" s="13"/>
    </row>
    <row r="5020" spans="12:13" x14ac:dyDescent="0.2">
      <c r="L5020" s="12"/>
      <c r="M5020" s="13"/>
    </row>
    <row r="5021" spans="12:13" x14ac:dyDescent="0.2">
      <c r="L5021" s="12"/>
      <c r="M5021" s="13"/>
    </row>
    <row r="5022" spans="12:13" x14ac:dyDescent="0.2">
      <c r="L5022" s="12"/>
      <c r="M5022" s="13"/>
    </row>
    <row r="5023" spans="12:13" x14ac:dyDescent="0.2">
      <c r="L5023" s="12"/>
      <c r="M5023" s="13"/>
    </row>
    <row r="5024" spans="12:13" x14ac:dyDescent="0.2">
      <c r="L5024" s="12"/>
      <c r="M5024" s="13"/>
    </row>
    <row r="5025" spans="12:13" x14ac:dyDescent="0.2">
      <c r="L5025" s="12"/>
      <c r="M5025" s="13"/>
    </row>
    <row r="5026" spans="12:13" x14ac:dyDescent="0.2">
      <c r="L5026" s="12"/>
      <c r="M5026" s="13"/>
    </row>
    <row r="5027" spans="12:13" x14ac:dyDescent="0.2">
      <c r="L5027" s="12"/>
      <c r="M5027" s="13"/>
    </row>
    <row r="5028" spans="12:13" x14ac:dyDescent="0.2">
      <c r="L5028" s="12"/>
      <c r="M5028" s="13"/>
    </row>
    <row r="5029" spans="12:13" x14ac:dyDescent="0.2">
      <c r="L5029" s="12"/>
      <c r="M5029" s="13"/>
    </row>
    <row r="5030" spans="12:13" x14ac:dyDescent="0.2">
      <c r="L5030" s="12"/>
      <c r="M5030" s="13"/>
    </row>
    <row r="5031" spans="12:13" x14ac:dyDescent="0.2">
      <c r="L5031" s="12"/>
      <c r="M5031" s="13"/>
    </row>
    <row r="5032" spans="12:13" x14ac:dyDescent="0.2">
      <c r="L5032" s="12"/>
      <c r="M5032" s="13"/>
    </row>
    <row r="5033" spans="12:13" x14ac:dyDescent="0.2">
      <c r="L5033" s="12"/>
      <c r="M5033" s="13"/>
    </row>
    <row r="5034" spans="12:13" x14ac:dyDescent="0.2">
      <c r="L5034" s="12"/>
      <c r="M5034" s="13"/>
    </row>
    <row r="5035" spans="12:13" x14ac:dyDescent="0.2">
      <c r="L5035" s="12"/>
      <c r="M5035" s="13"/>
    </row>
    <row r="5036" spans="12:13" x14ac:dyDescent="0.2">
      <c r="L5036" s="12"/>
      <c r="M5036" s="13"/>
    </row>
    <row r="5037" spans="12:13" x14ac:dyDescent="0.2">
      <c r="L5037" s="12"/>
      <c r="M5037" s="13"/>
    </row>
    <row r="5038" spans="12:13" x14ac:dyDescent="0.2">
      <c r="L5038" s="12"/>
      <c r="M5038" s="13"/>
    </row>
    <row r="5039" spans="12:13" x14ac:dyDescent="0.2">
      <c r="L5039" s="12"/>
      <c r="M5039" s="13"/>
    </row>
    <row r="5040" spans="12:13" x14ac:dyDescent="0.2">
      <c r="L5040" s="12"/>
      <c r="M5040" s="13"/>
    </row>
    <row r="5041" spans="12:13" x14ac:dyDescent="0.2">
      <c r="L5041" s="12"/>
      <c r="M5041" s="13"/>
    </row>
    <row r="5042" spans="12:13" x14ac:dyDescent="0.2">
      <c r="L5042" s="12"/>
      <c r="M5042" s="13"/>
    </row>
    <row r="5043" spans="12:13" x14ac:dyDescent="0.2">
      <c r="L5043" s="12"/>
      <c r="M5043" s="13"/>
    </row>
    <row r="5044" spans="12:13" x14ac:dyDescent="0.2">
      <c r="L5044" s="12"/>
      <c r="M5044" s="13"/>
    </row>
    <row r="5045" spans="12:13" x14ac:dyDescent="0.2">
      <c r="L5045" s="12"/>
      <c r="M5045" s="13"/>
    </row>
    <row r="5046" spans="12:13" x14ac:dyDescent="0.2">
      <c r="L5046" s="12"/>
      <c r="M5046" s="13"/>
    </row>
    <row r="5047" spans="12:13" x14ac:dyDescent="0.2">
      <c r="L5047" s="12"/>
      <c r="M5047" s="13"/>
    </row>
    <row r="5048" spans="12:13" x14ac:dyDescent="0.2">
      <c r="L5048" s="12"/>
      <c r="M5048" s="13"/>
    </row>
    <row r="5049" spans="12:13" x14ac:dyDescent="0.2">
      <c r="L5049" s="12"/>
      <c r="M5049" s="13"/>
    </row>
    <row r="5050" spans="12:13" x14ac:dyDescent="0.2">
      <c r="L5050" s="12"/>
      <c r="M5050" s="13"/>
    </row>
    <row r="5051" spans="12:13" x14ac:dyDescent="0.2">
      <c r="L5051" s="12"/>
      <c r="M5051" s="13"/>
    </row>
    <row r="5052" spans="12:13" x14ac:dyDescent="0.2">
      <c r="L5052" s="12"/>
      <c r="M5052" s="13"/>
    </row>
    <row r="5053" spans="12:13" x14ac:dyDescent="0.2">
      <c r="L5053" s="12"/>
      <c r="M5053" s="13"/>
    </row>
    <row r="5054" spans="12:13" x14ac:dyDescent="0.2">
      <c r="L5054" s="12"/>
      <c r="M5054" s="13"/>
    </row>
    <row r="5055" spans="12:13" x14ac:dyDescent="0.2">
      <c r="L5055" s="12"/>
      <c r="M5055" s="13"/>
    </row>
    <row r="5056" spans="12:13" x14ac:dyDescent="0.2">
      <c r="L5056" s="12"/>
      <c r="M5056" s="13"/>
    </row>
    <row r="5057" spans="12:13" x14ac:dyDescent="0.2">
      <c r="L5057" s="12"/>
      <c r="M5057" s="13"/>
    </row>
    <row r="5058" spans="12:13" x14ac:dyDescent="0.2">
      <c r="L5058" s="12"/>
      <c r="M5058" s="13"/>
    </row>
    <row r="5059" spans="12:13" x14ac:dyDescent="0.2">
      <c r="L5059" s="12"/>
      <c r="M5059" s="13"/>
    </row>
    <row r="5060" spans="12:13" x14ac:dyDescent="0.2">
      <c r="L5060" s="12"/>
      <c r="M5060" s="13"/>
    </row>
    <row r="5061" spans="12:13" x14ac:dyDescent="0.2">
      <c r="L5061" s="12"/>
      <c r="M5061" s="13"/>
    </row>
    <row r="5062" spans="12:13" x14ac:dyDescent="0.2">
      <c r="L5062" s="12"/>
      <c r="M5062" s="13"/>
    </row>
    <row r="5063" spans="12:13" x14ac:dyDescent="0.2">
      <c r="L5063" s="12"/>
      <c r="M5063" s="13"/>
    </row>
    <row r="5064" spans="12:13" x14ac:dyDescent="0.2">
      <c r="L5064" s="12"/>
      <c r="M5064" s="13"/>
    </row>
    <row r="5065" spans="12:13" x14ac:dyDescent="0.2">
      <c r="L5065" s="12"/>
      <c r="M5065" s="13"/>
    </row>
    <row r="5066" spans="12:13" x14ac:dyDescent="0.2">
      <c r="L5066" s="12"/>
      <c r="M5066" s="13"/>
    </row>
    <row r="5067" spans="12:13" x14ac:dyDescent="0.2">
      <c r="L5067" s="12"/>
      <c r="M5067" s="13"/>
    </row>
    <row r="5068" spans="12:13" x14ac:dyDescent="0.2">
      <c r="L5068" s="12"/>
      <c r="M5068" s="13"/>
    </row>
    <row r="5069" spans="12:13" x14ac:dyDescent="0.2">
      <c r="L5069" s="12"/>
      <c r="M5069" s="13"/>
    </row>
    <row r="5070" spans="12:13" x14ac:dyDescent="0.2">
      <c r="L5070" s="12"/>
      <c r="M5070" s="13"/>
    </row>
    <row r="5071" spans="12:13" x14ac:dyDescent="0.2">
      <c r="L5071" s="12"/>
      <c r="M5071" s="13"/>
    </row>
    <row r="5072" spans="12:13" x14ac:dyDescent="0.2">
      <c r="L5072" s="12"/>
      <c r="M5072" s="13"/>
    </row>
    <row r="5073" spans="12:13" x14ac:dyDescent="0.2">
      <c r="L5073" s="12"/>
      <c r="M5073" s="13"/>
    </row>
    <row r="5074" spans="12:13" x14ac:dyDescent="0.2">
      <c r="L5074" s="12"/>
      <c r="M5074" s="13"/>
    </row>
    <row r="5075" spans="12:13" x14ac:dyDescent="0.2">
      <c r="L5075" s="12"/>
      <c r="M5075" s="13"/>
    </row>
    <row r="5076" spans="12:13" x14ac:dyDescent="0.2">
      <c r="L5076" s="12"/>
      <c r="M5076" s="13"/>
    </row>
    <row r="5077" spans="12:13" x14ac:dyDescent="0.2">
      <c r="L5077" s="12"/>
      <c r="M5077" s="13"/>
    </row>
    <row r="5078" spans="12:13" x14ac:dyDescent="0.2">
      <c r="L5078" s="12"/>
      <c r="M5078" s="13"/>
    </row>
    <row r="5079" spans="12:13" x14ac:dyDescent="0.2">
      <c r="L5079" s="12"/>
      <c r="M5079" s="13"/>
    </row>
    <row r="5080" spans="12:13" x14ac:dyDescent="0.2">
      <c r="L5080" s="12"/>
      <c r="M5080" s="13"/>
    </row>
    <row r="5081" spans="12:13" x14ac:dyDescent="0.2">
      <c r="L5081" s="12"/>
      <c r="M5081" s="13"/>
    </row>
    <row r="5082" spans="12:13" x14ac:dyDescent="0.2">
      <c r="L5082" s="12"/>
      <c r="M5082" s="13"/>
    </row>
    <row r="5083" spans="12:13" x14ac:dyDescent="0.2">
      <c r="L5083" s="12"/>
      <c r="M5083" s="13"/>
    </row>
    <row r="5084" spans="12:13" x14ac:dyDescent="0.2">
      <c r="L5084" s="12"/>
      <c r="M5084" s="13"/>
    </row>
    <row r="5085" spans="12:13" x14ac:dyDescent="0.2">
      <c r="L5085" s="12"/>
      <c r="M5085" s="13"/>
    </row>
    <row r="5086" spans="12:13" x14ac:dyDescent="0.2">
      <c r="L5086" s="12"/>
      <c r="M5086" s="13"/>
    </row>
    <row r="5087" spans="12:13" x14ac:dyDescent="0.2">
      <c r="L5087" s="12"/>
      <c r="M5087" s="13"/>
    </row>
    <row r="5088" spans="12:13" x14ac:dyDescent="0.2">
      <c r="L5088" s="12"/>
      <c r="M5088" s="13"/>
    </row>
    <row r="5089" spans="12:13" x14ac:dyDescent="0.2">
      <c r="L5089" s="12"/>
      <c r="M5089" s="13"/>
    </row>
    <row r="5090" spans="12:13" x14ac:dyDescent="0.2">
      <c r="L5090" s="12"/>
      <c r="M5090" s="13"/>
    </row>
    <row r="5091" spans="12:13" x14ac:dyDescent="0.2">
      <c r="L5091" s="12"/>
      <c r="M5091" s="13"/>
    </row>
    <row r="5092" spans="12:13" x14ac:dyDescent="0.2">
      <c r="L5092" s="12"/>
      <c r="M5092" s="13"/>
    </row>
    <row r="5093" spans="12:13" x14ac:dyDescent="0.2">
      <c r="L5093" s="12"/>
      <c r="M5093" s="13"/>
    </row>
    <row r="5094" spans="12:13" x14ac:dyDescent="0.2">
      <c r="L5094" s="12"/>
      <c r="M5094" s="13"/>
    </row>
    <row r="5095" spans="12:13" x14ac:dyDescent="0.2">
      <c r="L5095" s="12"/>
      <c r="M5095" s="13"/>
    </row>
    <row r="5096" spans="12:13" x14ac:dyDescent="0.2">
      <c r="L5096" s="12"/>
      <c r="M5096" s="13"/>
    </row>
    <row r="5097" spans="12:13" x14ac:dyDescent="0.2">
      <c r="L5097" s="12"/>
      <c r="M5097" s="13"/>
    </row>
    <row r="5098" spans="12:13" x14ac:dyDescent="0.2">
      <c r="L5098" s="12"/>
      <c r="M5098" s="13"/>
    </row>
    <row r="5099" spans="12:13" x14ac:dyDescent="0.2">
      <c r="L5099" s="12"/>
      <c r="M5099" s="13"/>
    </row>
    <row r="5100" spans="12:13" x14ac:dyDescent="0.2">
      <c r="L5100" s="12"/>
      <c r="M5100" s="13"/>
    </row>
    <row r="5101" spans="12:13" x14ac:dyDescent="0.2">
      <c r="L5101" s="12"/>
      <c r="M5101" s="13"/>
    </row>
    <row r="5102" spans="12:13" x14ac:dyDescent="0.2">
      <c r="L5102" s="12"/>
      <c r="M5102" s="13"/>
    </row>
    <row r="5103" spans="12:13" x14ac:dyDescent="0.2">
      <c r="L5103" s="12"/>
      <c r="M5103" s="13"/>
    </row>
    <row r="5104" spans="12:13" x14ac:dyDescent="0.2">
      <c r="L5104" s="12"/>
      <c r="M5104" s="13"/>
    </row>
    <row r="5105" spans="12:13" x14ac:dyDescent="0.2">
      <c r="L5105" s="12"/>
      <c r="M5105" s="13"/>
    </row>
    <row r="5106" spans="12:13" x14ac:dyDescent="0.2">
      <c r="L5106" s="12"/>
      <c r="M5106" s="13"/>
    </row>
    <row r="5107" spans="12:13" x14ac:dyDescent="0.2">
      <c r="L5107" s="12"/>
      <c r="M5107" s="13"/>
    </row>
    <row r="5108" spans="12:13" x14ac:dyDescent="0.2">
      <c r="L5108" s="12"/>
      <c r="M5108" s="13"/>
    </row>
    <row r="5109" spans="12:13" x14ac:dyDescent="0.2">
      <c r="L5109" s="12"/>
      <c r="M5109" s="13"/>
    </row>
    <row r="5110" spans="12:13" x14ac:dyDescent="0.2">
      <c r="L5110" s="12"/>
      <c r="M5110" s="13"/>
    </row>
    <row r="5111" spans="12:13" x14ac:dyDescent="0.2">
      <c r="L5111" s="12"/>
      <c r="M5111" s="13"/>
    </row>
    <row r="5112" spans="12:13" x14ac:dyDescent="0.2">
      <c r="L5112" s="12"/>
      <c r="M5112" s="13"/>
    </row>
    <row r="5113" spans="12:13" x14ac:dyDescent="0.2">
      <c r="L5113" s="12"/>
      <c r="M5113" s="13"/>
    </row>
    <row r="5114" spans="12:13" x14ac:dyDescent="0.2">
      <c r="L5114" s="12"/>
      <c r="M5114" s="13"/>
    </row>
    <row r="5115" spans="12:13" x14ac:dyDescent="0.2">
      <c r="L5115" s="12"/>
      <c r="M5115" s="13"/>
    </row>
    <row r="5116" spans="12:13" x14ac:dyDescent="0.2">
      <c r="L5116" s="12"/>
      <c r="M5116" s="13"/>
    </row>
    <row r="5117" spans="12:13" x14ac:dyDescent="0.2">
      <c r="L5117" s="12"/>
      <c r="M5117" s="13"/>
    </row>
    <row r="5118" spans="12:13" x14ac:dyDescent="0.2">
      <c r="L5118" s="12"/>
      <c r="M5118" s="13"/>
    </row>
    <row r="5119" spans="12:13" x14ac:dyDescent="0.2">
      <c r="L5119" s="12"/>
      <c r="M5119" s="13"/>
    </row>
    <row r="5120" spans="12:13" x14ac:dyDescent="0.2">
      <c r="L5120" s="12"/>
      <c r="M5120" s="13"/>
    </row>
    <row r="5121" spans="12:13" x14ac:dyDescent="0.2">
      <c r="L5121" s="12"/>
      <c r="M5121" s="13"/>
    </row>
    <row r="5122" spans="12:13" x14ac:dyDescent="0.2">
      <c r="L5122" s="17"/>
      <c r="M5122" s="18"/>
    </row>
    <row r="5123" spans="12:13" x14ac:dyDescent="0.2">
      <c r="L5123" s="12"/>
      <c r="M5123" s="13"/>
    </row>
    <row r="5124" spans="12:13" x14ac:dyDescent="0.2">
      <c r="L5124" s="12"/>
      <c r="M5124" s="13"/>
    </row>
    <row r="5125" spans="12:13" x14ac:dyDescent="0.2">
      <c r="L5125" s="12"/>
      <c r="M5125" s="13"/>
    </row>
    <row r="5126" spans="12:13" x14ac:dyDescent="0.2">
      <c r="L5126" s="12"/>
      <c r="M5126" s="13"/>
    </row>
    <row r="5127" spans="12:13" x14ac:dyDescent="0.2">
      <c r="L5127" s="12"/>
      <c r="M5127" s="13"/>
    </row>
    <row r="5128" spans="12:13" x14ac:dyDescent="0.2">
      <c r="L5128" s="12"/>
      <c r="M5128" s="13"/>
    </row>
    <row r="5129" spans="12:13" x14ac:dyDescent="0.2">
      <c r="L5129" s="12"/>
      <c r="M5129" s="13"/>
    </row>
    <row r="5130" spans="12:13" x14ac:dyDescent="0.2">
      <c r="L5130" s="12"/>
      <c r="M5130" s="13"/>
    </row>
    <row r="5131" spans="12:13" x14ac:dyDescent="0.2">
      <c r="L5131" s="12"/>
      <c r="M5131" s="13"/>
    </row>
    <row r="5132" spans="12:13" x14ac:dyDescent="0.2">
      <c r="L5132" s="12"/>
      <c r="M5132" s="13"/>
    </row>
    <row r="5133" spans="12:13" x14ac:dyDescent="0.2">
      <c r="L5133" s="12"/>
      <c r="M5133" s="13"/>
    </row>
    <row r="5134" spans="12:13" x14ac:dyDescent="0.2">
      <c r="L5134" s="12"/>
      <c r="M5134" s="13"/>
    </row>
    <row r="5135" spans="12:13" x14ac:dyDescent="0.2">
      <c r="L5135" s="12"/>
      <c r="M5135" s="13"/>
    </row>
    <row r="5136" spans="12:13" x14ac:dyDescent="0.2">
      <c r="L5136" s="12"/>
      <c r="M5136" s="13"/>
    </row>
    <row r="5137" spans="12:13" x14ac:dyDescent="0.2">
      <c r="L5137" s="12"/>
      <c r="M5137" s="13"/>
    </row>
    <row r="5138" spans="12:13" x14ac:dyDescent="0.2">
      <c r="L5138" s="12"/>
      <c r="M5138" s="13"/>
    </row>
    <row r="5139" spans="12:13" x14ac:dyDescent="0.2">
      <c r="L5139" s="12"/>
      <c r="M5139" s="13"/>
    </row>
    <row r="5140" spans="12:13" x14ac:dyDescent="0.2">
      <c r="L5140" s="12"/>
      <c r="M5140" s="13"/>
    </row>
    <row r="5141" spans="12:13" x14ac:dyDescent="0.2">
      <c r="L5141" s="12"/>
      <c r="M5141" s="13"/>
    </row>
    <row r="5142" spans="12:13" x14ac:dyDescent="0.2">
      <c r="L5142" s="12"/>
      <c r="M5142" s="13"/>
    </row>
    <row r="5143" spans="12:13" x14ac:dyDescent="0.2">
      <c r="L5143" s="12"/>
      <c r="M5143" s="13"/>
    </row>
    <row r="5144" spans="12:13" x14ac:dyDescent="0.2">
      <c r="L5144" s="12"/>
      <c r="M5144" s="13"/>
    </row>
    <row r="5145" spans="12:13" x14ac:dyDescent="0.2">
      <c r="L5145" s="12"/>
      <c r="M5145" s="13"/>
    </row>
    <row r="5146" spans="12:13" x14ac:dyDescent="0.2">
      <c r="L5146" s="12"/>
      <c r="M5146" s="13"/>
    </row>
    <row r="5147" spans="12:13" x14ac:dyDescent="0.2">
      <c r="L5147" s="12"/>
      <c r="M5147" s="13"/>
    </row>
    <row r="5148" spans="12:13" x14ac:dyDescent="0.2">
      <c r="L5148" s="12"/>
      <c r="M5148" s="13"/>
    </row>
    <row r="5149" spans="12:13" x14ac:dyDescent="0.2">
      <c r="L5149" s="12"/>
      <c r="M5149" s="13"/>
    </row>
    <row r="5150" spans="12:13" x14ac:dyDescent="0.2">
      <c r="L5150" s="12"/>
      <c r="M5150" s="13"/>
    </row>
    <row r="5151" spans="12:13" x14ac:dyDescent="0.2">
      <c r="L5151" s="12"/>
      <c r="M5151" s="13"/>
    </row>
    <row r="5152" spans="12:13" x14ac:dyDescent="0.2">
      <c r="L5152" s="12"/>
      <c r="M5152" s="13"/>
    </row>
    <row r="5153" spans="12:13" x14ac:dyDescent="0.2">
      <c r="L5153" s="12"/>
      <c r="M5153" s="13"/>
    </row>
    <row r="5154" spans="12:13" x14ac:dyDescent="0.2">
      <c r="L5154" s="12"/>
      <c r="M5154" s="13"/>
    </row>
    <row r="5155" spans="12:13" x14ac:dyDescent="0.2">
      <c r="L5155" s="12"/>
      <c r="M5155" s="13"/>
    </row>
    <row r="5156" spans="12:13" x14ac:dyDescent="0.2">
      <c r="L5156" s="12"/>
      <c r="M5156" s="13"/>
    </row>
    <row r="5157" spans="12:13" x14ac:dyDescent="0.2">
      <c r="L5157" s="12"/>
      <c r="M5157" s="13"/>
    </row>
    <row r="5158" spans="12:13" x14ac:dyDescent="0.2">
      <c r="L5158" s="12"/>
      <c r="M5158" s="13"/>
    </row>
    <row r="5159" spans="12:13" x14ac:dyDescent="0.2">
      <c r="L5159" s="12"/>
      <c r="M5159" s="13"/>
    </row>
    <row r="5160" spans="12:13" x14ac:dyDescent="0.2">
      <c r="L5160" s="12"/>
      <c r="M5160" s="13"/>
    </row>
    <row r="5161" spans="12:13" x14ac:dyDescent="0.2">
      <c r="L5161" s="12"/>
      <c r="M5161" s="13"/>
    </row>
    <row r="5162" spans="12:13" x14ac:dyDescent="0.2">
      <c r="L5162" s="12"/>
      <c r="M5162" s="13"/>
    </row>
    <row r="5163" spans="12:13" x14ac:dyDescent="0.2">
      <c r="L5163" s="12"/>
      <c r="M5163" s="13"/>
    </row>
    <row r="5164" spans="12:13" x14ac:dyDescent="0.2">
      <c r="L5164" s="12"/>
      <c r="M5164" s="13"/>
    </row>
    <row r="5165" spans="12:13" x14ac:dyDescent="0.2">
      <c r="L5165" s="12"/>
      <c r="M5165" s="13"/>
    </row>
    <row r="5166" spans="12:13" x14ac:dyDescent="0.2">
      <c r="L5166" s="12"/>
      <c r="M5166" s="13"/>
    </row>
    <row r="5167" spans="12:13" x14ac:dyDescent="0.2">
      <c r="L5167" s="12"/>
      <c r="M5167" s="13"/>
    </row>
    <row r="5168" spans="12:13" x14ac:dyDescent="0.2">
      <c r="L5168" s="12"/>
      <c r="M5168" s="13"/>
    </row>
    <row r="5169" spans="12:13" x14ac:dyDescent="0.2">
      <c r="L5169" s="12"/>
      <c r="M5169" s="13"/>
    </row>
    <row r="5170" spans="12:13" x14ac:dyDescent="0.2">
      <c r="L5170" s="12"/>
      <c r="M5170" s="13"/>
    </row>
    <row r="5171" spans="12:13" x14ac:dyDescent="0.2">
      <c r="L5171" s="12"/>
      <c r="M5171" s="13"/>
    </row>
    <row r="5172" spans="12:13" x14ac:dyDescent="0.2">
      <c r="L5172" s="12"/>
      <c r="M5172" s="13"/>
    </row>
    <row r="5173" spans="12:13" x14ac:dyDescent="0.2">
      <c r="L5173" s="12"/>
      <c r="M5173" s="13"/>
    </row>
    <row r="5174" spans="12:13" x14ac:dyDescent="0.2">
      <c r="L5174" s="12"/>
      <c r="M5174" s="13"/>
    </row>
    <row r="5175" spans="12:13" x14ac:dyDescent="0.2">
      <c r="L5175" s="12"/>
      <c r="M5175" s="13"/>
    </row>
    <row r="5176" spans="12:13" x14ac:dyDescent="0.2">
      <c r="L5176" s="12"/>
      <c r="M5176" s="13"/>
    </row>
    <row r="5177" spans="12:13" x14ac:dyDescent="0.2">
      <c r="L5177" s="12"/>
      <c r="M5177" s="13"/>
    </row>
    <row r="5178" spans="12:13" x14ac:dyDescent="0.2">
      <c r="L5178" s="12"/>
      <c r="M5178" s="13"/>
    </row>
    <row r="5179" spans="12:13" x14ac:dyDescent="0.2">
      <c r="L5179" s="12"/>
      <c r="M5179" s="13"/>
    </row>
    <row r="5180" spans="12:13" x14ac:dyDescent="0.2">
      <c r="L5180" s="12"/>
      <c r="M5180" s="13"/>
    </row>
    <row r="5181" spans="12:13" x14ac:dyDescent="0.2">
      <c r="L5181" s="12"/>
      <c r="M5181" s="13"/>
    </row>
    <row r="5182" spans="12:13" x14ac:dyDescent="0.2">
      <c r="L5182" s="12"/>
      <c r="M5182" s="13"/>
    </row>
    <row r="5183" spans="12:13" x14ac:dyDescent="0.2">
      <c r="L5183" s="12"/>
      <c r="M5183" s="13"/>
    </row>
    <row r="5184" spans="12:13" x14ac:dyDescent="0.2">
      <c r="L5184" s="12"/>
      <c r="M5184" s="13"/>
    </row>
    <row r="5185" spans="12:13" x14ac:dyDescent="0.2">
      <c r="L5185" s="12"/>
      <c r="M5185" s="13"/>
    </row>
    <row r="5186" spans="12:13" x14ac:dyDescent="0.2">
      <c r="L5186" s="12"/>
      <c r="M5186" s="13"/>
    </row>
    <row r="5187" spans="12:13" x14ac:dyDescent="0.2">
      <c r="L5187" s="12"/>
      <c r="M5187" s="13"/>
    </row>
    <row r="5188" spans="12:13" x14ac:dyDescent="0.2">
      <c r="L5188" s="12"/>
      <c r="M5188" s="13"/>
    </row>
    <row r="5189" spans="12:13" x14ac:dyDescent="0.2">
      <c r="L5189" s="12"/>
      <c r="M5189" s="13"/>
    </row>
    <row r="5190" spans="12:13" x14ac:dyDescent="0.2">
      <c r="L5190" s="12"/>
      <c r="M5190" s="13"/>
    </row>
    <row r="5191" spans="12:13" x14ac:dyDescent="0.2">
      <c r="L5191" s="12"/>
      <c r="M5191" s="13"/>
    </row>
    <row r="5192" spans="12:13" x14ac:dyDescent="0.2">
      <c r="L5192" s="12"/>
      <c r="M5192" s="13"/>
    </row>
    <row r="5193" spans="12:13" x14ac:dyDescent="0.2">
      <c r="L5193" s="12"/>
      <c r="M5193" s="13"/>
    </row>
    <row r="5194" spans="12:13" x14ac:dyDescent="0.2">
      <c r="L5194" s="12"/>
      <c r="M5194" s="13"/>
    </row>
    <row r="5195" spans="12:13" x14ac:dyDescent="0.2">
      <c r="L5195" s="12"/>
      <c r="M5195" s="13"/>
    </row>
    <row r="5196" spans="12:13" x14ac:dyDescent="0.2">
      <c r="L5196" s="12"/>
      <c r="M5196" s="13"/>
    </row>
    <row r="5197" spans="12:13" x14ac:dyDescent="0.2">
      <c r="L5197" s="12"/>
      <c r="M5197" s="13"/>
    </row>
    <row r="5198" spans="12:13" x14ac:dyDescent="0.2">
      <c r="L5198" s="12"/>
      <c r="M5198" s="13"/>
    </row>
    <row r="5199" spans="12:13" x14ac:dyDescent="0.2">
      <c r="L5199" s="12"/>
      <c r="M5199" s="13"/>
    </row>
    <row r="5200" spans="12:13" x14ac:dyDescent="0.2">
      <c r="L5200" s="12"/>
      <c r="M5200" s="13"/>
    </row>
    <row r="5201" spans="12:13" x14ac:dyDescent="0.2">
      <c r="L5201" s="12"/>
      <c r="M5201" s="13"/>
    </row>
    <row r="5202" spans="12:13" x14ac:dyDescent="0.2">
      <c r="L5202" s="12"/>
      <c r="M5202" s="13"/>
    </row>
    <row r="5203" spans="12:13" x14ac:dyDescent="0.2">
      <c r="L5203" s="12"/>
      <c r="M5203" s="13"/>
    </row>
    <row r="5204" spans="12:13" x14ac:dyDescent="0.2">
      <c r="L5204" s="12"/>
      <c r="M5204" s="13"/>
    </row>
    <row r="5205" spans="12:13" x14ac:dyDescent="0.2">
      <c r="L5205" s="12"/>
      <c r="M5205" s="13"/>
    </row>
    <row r="5206" spans="12:13" x14ac:dyDescent="0.2">
      <c r="L5206" s="12"/>
      <c r="M5206" s="13"/>
    </row>
    <row r="5207" spans="12:13" x14ac:dyDescent="0.2">
      <c r="L5207" s="12"/>
      <c r="M5207" s="13"/>
    </row>
    <row r="5208" spans="12:13" x14ac:dyDescent="0.2">
      <c r="L5208" s="12"/>
      <c r="M5208" s="13"/>
    </row>
    <row r="5209" spans="12:13" x14ac:dyDescent="0.2">
      <c r="L5209" s="12"/>
      <c r="M5209" s="13"/>
    </row>
    <row r="5210" spans="12:13" x14ac:dyDescent="0.2">
      <c r="L5210" s="12"/>
      <c r="M5210" s="13"/>
    </row>
    <row r="5211" spans="12:13" x14ac:dyDescent="0.2">
      <c r="L5211" s="12"/>
      <c r="M5211" s="13"/>
    </row>
    <row r="5212" spans="12:13" x14ac:dyDescent="0.2">
      <c r="L5212" s="12"/>
      <c r="M5212" s="13"/>
    </row>
    <row r="5213" spans="12:13" x14ac:dyDescent="0.2">
      <c r="L5213" s="12"/>
      <c r="M5213" s="13"/>
    </row>
    <row r="5214" spans="12:13" x14ac:dyDescent="0.2">
      <c r="L5214" s="12"/>
      <c r="M5214" s="13"/>
    </row>
    <row r="5215" spans="12:13" x14ac:dyDescent="0.2">
      <c r="L5215" s="12"/>
      <c r="M5215" s="13"/>
    </row>
    <row r="5216" spans="12:13" x14ac:dyDescent="0.2">
      <c r="L5216" s="12"/>
      <c r="M5216" s="13"/>
    </row>
    <row r="5217" spans="12:13" x14ac:dyDescent="0.2">
      <c r="L5217" s="12"/>
      <c r="M5217" s="13"/>
    </row>
    <row r="5218" spans="12:13" x14ac:dyDescent="0.2">
      <c r="L5218" s="12"/>
      <c r="M5218" s="13"/>
    </row>
    <row r="5219" spans="12:13" x14ac:dyDescent="0.2">
      <c r="L5219" s="12"/>
      <c r="M5219" s="13"/>
    </row>
    <row r="5220" spans="12:13" x14ac:dyDescent="0.2">
      <c r="L5220" s="12"/>
      <c r="M5220" s="13"/>
    </row>
    <row r="5221" spans="12:13" x14ac:dyDescent="0.2">
      <c r="L5221" s="12"/>
      <c r="M5221" s="13"/>
    </row>
    <row r="5222" spans="12:13" x14ac:dyDescent="0.2">
      <c r="L5222" s="12"/>
      <c r="M5222" s="13"/>
    </row>
    <row r="5223" spans="12:13" x14ac:dyDescent="0.2">
      <c r="L5223" s="12"/>
      <c r="M5223" s="13"/>
    </row>
    <row r="5224" spans="12:13" x14ac:dyDescent="0.2">
      <c r="L5224" s="12"/>
      <c r="M5224" s="13"/>
    </row>
    <row r="5225" spans="12:13" x14ac:dyDescent="0.2">
      <c r="L5225" s="12"/>
      <c r="M5225" s="13"/>
    </row>
    <row r="5226" spans="12:13" x14ac:dyDescent="0.2">
      <c r="L5226" s="12"/>
      <c r="M5226" s="13"/>
    </row>
    <row r="5227" spans="12:13" x14ac:dyDescent="0.2">
      <c r="L5227" s="12"/>
      <c r="M5227" s="13"/>
    </row>
    <row r="5228" spans="12:13" x14ac:dyDescent="0.2">
      <c r="L5228" s="12"/>
      <c r="M5228" s="13"/>
    </row>
    <row r="5229" spans="12:13" x14ac:dyDescent="0.2">
      <c r="L5229" s="12"/>
      <c r="M5229" s="13"/>
    </row>
    <row r="5230" spans="12:13" x14ac:dyDescent="0.2">
      <c r="L5230" s="12"/>
      <c r="M5230" s="13"/>
    </row>
    <row r="5231" spans="12:13" x14ac:dyDescent="0.2">
      <c r="L5231" s="12"/>
      <c r="M5231" s="13"/>
    </row>
    <row r="5232" spans="12:13" x14ac:dyDescent="0.2">
      <c r="L5232" s="12"/>
      <c r="M5232" s="13"/>
    </row>
    <row r="5233" spans="12:13" x14ac:dyDescent="0.2">
      <c r="L5233" s="12"/>
      <c r="M5233" s="13"/>
    </row>
    <row r="5234" spans="12:13" x14ac:dyDescent="0.2">
      <c r="L5234" s="12"/>
      <c r="M5234" s="13"/>
    </row>
    <row r="5235" spans="12:13" x14ac:dyDescent="0.2">
      <c r="L5235" s="12"/>
      <c r="M5235" s="13"/>
    </row>
    <row r="5236" spans="12:13" x14ac:dyDescent="0.2">
      <c r="L5236" s="12"/>
      <c r="M5236" s="13"/>
    </row>
    <row r="5237" spans="12:13" x14ac:dyDescent="0.2">
      <c r="L5237" s="12"/>
      <c r="M5237" s="13"/>
    </row>
    <row r="5238" spans="12:13" x14ac:dyDescent="0.2">
      <c r="L5238" s="12"/>
      <c r="M5238" s="13"/>
    </row>
    <row r="5239" spans="12:13" x14ac:dyDescent="0.2">
      <c r="L5239" s="12"/>
      <c r="M5239" s="13"/>
    </row>
    <row r="5240" spans="12:13" x14ac:dyDescent="0.2">
      <c r="L5240" s="12"/>
      <c r="M5240" s="13"/>
    </row>
    <row r="5241" spans="12:13" x14ac:dyDescent="0.2">
      <c r="L5241" s="12"/>
      <c r="M5241" s="13"/>
    </row>
    <row r="5242" spans="12:13" x14ac:dyDescent="0.2">
      <c r="L5242" s="12"/>
      <c r="M5242" s="13"/>
    </row>
    <row r="5243" spans="12:13" x14ac:dyDescent="0.2">
      <c r="L5243" s="12"/>
      <c r="M5243" s="13"/>
    </row>
    <row r="5244" spans="12:13" x14ac:dyDescent="0.2">
      <c r="L5244" s="12"/>
      <c r="M5244" s="13"/>
    </row>
    <row r="5245" spans="12:13" x14ac:dyDescent="0.2">
      <c r="L5245" s="12"/>
      <c r="M5245" s="13"/>
    </row>
    <row r="5246" spans="12:13" x14ac:dyDescent="0.2">
      <c r="L5246" s="12"/>
      <c r="M5246" s="13"/>
    </row>
    <row r="5247" spans="12:13" x14ac:dyDescent="0.2">
      <c r="L5247" s="12"/>
      <c r="M5247" s="13"/>
    </row>
    <row r="5248" spans="12:13" x14ac:dyDescent="0.2">
      <c r="L5248" s="12"/>
      <c r="M5248" s="13"/>
    </row>
    <row r="5249" spans="12:13" x14ac:dyDescent="0.2">
      <c r="L5249" s="12"/>
      <c r="M5249" s="13"/>
    </row>
    <row r="5250" spans="12:13" x14ac:dyDescent="0.2">
      <c r="L5250" s="12"/>
      <c r="M5250" s="13"/>
    </row>
    <row r="5251" spans="12:13" x14ac:dyDescent="0.2">
      <c r="L5251" s="12"/>
      <c r="M5251" s="13"/>
    </row>
    <row r="5252" spans="12:13" x14ac:dyDescent="0.2">
      <c r="L5252" s="12"/>
      <c r="M5252" s="13"/>
    </row>
    <row r="5253" spans="12:13" x14ac:dyDescent="0.2">
      <c r="L5253" s="12"/>
      <c r="M5253" s="13"/>
    </row>
    <row r="5254" spans="12:13" x14ac:dyDescent="0.2">
      <c r="L5254" s="12"/>
      <c r="M5254" s="13"/>
    </row>
    <row r="5255" spans="12:13" x14ac:dyDescent="0.2">
      <c r="L5255" s="12"/>
      <c r="M5255" s="13"/>
    </row>
    <row r="5256" spans="12:13" x14ac:dyDescent="0.2">
      <c r="L5256" s="12"/>
      <c r="M5256" s="13"/>
    </row>
    <row r="5257" spans="12:13" x14ac:dyDescent="0.2">
      <c r="L5257" s="12"/>
      <c r="M5257" s="13"/>
    </row>
    <row r="5258" spans="12:13" x14ac:dyDescent="0.2">
      <c r="L5258" s="12"/>
      <c r="M5258" s="13"/>
    </row>
    <row r="5259" spans="12:13" x14ac:dyDescent="0.2">
      <c r="L5259" s="12"/>
      <c r="M5259" s="13"/>
    </row>
    <row r="5260" spans="12:13" x14ac:dyDescent="0.2">
      <c r="L5260" s="12"/>
      <c r="M5260" s="13"/>
    </row>
    <row r="5261" spans="12:13" x14ac:dyDescent="0.2">
      <c r="L5261" s="12"/>
      <c r="M5261" s="13"/>
    </row>
    <row r="5262" spans="12:13" x14ac:dyDescent="0.2">
      <c r="L5262" s="12"/>
      <c r="M5262" s="13"/>
    </row>
    <row r="5263" spans="12:13" x14ac:dyDescent="0.2">
      <c r="L5263" s="12"/>
      <c r="M5263" s="13"/>
    </row>
    <row r="5264" spans="12:13" x14ac:dyDescent="0.2">
      <c r="L5264" s="12"/>
      <c r="M5264" s="13"/>
    </row>
    <row r="5265" spans="12:13" x14ac:dyDescent="0.2">
      <c r="L5265" s="12"/>
      <c r="M5265" s="13"/>
    </row>
    <row r="5266" spans="12:13" x14ac:dyDescent="0.2">
      <c r="L5266" s="12"/>
      <c r="M5266" s="13"/>
    </row>
    <row r="5267" spans="12:13" x14ac:dyDescent="0.2">
      <c r="L5267" s="12"/>
      <c r="M5267" s="13"/>
    </row>
    <row r="5268" spans="12:13" x14ac:dyDescent="0.2">
      <c r="L5268" s="12"/>
      <c r="M5268" s="13"/>
    </row>
    <row r="5269" spans="12:13" x14ac:dyDescent="0.2">
      <c r="L5269" s="12"/>
      <c r="M5269" s="13"/>
    </row>
    <row r="5270" spans="12:13" x14ac:dyDescent="0.2">
      <c r="L5270" s="12"/>
      <c r="M5270" s="13"/>
    </row>
    <row r="5271" spans="12:13" x14ac:dyDescent="0.2">
      <c r="L5271" s="12"/>
      <c r="M5271" s="13"/>
    </row>
    <row r="5272" spans="12:13" x14ac:dyDescent="0.2">
      <c r="L5272" s="12"/>
      <c r="M5272" s="13"/>
    </row>
    <row r="5273" spans="12:13" x14ac:dyDescent="0.2">
      <c r="L5273" s="12"/>
      <c r="M5273" s="13"/>
    </row>
    <row r="5274" spans="12:13" x14ac:dyDescent="0.2">
      <c r="L5274" s="12"/>
      <c r="M5274" s="13"/>
    </row>
    <row r="5275" spans="12:13" x14ac:dyDescent="0.2">
      <c r="L5275" s="12"/>
      <c r="M5275" s="13"/>
    </row>
    <row r="5276" spans="12:13" x14ac:dyDescent="0.2">
      <c r="L5276" s="12"/>
      <c r="M5276" s="13"/>
    </row>
    <row r="5277" spans="12:13" x14ac:dyDescent="0.2">
      <c r="L5277" s="12"/>
      <c r="M5277" s="13"/>
    </row>
    <row r="5278" spans="12:13" x14ac:dyDescent="0.2">
      <c r="L5278" s="12"/>
      <c r="M5278" s="13"/>
    </row>
    <row r="5279" spans="12:13" x14ac:dyDescent="0.2">
      <c r="L5279" s="12"/>
      <c r="M5279" s="13"/>
    </row>
    <row r="5280" spans="12:13" x14ac:dyDescent="0.2">
      <c r="L5280" s="12"/>
      <c r="M5280" s="13"/>
    </row>
    <row r="5281" spans="12:13" x14ac:dyDescent="0.2">
      <c r="L5281" s="12"/>
      <c r="M5281" s="13"/>
    </row>
    <row r="5282" spans="12:13" x14ac:dyDescent="0.2">
      <c r="L5282" s="12"/>
      <c r="M5282" s="13"/>
    </row>
    <row r="5283" spans="12:13" x14ac:dyDescent="0.2">
      <c r="L5283" s="12"/>
      <c r="M5283" s="13"/>
    </row>
    <row r="5284" spans="12:13" x14ac:dyDescent="0.2">
      <c r="L5284" s="12"/>
      <c r="M5284" s="13"/>
    </row>
    <row r="5285" spans="12:13" x14ac:dyDescent="0.2">
      <c r="L5285" s="12"/>
      <c r="M5285" s="13"/>
    </row>
    <row r="5286" spans="12:13" x14ac:dyDescent="0.2">
      <c r="L5286" s="12"/>
      <c r="M5286" s="13"/>
    </row>
    <row r="5287" spans="12:13" x14ac:dyDescent="0.2">
      <c r="L5287" s="12"/>
      <c r="M5287" s="13"/>
    </row>
    <row r="5288" spans="12:13" x14ac:dyDescent="0.2">
      <c r="L5288" s="12"/>
      <c r="M5288" s="13"/>
    </row>
    <row r="5289" spans="12:13" x14ac:dyDescent="0.2">
      <c r="L5289" s="12"/>
      <c r="M5289" s="13"/>
    </row>
    <row r="5290" spans="12:13" x14ac:dyDescent="0.2">
      <c r="L5290" s="12"/>
      <c r="M5290" s="13"/>
    </row>
    <row r="5291" spans="12:13" x14ac:dyDescent="0.2">
      <c r="L5291" s="12"/>
      <c r="M5291" s="13"/>
    </row>
    <row r="5292" spans="12:13" x14ac:dyDescent="0.2">
      <c r="L5292" s="12"/>
      <c r="M5292" s="13"/>
    </row>
    <row r="5293" spans="12:13" x14ac:dyDescent="0.2">
      <c r="L5293" s="12"/>
      <c r="M5293" s="13"/>
    </row>
    <row r="5294" spans="12:13" x14ac:dyDescent="0.2">
      <c r="L5294" s="12"/>
      <c r="M5294" s="13"/>
    </row>
    <row r="5295" spans="12:13" x14ac:dyDescent="0.2">
      <c r="L5295" s="12"/>
      <c r="M5295" s="13"/>
    </row>
    <row r="5296" spans="12:13" x14ac:dyDescent="0.2">
      <c r="L5296" s="12"/>
      <c r="M5296" s="13"/>
    </row>
    <row r="5297" spans="12:13" x14ac:dyDescent="0.2">
      <c r="L5297" s="12"/>
      <c r="M5297" s="13"/>
    </row>
    <row r="5298" spans="12:13" x14ac:dyDescent="0.2">
      <c r="L5298" s="12"/>
      <c r="M5298" s="13"/>
    </row>
    <row r="5299" spans="12:13" x14ac:dyDescent="0.2">
      <c r="L5299" s="12"/>
      <c r="M5299" s="13"/>
    </row>
    <row r="5300" spans="12:13" x14ac:dyDescent="0.2">
      <c r="L5300" s="12"/>
      <c r="M5300" s="13"/>
    </row>
    <row r="5301" spans="12:13" x14ac:dyDescent="0.2">
      <c r="L5301" s="12"/>
      <c r="M5301" s="13"/>
    </row>
    <row r="5302" spans="12:13" x14ac:dyDescent="0.2">
      <c r="L5302" s="12"/>
      <c r="M5302" s="13"/>
    </row>
    <row r="5303" spans="12:13" x14ac:dyDescent="0.2">
      <c r="L5303" s="12"/>
      <c r="M5303" s="13"/>
    </row>
    <row r="5304" spans="12:13" x14ac:dyDescent="0.2">
      <c r="L5304" s="12"/>
      <c r="M5304" s="13"/>
    </row>
    <row r="5305" spans="12:13" x14ac:dyDescent="0.2">
      <c r="L5305" s="12"/>
      <c r="M5305" s="13"/>
    </row>
    <row r="5306" spans="12:13" x14ac:dyDescent="0.2">
      <c r="L5306" s="12"/>
      <c r="M5306" s="13"/>
    </row>
    <row r="5307" spans="12:13" x14ac:dyDescent="0.2">
      <c r="L5307" s="12"/>
      <c r="M5307" s="13"/>
    </row>
    <row r="5308" spans="12:13" x14ac:dyDescent="0.2">
      <c r="L5308" s="12"/>
      <c r="M5308" s="13"/>
    </row>
    <row r="5309" spans="12:13" x14ac:dyDescent="0.2">
      <c r="L5309" s="12"/>
      <c r="M5309" s="13"/>
    </row>
    <row r="5310" spans="12:13" x14ac:dyDescent="0.2">
      <c r="L5310" s="12"/>
      <c r="M5310" s="13"/>
    </row>
    <row r="5311" spans="12:13" x14ac:dyDescent="0.2">
      <c r="L5311" s="12"/>
      <c r="M5311" s="13"/>
    </row>
    <row r="5312" spans="12:13" x14ac:dyDescent="0.2">
      <c r="L5312" s="12"/>
      <c r="M5312" s="13"/>
    </row>
    <row r="5313" spans="12:13" x14ac:dyDescent="0.2">
      <c r="L5313" s="12"/>
      <c r="M5313" s="13"/>
    </row>
    <row r="5314" spans="12:13" x14ac:dyDescent="0.2">
      <c r="L5314" s="12"/>
      <c r="M5314" s="13"/>
    </row>
    <row r="5315" spans="12:13" x14ac:dyDescent="0.2">
      <c r="L5315" s="12"/>
      <c r="M5315" s="13"/>
    </row>
    <row r="5316" spans="12:13" x14ac:dyDescent="0.2">
      <c r="L5316" s="12"/>
      <c r="M5316" s="13"/>
    </row>
    <row r="5317" spans="12:13" x14ac:dyDescent="0.2">
      <c r="L5317" s="12"/>
      <c r="M5317" s="13"/>
    </row>
    <row r="5318" spans="12:13" x14ac:dyDescent="0.2">
      <c r="L5318" s="12"/>
      <c r="M5318" s="13"/>
    </row>
    <row r="5319" spans="12:13" x14ac:dyDescent="0.2">
      <c r="L5319" s="12"/>
      <c r="M5319" s="13"/>
    </row>
    <row r="5320" spans="12:13" x14ac:dyDescent="0.2">
      <c r="L5320" s="12"/>
      <c r="M5320" s="13"/>
    </row>
    <row r="5321" spans="12:13" x14ac:dyDescent="0.2">
      <c r="L5321" s="12"/>
      <c r="M5321" s="13"/>
    </row>
    <row r="5322" spans="12:13" x14ac:dyDescent="0.2">
      <c r="L5322" s="12"/>
      <c r="M5322" s="13"/>
    </row>
    <row r="5323" spans="12:13" x14ac:dyDescent="0.2">
      <c r="L5323" s="12"/>
      <c r="M5323" s="13"/>
    </row>
    <row r="5324" spans="12:13" x14ac:dyDescent="0.2">
      <c r="L5324" s="12"/>
      <c r="M5324" s="13"/>
    </row>
    <row r="5325" spans="12:13" x14ac:dyDescent="0.2">
      <c r="L5325" s="12"/>
      <c r="M5325" s="13"/>
    </row>
    <row r="5326" spans="12:13" x14ac:dyDescent="0.2">
      <c r="L5326" s="12"/>
      <c r="M5326" s="13"/>
    </row>
    <row r="5327" spans="12:13" x14ac:dyDescent="0.2">
      <c r="L5327" s="12"/>
      <c r="M5327" s="13"/>
    </row>
    <row r="5328" spans="12:13" x14ac:dyDescent="0.2">
      <c r="L5328" s="12"/>
      <c r="M5328" s="13"/>
    </row>
    <row r="5329" spans="12:13" x14ac:dyDescent="0.2">
      <c r="L5329" s="12"/>
      <c r="M5329" s="13"/>
    </row>
    <row r="5330" spans="12:13" x14ac:dyDescent="0.2">
      <c r="L5330" s="12"/>
      <c r="M5330" s="13"/>
    </row>
    <row r="5331" spans="12:13" x14ac:dyDescent="0.2">
      <c r="L5331" s="12"/>
      <c r="M5331" s="13"/>
    </row>
    <row r="5332" spans="12:13" x14ac:dyDescent="0.2">
      <c r="L5332" s="12"/>
      <c r="M5332" s="13"/>
    </row>
    <row r="5333" spans="12:13" x14ac:dyDescent="0.2">
      <c r="L5333" s="12"/>
      <c r="M5333" s="13"/>
    </row>
    <row r="5334" spans="12:13" x14ac:dyDescent="0.2">
      <c r="L5334" s="12"/>
      <c r="M5334" s="13"/>
    </row>
    <row r="5335" spans="12:13" x14ac:dyDescent="0.2">
      <c r="L5335" s="12"/>
      <c r="M5335" s="13"/>
    </row>
    <row r="5336" spans="12:13" x14ac:dyDescent="0.2">
      <c r="L5336" s="12"/>
      <c r="M5336" s="13"/>
    </row>
    <row r="5337" spans="12:13" x14ac:dyDescent="0.2">
      <c r="L5337" s="12"/>
      <c r="M5337" s="13"/>
    </row>
    <row r="5338" spans="12:13" x14ac:dyDescent="0.2">
      <c r="L5338" s="12"/>
      <c r="M5338" s="13"/>
    </row>
    <row r="5339" spans="12:13" x14ac:dyDescent="0.2">
      <c r="L5339" s="12"/>
      <c r="M5339" s="13"/>
    </row>
    <row r="5340" spans="12:13" x14ac:dyDescent="0.2">
      <c r="L5340" s="12"/>
      <c r="M5340" s="13"/>
    </row>
    <row r="5341" spans="12:13" x14ac:dyDescent="0.2">
      <c r="L5341" s="12"/>
      <c r="M5341" s="13"/>
    </row>
    <row r="5342" spans="12:13" x14ac:dyDescent="0.2">
      <c r="L5342" s="12"/>
      <c r="M5342" s="13"/>
    </row>
    <row r="5343" spans="12:13" x14ac:dyDescent="0.2">
      <c r="L5343" s="12"/>
      <c r="M5343" s="13"/>
    </row>
    <row r="5344" spans="12:13" x14ac:dyDescent="0.2">
      <c r="L5344" s="12"/>
      <c r="M5344" s="13"/>
    </row>
    <row r="5345" spans="12:13" x14ac:dyDescent="0.2">
      <c r="L5345" s="12"/>
      <c r="M5345" s="13"/>
    </row>
    <row r="5346" spans="12:13" x14ac:dyDescent="0.2">
      <c r="L5346" s="12"/>
      <c r="M5346" s="13"/>
    </row>
    <row r="5347" spans="12:13" x14ac:dyDescent="0.2">
      <c r="L5347" s="12"/>
      <c r="M5347" s="13"/>
    </row>
    <row r="5348" spans="12:13" x14ac:dyDescent="0.2">
      <c r="L5348" s="12"/>
      <c r="M5348" s="13"/>
    </row>
    <row r="5349" spans="12:13" x14ac:dyDescent="0.2">
      <c r="L5349" s="12"/>
      <c r="M5349" s="13"/>
    </row>
    <row r="5350" spans="12:13" x14ac:dyDescent="0.2">
      <c r="L5350" s="12"/>
      <c r="M5350" s="13"/>
    </row>
    <row r="5351" spans="12:13" x14ac:dyDescent="0.2">
      <c r="L5351" s="12"/>
      <c r="M5351" s="13"/>
    </row>
    <row r="5352" spans="12:13" x14ac:dyDescent="0.2">
      <c r="L5352" s="12"/>
      <c r="M5352" s="13"/>
    </row>
    <row r="5353" spans="12:13" x14ac:dyDescent="0.2">
      <c r="L5353" s="12"/>
      <c r="M5353" s="13"/>
    </row>
    <row r="5354" spans="12:13" x14ac:dyDescent="0.2">
      <c r="L5354" s="12"/>
      <c r="M5354" s="13"/>
    </row>
    <row r="5355" spans="12:13" x14ac:dyDescent="0.2">
      <c r="L5355" s="12"/>
      <c r="M5355" s="13"/>
    </row>
    <row r="5356" spans="12:13" x14ac:dyDescent="0.2">
      <c r="L5356" s="12"/>
      <c r="M5356" s="13"/>
    </row>
    <row r="5357" spans="12:13" x14ac:dyDescent="0.2">
      <c r="L5357" s="12"/>
      <c r="M5357" s="13"/>
    </row>
    <row r="5358" spans="12:13" x14ac:dyDescent="0.2">
      <c r="L5358" s="12"/>
      <c r="M5358" s="13"/>
    </row>
    <row r="5359" spans="12:13" x14ac:dyDescent="0.2">
      <c r="L5359" s="12"/>
      <c r="M5359" s="13"/>
    </row>
    <row r="5360" spans="12:13" x14ac:dyDescent="0.2">
      <c r="L5360" s="12"/>
      <c r="M5360" s="13"/>
    </row>
    <row r="5361" spans="12:13" x14ac:dyDescent="0.2">
      <c r="L5361" s="12"/>
      <c r="M5361" s="13"/>
    </row>
    <row r="5362" spans="12:13" x14ac:dyDescent="0.2">
      <c r="L5362" s="12"/>
      <c r="M5362" s="13"/>
    </row>
    <row r="5363" spans="12:13" x14ac:dyDescent="0.2">
      <c r="L5363" s="12"/>
      <c r="M5363" s="13"/>
    </row>
    <row r="5364" spans="12:13" x14ac:dyDescent="0.2">
      <c r="L5364" s="12"/>
      <c r="M5364" s="13"/>
    </row>
    <row r="5365" spans="12:13" x14ac:dyDescent="0.2">
      <c r="L5365" s="12"/>
      <c r="M5365" s="13"/>
    </row>
    <row r="5366" spans="12:13" x14ac:dyDescent="0.2">
      <c r="L5366" s="12"/>
      <c r="M5366" s="13"/>
    </row>
    <row r="5367" spans="12:13" x14ac:dyDescent="0.2">
      <c r="L5367" s="12"/>
      <c r="M5367" s="13"/>
    </row>
    <row r="5368" spans="12:13" x14ac:dyDescent="0.2">
      <c r="L5368" s="12"/>
      <c r="M5368" s="13"/>
    </row>
    <row r="5369" spans="12:13" x14ac:dyDescent="0.2">
      <c r="L5369" s="12"/>
      <c r="M5369" s="13"/>
    </row>
    <row r="5370" spans="12:13" x14ac:dyDescent="0.2">
      <c r="L5370" s="12"/>
      <c r="M5370" s="13"/>
    </row>
    <row r="5371" spans="12:13" x14ac:dyDescent="0.2">
      <c r="L5371" s="12"/>
      <c r="M5371" s="13"/>
    </row>
    <row r="5372" spans="12:13" x14ac:dyDescent="0.2">
      <c r="L5372" s="12"/>
      <c r="M5372" s="13"/>
    </row>
    <row r="5373" spans="12:13" x14ac:dyDescent="0.2">
      <c r="L5373" s="12"/>
      <c r="M5373" s="13"/>
    </row>
    <row r="5374" spans="12:13" x14ac:dyDescent="0.2">
      <c r="L5374" s="12"/>
      <c r="M5374" s="13"/>
    </row>
    <row r="5375" spans="12:13" x14ac:dyDescent="0.2">
      <c r="L5375" s="12"/>
      <c r="M5375" s="13"/>
    </row>
    <row r="5376" spans="12:13" x14ac:dyDescent="0.2">
      <c r="L5376" s="12"/>
      <c r="M5376" s="13"/>
    </row>
    <row r="5377" spans="12:13" x14ac:dyDescent="0.2">
      <c r="L5377" s="12"/>
      <c r="M5377" s="13"/>
    </row>
    <row r="5378" spans="12:13" x14ac:dyDescent="0.2">
      <c r="L5378" s="17"/>
      <c r="M5378" s="18"/>
    </row>
    <row r="5379" spans="12:13" x14ac:dyDescent="0.2">
      <c r="L5379" s="12"/>
      <c r="M5379" s="13"/>
    </row>
    <row r="5380" spans="12:13" x14ac:dyDescent="0.2">
      <c r="L5380" s="12"/>
      <c r="M5380" s="13"/>
    </row>
    <row r="5381" spans="12:13" x14ac:dyDescent="0.2">
      <c r="L5381" s="12"/>
      <c r="M5381" s="13"/>
    </row>
    <row r="5382" spans="12:13" x14ac:dyDescent="0.2">
      <c r="L5382" s="12"/>
      <c r="M5382" s="13"/>
    </row>
    <row r="5383" spans="12:13" x14ac:dyDescent="0.2">
      <c r="L5383" s="12"/>
      <c r="M5383" s="13"/>
    </row>
    <row r="5384" spans="12:13" x14ac:dyDescent="0.2">
      <c r="L5384" s="12"/>
      <c r="M5384" s="13"/>
    </row>
    <row r="5385" spans="12:13" x14ac:dyDescent="0.2">
      <c r="L5385" s="12"/>
      <c r="M5385" s="13"/>
    </row>
    <row r="5386" spans="12:13" x14ac:dyDescent="0.2">
      <c r="L5386" s="12"/>
      <c r="M5386" s="13"/>
    </row>
    <row r="5387" spans="12:13" x14ac:dyDescent="0.2">
      <c r="L5387" s="12"/>
      <c r="M5387" s="13"/>
    </row>
    <row r="5388" spans="12:13" x14ac:dyDescent="0.2">
      <c r="L5388" s="12"/>
      <c r="M5388" s="13"/>
    </row>
    <row r="5389" spans="12:13" x14ac:dyDescent="0.2">
      <c r="L5389" s="12"/>
      <c r="M5389" s="13"/>
    </row>
    <row r="5390" spans="12:13" x14ac:dyDescent="0.2">
      <c r="L5390" s="12"/>
      <c r="M5390" s="13"/>
    </row>
    <row r="5391" spans="12:13" x14ac:dyDescent="0.2">
      <c r="L5391" s="12"/>
      <c r="M5391" s="13"/>
    </row>
    <row r="5392" spans="12:13" x14ac:dyDescent="0.2">
      <c r="L5392" s="12"/>
      <c r="M5392" s="13"/>
    </row>
    <row r="5393" spans="12:13" x14ac:dyDescent="0.2">
      <c r="L5393" s="12"/>
      <c r="M5393" s="13"/>
    </row>
    <row r="5394" spans="12:13" x14ac:dyDescent="0.2">
      <c r="L5394" s="12"/>
      <c r="M5394" s="13"/>
    </row>
    <row r="5395" spans="12:13" x14ac:dyDescent="0.2">
      <c r="L5395" s="12"/>
      <c r="M5395" s="13"/>
    </row>
    <row r="5396" spans="12:13" x14ac:dyDescent="0.2">
      <c r="L5396" s="12"/>
      <c r="M5396" s="13"/>
    </row>
    <row r="5397" spans="12:13" x14ac:dyDescent="0.2">
      <c r="L5397" s="12"/>
      <c r="M5397" s="13"/>
    </row>
    <row r="5398" spans="12:13" x14ac:dyDescent="0.2">
      <c r="L5398" s="12"/>
      <c r="M5398" s="13"/>
    </row>
    <row r="5399" spans="12:13" x14ac:dyDescent="0.2">
      <c r="L5399" s="12"/>
      <c r="M5399" s="13"/>
    </row>
    <row r="5400" spans="12:13" x14ac:dyDescent="0.2">
      <c r="L5400" s="12"/>
      <c r="M5400" s="13"/>
    </row>
    <row r="5401" spans="12:13" x14ac:dyDescent="0.2">
      <c r="L5401" s="12"/>
      <c r="M5401" s="13"/>
    </row>
    <row r="5402" spans="12:13" x14ac:dyDescent="0.2">
      <c r="L5402" s="12"/>
      <c r="M5402" s="13"/>
    </row>
    <row r="5403" spans="12:13" x14ac:dyDescent="0.2">
      <c r="L5403" s="12"/>
      <c r="M5403" s="13"/>
    </row>
    <row r="5404" spans="12:13" x14ac:dyDescent="0.2">
      <c r="L5404" s="12"/>
      <c r="M5404" s="13"/>
    </row>
    <row r="5405" spans="12:13" x14ac:dyDescent="0.2">
      <c r="L5405" s="12"/>
      <c r="M5405" s="13"/>
    </row>
    <row r="5406" spans="12:13" x14ac:dyDescent="0.2">
      <c r="L5406" s="12"/>
      <c r="M5406" s="13"/>
    </row>
    <row r="5407" spans="12:13" x14ac:dyDescent="0.2">
      <c r="L5407" s="12"/>
      <c r="M5407" s="13"/>
    </row>
    <row r="5408" spans="12:13" x14ac:dyDescent="0.2">
      <c r="L5408" s="12"/>
      <c r="M5408" s="13"/>
    </row>
    <row r="5409" spans="12:13" x14ac:dyDescent="0.2">
      <c r="L5409" s="12"/>
      <c r="M5409" s="13"/>
    </row>
    <row r="5410" spans="12:13" x14ac:dyDescent="0.2">
      <c r="L5410" s="12"/>
      <c r="M5410" s="13"/>
    </row>
    <row r="5411" spans="12:13" x14ac:dyDescent="0.2">
      <c r="L5411" s="12"/>
      <c r="M5411" s="13"/>
    </row>
    <row r="5412" spans="12:13" x14ac:dyDescent="0.2">
      <c r="L5412" s="12"/>
      <c r="M5412" s="13"/>
    </row>
    <row r="5413" spans="12:13" x14ac:dyDescent="0.2">
      <c r="L5413" s="12"/>
      <c r="M5413" s="13"/>
    </row>
    <row r="5414" spans="12:13" x14ac:dyDescent="0.2">
      <c r="L5414" s="12"/>
      <c r="M5414" s="13"/>
    </row>
    <row r="5415" spans="12:13" x14ac:dyDescent="0.2">
      <c r="L5415" s="12"/>
      <c r="M5415" s="13"/>
    </row>
    <row r="5416" spans="12:13" x14ac:dyDescent="0.2">
      <c r="L5416" s="12"/>
      <c r="M5416" s="13"/>
    </row>
    <row r="5417" spans="12:13" x14ac:dyDescent="0.2">
      <c r="L5417" s="12"/>
      <c r="M5417" s="13"/>
    </row>
    <row r="5418" spans="12:13" x14ac:dyDescent="0.2">
      <c r="L5418" s="12"/>
      <c r="M5418" s="13"/>
    </row>
    <row r="5419" spans="12:13" x14ac:dyDescent="0.2">
      <c r="L5419" s="12"/>
      <c r="M5419" s="13"/>
    </row>
    <row r="5420" spans="12:13" x14ac:dyDescent="0.2">
      <c r="L5420" s="12"/>
      <c r="M5420" s="13"/>
    </row>
    <row r="5421" spans="12:13" x14ac:dyDescent="0.2">
      <c r="L5421" s="12"/>
      <c r="M5421" s="13"/>
    </row>
    <row r="5422" spans="12:13" x14ac:dyDescent="0.2">
      <c r="L5422" s="12"/>
      <c r="M5422" s="13"/>
    </row>
    <row r="5423" spans="12:13" x14ac:dyDescent="0.2">
      <c r="L5423" s="12"/>
      <c r="M5423" s="13"/>
    </row>
    <row r="5424" spans="12:13" x14ac:dyDescent="0.2">
      <c r="L5424" s="12"/>
      <c r="M5424" s="13"/>
    </row>
    <row r="5425" spans="12:13" x14ac:dyDescent="0.2">
      <c r="L5425" s="12"/>
      <c r="M5425" s="13"/>
    </row>
    <row r="5426" spans="12:13" x14ac:dyDescent="0.2">
      <c r="L5426" s="12"/>
      <c r="M5426" s="13"/>
    </row>
    <row r="5427" spans="12:13" x14ac:dyDescent="0.2">
      <c r="L5427" s="12"/>
      <c r="M5427" s="13"/>
    </row>
    <row r="5428" spans="12:13" x14ac:dyDescent="0.2">
      <c r="L5428" s="12"/>
      <c r="M5428" s="13"/>
    </row>
    <row r="5429" spans="12:13" x14ac:dyDescent="0.2">
      <c r="L5429" s="12"/>
      <c r="M5429" s="13"/>
    </row>
    <row r="5430" spans="12:13" x14ac:dyDescent="0.2">
      <c r="L5430" s="12"/>
      <c r="M5430" s="13"/>
    </row>
    <row r="5431" spans="12:13" x14ac:dyDescent="0.2">
      <c r="L5431" s="12"/>
      <c r="M5431" s="13"/>
    </row>
    <row r="5432" spans="12:13" x14ac:dyDescent="0.2">
      <c r="L5432" s="12"/>
      <c r="M5432" s="13"/>
    </row>
    <row r="5433" spans="12:13" x14ac:dyDescent="0.2">
      <c r="L5433" s="12"/>
      <c r="M5433" s="13"/>
    </row>
    <row r="5434" spans="12:13" x14ac:dyDescent="0.2">
      <c r="L5434" s="12"/>
      <c r="M5434" s="13"/>
    </row>
    <row r="5435" spans="12:13" x14ac:dyDescent="0.2">
      <c r="L5435" s="12"/>
      <c r="M5435" s="13"/>
    </row>
    <row r="5436" spans="12:13" x14ac:dyDescent="0.2">
      <c r="L5436" s="12"/>
      <c r="M5436" s="13"/>
    </row>
    <row r="5437" spans="12:13" x14ac:dyDescent="0.2">
      <c r="L5437" s="12"/>
      <c r="M5437" s="13"/>
    </row>
    <row r="5438" spans="12:13" x14ac:dyDescent="0.2">
      <c r="L5438" s="12"/>
      <c r="M5438" s="13"/>
    </row>
    <row r="5439" spans="12:13" x14ac:dyDescent="0.2">
      <c r="L5439" s="12"/>
      <c r="M5439" s="13"/>
    </row>
    <row r="5440" spans="12:13" x14ac:dyDescent="0.2">
      <c r="L5440" s="12"/>
      <c r="M5440" s="13"/>
    </row>
    <row r="5441" spans="12:13" x14ac:dyDescent="0.2">
      <c r="L5441" s="12"/>
      <c r="M5441" s="13"/>
    </row>
    <row r="5442" spans="12:13" x14ac:dyDescent="0.2">
      <c r="L5442" s="12"/>
      <c r="M5442" s="13"/>
    </row>
    <row r="5443" spans="12:13" x14ac:dyDescent="0.2">
      <c r="L5443" s="12"/>
      <c r="M5443" s="13"/>
    </row>
    <row r="5444" spans="12:13" x14ac:dyDescent="0.2">
      <c r="L5444" s="12"/>
      <c r="M5444" s="13"/>
    </row>
    <row r="5445" spans="12:13" x14ac:dyDescent="0.2">
      <c r="L5445" s="12"/>
      <c r="M5445" s="13"/>
    </row>
    <row r="5446" spans="12:13" x14ac:dyDescent="0.2">
      <c r="L5446" s="12"/>
      <c r="M5446" s="13"/>
    </row>
    <row r="5447" spans="12:13" x14ac:dyDescent="0.2">
      <c r="L5447" s="12"/>
      <c r="M5447" s="13"/>
    </row>
    <row r="5448" spans="12:13" x14ac:dyDescent="0.2">
      <c r="L5448" s="12"/>
      <c r="M5448" s="13"/>
    </row>
    <row r="5449" spans="12:13" x14ac:dyDescent="0.2">
      <c r="L5449" s="12"/>
      <c r="M5449" s="13"/>
    </row>
    <row r="5450" spans="12:13" x14ac:dyDescent="0.2">
      <c r="L5450" s="12"/>
      <c r="M5450" s="13"/>
    </row>
    <row r="5451" spans="12:13" x14ac:dyDescent="0.2">
      <c r="L5451" s="12"/>
      <c r="M5451" s="13"/>
    </row>
    <row r="5452" spans="12:13" x14ac:dyDescent="0.2">
      <c r="L5452" s="12"/>
      <c r="M5452" s="13"/>
    </row>
    <row r="5453" spans="12:13" x14ac:dyDescent="0.2">
      <c r="L5453" s="12"/>
      <c r="M5453" s="13"/>
    </row>
    <row r="5454" spans="12:13" x14ac:dyDescent="0.2">
      <c r="L5454" s="12"/>
      <c r="M5454" s="13"/>
    </row>
    <row r="5455" spans="12:13" x14ac:dyDescent="0.2">
      <c r="L5455" s="12"/>
      <c r="M5455" s="13"/>
    </row>
    <row r="5456" spans="12:13" x14ac:dyDescent="0.2">
      <c r="L5456" s="12"/>
      <c r="M5456" s="13"/>
    </row>
    <row r="5457" spans="12:13" x14ac:dyDescent="0.2">
      <c r="L5457" s="12"/>
      <c r="M5457" s="13"/>
    </row>
    <row r="5458" spans="12:13" x14ac:dyDescent="0.2">
      <c r="L5458" s="12"/>
      <c r="M5458" s="13"/>
    </row>
    <row r="5459" spans="12:13" x14ac:dyDescent="0.2">
      <c r="L5459" s="12"/>
      <c r="M5459" s="13"/>
    </row>
    <row r="5460" spans="12:13" x14ac:dyDescent="0.2">
      <c r="L5460" s="12"/>
      <c r="M5460" s="13"/>
    </row>
    <row r="5461" spans="12:13" x14ac:dyDescent="0.2">
      <c r="L5461" s="12"/>
      <c r="M5461" s="13"/>
    </row>
    <row r="5462" spans="12:13" x14ac:dyDescent="0.2">
      <c r="L5462" s="12"/>
      <c r="M5462" s="13"/>
    </row>
    <row r="5463" spans="12:13" x14ac:dyDescent="0.2">
      <c r="L5463" s="12"/>
      <c r="M5463" s="13"/>
    </row>
    <row r="5464" spans="12:13" x14ac:dyDescent="0.2">
      <c r="L5464" s="12"/>
      <c r="M5464" s="13"/>
    </row>
    <row r="5465" spans="12:13" x14ac:dyDescent="0.2">
      <c r="L5465" s="12"/>
      <c r="M5465" s="13"/>
    </row>
    <row r="5466" spans="12:13" x14ac:dyDescent="0.2">
      <c r="L5466" s="12"/>
      <c r="M5466" s="13"/>
    </row>
    <row r="5467" spans="12:13" x14ac:dyDescent="0.2">
      <c r="L5467" s="12"/>
      <c r="M5467" s="13"/>
    </row>
    <row r="5468" spans="12:13" x14ac:dyDescent="0.2">
      <c r="L5468" s="12"/>
      <c r="M5468" s="13"/>
    </row>
    <row r="5469" spans="12:13" x14ac:dyDescent="0.2">
      <c r="L5469" s="12"/>
      <c r="M5469" s="13"/>
    </row>
    <row r="5470" spans="12:13" x14ac:dyDescent="0.2">
      <c r="L5470" s="12"/>
      <c r="M5470" s="13"/>
    </row>
    <row r="5471" spans="12:13" x14ac:dyDescent="0.2">
      <c r="L5471" s="12"/>
      <c r="M5471" s="13"/>
    </row>
    <row r="5472" spans="12:13" x14ac:dyDescent="0.2">
      <c r="L5472" s="12"/>
      <c r="M5472" s="13"/>
    </row>
    <row r="5473" spans="12:13" x14ac:dyDescent="0.2">
      <c r="L5473" s="12"/>
      <c r="M5473" s="13"/>
    </row>
    <row r="5474" spans="12:13" x14ac:dyDescent="0.2">
      <c r="L5474" s="12"/>
      <c r="M5474" s="13"/>
    </row>
    <row r="5475" spans="12:13" x14ac:dyDescent="0.2">
      <c r="L5475" s="12"/>
      <c r="M5475" s="13"/>
    </row>
    <row r="5476" spans="12:13" x14ac:dyDescent="0.2">
      <c r="L5476" s="12"/>
      <c r="M5476" s="13"/>
    </row>
    <row r="5477" spans="12:13" x14ac:dyDescent="0.2">
      <c r="L5477" s="12"/>
      <c r="M5477" s="13"/>
    </row>
    <row r="5478" spans="12:13" x14ac:dyDescent="0.2">
      <c r="L5478" s="12"/>
      <c r="M5478" s="13"/>
    </row>
    <row r="5479" spans="12:13" x14ac:dyDescent="0.2">
      <c r="L5479" s="12"/>
      <c r="M5479" s="13"/>
    </row>
    <row r="5480" spans="12:13" x14ac:dyDescent="0.2">
      <c r="L5480" s="12"/>
      <c r="M5480" s="13"/>
    </row>
    <row r="5481" spans="12:13" x14ac:dyDescent="0.2">
      <c r="L5481" s="12"/>
      <c r="M5481" s="13"/>
    </row>
    <row r="5482" spans="12:13" x14ac:dyDescent="0.2">
      <c r="L5482" s="12"/>
      <c r="M5482" s="13"/>
    </row>
    <row r="5483" spans="12:13" x14ac:dyDescent="0.2">
      <c r="L5483" s="12"/>
      <c r="M5483" s="13"/>
    </row>
    <row r="5484" spans="12:13" x14ac:dyDescent="0.2">
      <c r="L5484" s="12"/>
      <c r="M5484" s="13"/>
    </row>
    <row r="5485" spans="12:13" x14ac:dyDescent="0.2">
      <c r="L5485" s="12"/>
      <c r="M5485" s="13"/>
    </row>
    <row r="5486" spans="12:13" x14ac:dyDescent="0.2">
      <c r="L5486" s="12"/>
      <c r="M5486" s="13"/>
    </row>
    <row r="5487" spans="12:13" x14ac:dyDescent="0.2">
      <c r="L5487" s="12"/>
      <c r="M5487" s="13"/>
    </row>
    <row r="5488" spans="12:13" x14ac:dyDescent="0.2">
      <c r="L5488" s="12"/>
      <c r="M5488" s="13"/>
    </row>
    <row r="5489" spans="12:13" x14ac:dyDescent="0.2">
      <c r="L5489" s="12"/>
      <c r="M5489" s="13"/>
    </row>
    <row r="5490" spans="12:13" x14ac:dyDescent="0.2">
      <c r="L5490" s="12"/>
      <c r="M5490" s="13"/>
    </row>
    <row r="5491" spans="12:13" x14ac:dyDescent="0.2">
      <c r="L5491" s="12"/>
      <c r="M5491" s="13"/>
    </row>
    <row r="5492" spans="12:13" x14ac:dyDescent="0.2">
      <c r="L5492" s="12"/>
      <c r="M5492" s="13"/>
    </row>
    <row r="5493" spans="12:13" x14ac:dyDescent="0.2">
      <c r="L5493" s="12"/>
      <c r="M5493" s="13"/>
    </row>
    <row r="5494" spans="12:13" x14ac:dyDescent="0.2">
      <c r="L5494" s="12"/>
      <c r="M5494" s="13"/>
    </row>
    <row r="5495" spans="12:13" x14ac:dyDescent="0.2">
      <c r="L5495" s="12"/>
      <c r="M5495" s="13"/>
    </row>
    <row r="5496" spans="12:13" x14ac:dyDescent="0.2">
      <c r="L5496" s="12"/>
      <c r="M5496" s="13"/>
    </row>
    <row r="5497" spans="12:13" x14ac:dyDescent="0.2">
      <c r="L5497" s="12"/>
      <c r="M5497" s="13"/>
    </row>
    <row r="5498" spans="12:13" x14ac:dyDescent="0.2">
      <c r="L5498" s="12"/>
      <c r="M5498" s="13"/>
    </row>
    <row r="5499" spans="12:13" x14ac:dyDescent="0.2">
      <c r="L5499" s="12"/>
      <c r="M5499" s="13"/>
    </row>
    <row r="5500" spans="12:13" x14ac:dyDescent="0.2">
      <c r="L5500" s="12"/>
      <c r="M5500" s="13"/>
    </row>
    <row r="5501" spans="12:13" x14ac:dyDescent="0.2">
      <c r="L5501" s="12"/>
      <c r="M5501" s="13"/>
    </row>
    <row r="5502" spans="12:13" x14ac:dyDescent="0.2">
      <c r="L5502" s="12"/>
      <c r="M5502" s="13"/>
    </row>
    <row r="5503" spans="12:13" x14ac:dyDescent="0.2">
      <c r="L5503" s="12"/>
      <c r="M5503" s="13"/>
    </row>
    <row r="5504" spans="12:13" x14ac:dyDescent="0.2">
      <c r="L5504" s="12"/>
      <c r="M5504" s="13"/>
    </row>
    <row r="5505" spans="12:13" x14ac:dyDescent="0.2">
      <c r="L5505" s="12"/>
      <c r="M5505" s="13"/>
    </row>
    <row r="5506" spans="12:13" x14ac:dyDescent="0.2">
      <c r="L5506" s="12"/>
      <c r="M5506" s="13"/>
    </row>
    <row r="5507" spans="12:13" x14ac:dyDescent="0.2">
      <c r="L5507" s="12"/>
      <c r="M5507" s="13"/>
    </row>
    <row r="5508" spans="12:13" x14ac:dyDescent="0.2">
      <c r="L5508" s="12"/>
      <c r="M5508" s="13"/>
    </row>
    <row r="5509" spans="12:13" x14ac:dyDescent="0.2">
      <c r="L5509" s="12"/>
      <c r="M5509" s="13"/>
    </row>
    <row r="5510" spans="12:13" x14ac:dyDescent="0.2">
      <c r="L5510" s="12"/>
      <c r="M5510" s="13"/>
    </row>
    <row r="5511" spans="12:13" x14ac:dyDescent="0.2">
      <c r="L5511" s="12"/>
      <c r="M5511" s="13"/>
    </row>
    <row r="5512" spans="12:13" x14ac:dyDescent="0.2">
      <c r="L5512" s="12"/>
      <c r="M5512" s="13"/>
    </row>
    <row r="5513" spans="12:13" x14ac:dyDescent="0.2">
      <c r="L5513" s="12"/>
      <c r="M5513" s="13"/>
    </row>
    <row r="5514" spans="12:13" x14ac:dyDescent="0.2">
      <c r="L5514" s="12"/>
      <c r="M5514" s="13"/>
    </row>
    <row r="5515" spans="12:13" x14ac:dyDescent="0.2">
      <c r="L5515" s="12"/>
      <c r="M5515" s="13"/>
    </row>
    <row r="5516" spans="12:13" x14ac:dyDescent="0.2">
      <c r="L5516" s="12"/>
      <c r="M5516" s="13"/>
    </row>
    <row r="5517" spans="12:13" x14ac:dyDescent="0.2">
      <c r="L5517" s="12"/>
      <c r="M5517" s="13"/>
    </row>
    <row r="5518" spans="12:13" x14ac:dyDescent="0.2">
      <c r="L5518" s="12"/>
      <c r="M5518" s="13"/>
    </row>
    <row r="5519" spans="12:13" x14ac:dyDescent="0.2">
      <c r="L5519" s="12"/>
      <c r="M5519" s="13"/>
    </row>
    <row r="5520" spans="12:13" x14ac:dyDescent="0.2">
      <c r="L5520" s="12"/>
      <c r="M5520" s="13"/>
    </row>
    <row r="5521" spans="12:13" x14ac:dyDescent="0.2">
      <c r="L5521" s="12"/>
      <c r="M5521" s="13"/>
    </row>
    <row r="5522" spans="12:13" x14ac:dyDescent="0.2">
      <c r="L5522" s="12"/>
      <c r="M5522" s="13"/>
    </row>
    <row r="5523" spans="12:13" x14ac:dyDescent="0.2">
      <c r="L5523" s="12"/>
      <c r="M5523" s="13"/>
    </row>
    <row r="5524" spans="12:13" x14ac:dyDescent="0.2">
      <c r="L5524" s="12"/>
      <c r="M5524" s="13"/>
    </row>
    <row r="5525" spans="12:13" x14ac:dyDescent="0.2">
      <c r="L5525" s="12"/>
      <c r="M5525" s="13"/>
    </row>
    <row r="5526" spans="12:13" x14ac:dyDescent="0.2">
      <c r="L5526" s="12"/>
      <c r="M5526" s="13"/>
    </row>
    <row r="5527" spans="12:13" x14ac:dyDescent="0.2">
      <c r="L5527" s="12"/>
      <c r="M5527" s="13"/>
    </row>
    <row r="5528" spans="12:13" x14ac:dyDescent="0.2">
      <c r="L5528" s="12"/>
      <c r="M5528" s="13"/>
    </row>
    <row r="5529" spans="12:13" x14ac:dyDescent="0.2">
      <c r="L5529" s="12"/>
      <c r="M5529" s="13"/>
    </row>
    <row r="5530" spans="12:13" x14ac:dyDescent="0.2">
      <c r="L5530" s="12"/>
      <c r="M5530" s="13"/>
    </row>
    <row r="5531" spans="12:13" x14ac:dyDescent="0.2">
      <c r="L5531" s="12"/>
      <c r="M5531" s="13"/>
    </row>
    <row r="5532" spans="12:13" x14ac:dyDescent="0.2">
      <c r="L5532" s="12"/>
      <c r="M5532" s="13"/>
    </row>
    <row r="5533" spans="12:13" x14ac:dyDescent="0.2">
      <c r="L5533" s="12"/>
      <c r="M5533" s="13"/>
    </row>
    <row r="5534" spans="12:13" x14ac:dyDescent="0.2">
      <c r="L5534" s="12"/>
      <c r="M5534" s="13"/>
    </row>
    <row r="5535" spans="12:13" x14ac:dyDescent="0.2">
      <c r="L5535" s="12"/>
      <c r="M5535" s="13"/>
    </row>
    <row r="5536" spans="12:13" x14ac:dyDescent="0.2">
      <c r="L5536" s="12"/>
      <c r="M5536" s="13"/>
    </row>
    <row r="5537" spans="12:13" x14ac:dyDescent="0.2">
      <c r="L5537" s="12"/>
      <c r="M5537" s="13"/>
    </row>
    <row r="5538" spans="12:13" x14ac:dyDescent="0.2">
      <c r="L5538" s="12"/>
      <c r="M5538" s="13"/>
    </row>
    <row r="5539" spans="12:13" x14ac:dyDescent="0.2">
      <c r="L5539" s="12"/>
      <c r="M5539" s="13"/>
    </row>
    <row r="5540" spans="12:13" x14ac:dyDescent="0.2">
      <c r="L5540" s="12"/>
      <c r="M5540" s="13"/>
    </row>
    <row r="5541" spans="12:13" x14ac:dyDescent="0.2">
      <c r="L5541" s="12"/>
      <c r="M5541" s="13"/>
    </row>
    <row r="5542" spans="12:13" x14ac:dyDescent="0.2">
      <c r="L5542" s="12"/>
      <c r="M5542" s="13"/>
    </row>
    <row r="5543" spans="12:13" x14ac:dyDescent="0.2">
      <c r="L5543" s="12"/>
      <c r="M5543" s="13"/>
    </row>
    <row r="5544" spans="12:13" x14ac:dyDescent="0.2">
      <c r="L5544" s="12"/>
      <c r="M5544" s="13"/>
    </row>
    <row r="5545" spans="12:13" x14ac:dyDescent="0.2">
      <c r="L5545" s="12"/>
      <c r="M5545" s="13"/>
    </row>
    <row r="5546" spans="12:13" x14ac:dyDescent="0.2">
      <c r="L5546" s="12"/>
      <c r="M5546" s="13"/>
    </row>
    <row r="5547" spans="12:13" x14ac:dyDescent="0.2">
      <c r="L5547" s="12"/>
      <c r="M5547" s="13"/>
    </row>
    <row r="5548" spans="12:13" x14ac:dyDescent="0.2">
      <c r="L5548" s="12"/>
      <c r="M5548" s="13"/>
    </row>
    <row r="5549" spans="12:13" x14ac:dyDescent="0.2">
      <c r="L5549" s="12"/>
      <c r="M5549" s="13"/>
    </row>
    <row r="5550" spans="12:13" x14ac:dyDescent="0.2">
      <c r="L5550" s="12"/>
      <c r="M5550" s="13"/>
    </row>
    <row r="5551" spans="12:13" x14ac:dyDescent="0.2">
      <c r="L5551" s="12"/>
      <c r="M5551" s="13"/>
    </row>
    <row r="5552" spans="12:13" x14ac:dyDescent="0.2">
      <c r="L5552" s="12"/>
      <c r="M5552" s="13"/>
    </row>
    <row r="5553" spans="12:13" x14ac:dyDescent="0.2">
      <c r="L5553" s="12"/>
      <c r="M5553" s="13"/>
    </row>
    <row r="5554" spans="12:13" x14ac:dyDescent="0.2">
      <c r="L5554" s="12"/>
      <c r="M5554" s="13"/>
    </row>
    <row r="5555" spans="12:13" x14ac:dyDescent="0.2">
      <c r="L5555" s="12"/>
      <c r="M5555" s="13"/>
    </row>
    <row r="5556" spans="12:13" x14ac:dyDescent="0.2">
      <c r="L5556" s="12"/>
      <c r="M5556" s="13"/>
    </row>
    <row r="5557" spans="12:13" x14ac:dyDescent="0.2">
      <c r="L5557" s="12"/>
      <c r="M5557" s="13"/>
    </row>
    <row r="5558" spans="12:13" x14ac:dyDescent="0.2">
      <c r="L5558" s="12"/>
      <c r="M5558" s="13"/>
    </row>
    <row r="5559" spans="12:13" x14ac:dyDescent="0.2">
      <c r="L5559" s="12"/>
      <c r="M5559" s="13"/>
    </row>
    <row r="5560" spans="12:13" x14ac:dyDescent="0.2">
      <c r="L5560" s="12"/>
      <c r="M5560" s="13"/>
    </row>
    <row r="5561" spans="12:13" x14ac:dyDescent="0.2">
      <c r="L5561" s="12"/>
      <c r="M5561" s="13"/>
    </row>
    <row r="5562" spans="12:13" x14ac:dyDescent="0.2">
      <c r="L5562" s="12"/>
      <c r="M5562" s="13"/>
    </row>
    <row r="5563" spans="12:13" x14ac:dyDescent="0.2">
      <c r="L5563" s="12"/>
      <c r="M5563" s="13"/>
    </row>
    <row r="5564" spans="12:13" x14ac:dyDescent="0.2">
      <c r="L5564" s="12"/>
      <c r="M5564" s="13"/>
    </row>
    <row r="5565" spans="12:13" x14ac:dyDescent="0.2">
      <c r="L5565" s="12"/>
      <c r="M5565" s="13"/>
    </row>
    <row r="5566" spans="12:13" x14ac:dyDescent="0.2">
      <c r="L5566" s="12"/>
      <c r="M5566" s="13"/>
    </row>
    <row r="5567" spans="12:13" x14ac:dyDescent="0.2">
      <c r="L5567" s="12"/>
      <c r="M5567" s="13"/>
    </row>
    <row r="5568" spans="12:13" x14ac:dyDescent="0.2">
      <c r="L5568" s="12"/>
      <c r="M5568" s="13"/>
    </row>
    <row r="5569" spans="12:13" x14ac:dyDescent="0.2">
      <c r="L5569" s="12"/>
      <c r="M5569" s="13"/>
    </row>
    <row r="5570" spans="12:13" x14ac:dyDescent="0.2">
      <c r="L5570" s="12"/>
      <c r="M5570" s="13"/>
    </row>
    <row r="5571" spans="12:13" x14ac:dyDescent="0.2">
      <c r="L5571" s="12"/>
      <c r="M5571" s="13"/>
    </row>
    <row r="5572" spans="12:13" x14ac:dyDescent="0.2">
      <c r="L5572" s="12"/>
      <c r="M5572" s="13"/>
    </row>
    <row r="5573" spans="12:13" x14ac:dyDescent="0.2">
      <c r="L5573" s="12"/>
      <c r="M5573" s="13"/>
    </row>
    <row r="5574" spans="12:13" x14ac:dyDescent="0.2">
      <c r="L5574" s="12"/>
      <c r="M5574" s="13"/>
    </row>
    <row r="5575" spans="12:13" x14ac:dyDescent="0.2">
      <c r="L5575" s="12"/>
      <c r="M5575" s="13"/>
    </row>
    <row r="5576" spans="12:13" x14ac:dyDescent="0.2">
      <c r="L5576" s="12"/>
      <c r="M5576" s="13"/>
    </row>
    <row r="5577" spans="12:13" x14ac:dyDescent="0.2">
      <c r="L5577" s="12"/>
      <c r="M5577" s="13"/>
    </row>
    <row r="5578" spans="12:13" x14ac:dyDescent="0.2">
      <c r="L5578" s="12"/>
      <c r="M5578" s="13"/>
    </row>
    <row r="5579" spans="12:13" x14ac:dyDescent="0.2">
      <c r="L5579" s="12"/>
      <c r="M5579" s="13"/>
    </row>
    <row r="5580" spans="12:13" x14ac:dyDescent="0.2">
      <c r="L5580" s="12"/>
      <c r="M5580" s="13"/>
    </row>
    <row r="5581" spans="12:13" x14ac:dyDescent="0.2">
      <c r="L5581" s="12"/>
      <c r="M5581" s="13"/>
    </row>
    <row r="5582" spans="12:13" x14ac:dyDescent="0.2">
      <c r="L5582" s="12"/>
      <c r="M5582" s="13"/>
    </row>
    <row r="5583" spans="12:13" x14ac:dyDescent="0.2">
      <c r="L5583" s="12"/>
      <c r="M5583" s="13"/>
    </row>
    <row r="5584" spans="12:13" x14ac:dyDescent="0.2">
      <c r="L5584" s="12"/>
      <c r="M5584" s="13"/>
    </row>
    <row r="5585" spans="12:13" x14ac:dyDescent="0.2">
      <c r="L5585" s="12"/>
      <c r="M5585" s="13"/>
    </row>
    <row r="5586" spans="12:13" x14ac:dyDescent="0.2">
      <c r="L5586" s="12"/>
      <c r="M5586" s="13"/>
    </row>
    <row r="5587" spans="12:13" x14ac:dyDescent="0.2">
      <c r="L5587" s="12"/>
      <c r="M5587" s="13"/>
    </row>
    <row r="5588" spans="12:13" x14ac:dyDescent="0.2">
      <c r="L5588" s="12"/>
      <c r="M5588" s="13"/>
    </row>
    <row r="5589" spans="12:13" x14ac:dyDescent="0.2">
      <c r="L5589" s="12"/>
      <c r="M5589" s="13"/>
    </row>
    <row r="5590" spans="12:13" x14ac:dyDescent="0.2">
      <c r="L5590" s="12"/>
      <c r="M5590" s="13"/>
    </row>
    <row r="5591" spans="12:13" x14ac:dyDescent="0.2">
      <c r="L5591" s="12"/>
      <c r="M5591" s="13"/>
    </row>
    <row r="5592" spans="12:13" x14ac:dyDescent="0.2">
      <c r="L5592" s="12"/>
      <c r="M5592" s="13"/>
    </row>
    <row r="5593" spans="12:13" x14ac:dyDescent="0.2">
      <c r="L5593" s="12"/>
      <c r="M5593" s="13"/>
    </row>
    <row r="5594" spans="12:13" x14ac:dyDescent="0.2">
      <c r="L5594" s="12"/>
      <c r="M5594" s="13"/>
    </row>
    <row r="5595" spans="12:13" x14ac:dyDescent="0.2">
      <c r="L5595" s="12"/>
      <c r="M5595" s="13"/>
    </row>
    <row r="5596" spans="12:13" x14ac:dyDescent="0.2">
      <c r="L5596" s="12"/>
      <c r="M5596" s="13"/>
    </row>
    <row r="5597" spans="12:13" x14ac:dyDescent="0.2">
      <c r="L5597" s="12"/>
      <c r="M5597" s="13"/>
    </row>
    <row r="5598" spans="12:13" x14ac:dyDescent="0.2">
      <c r="L5598" s="12"/>
      <c r="M5598" s="13"/>
    </row>
    <row r="5599" spans="12:13" x14ac:dyDescent="0.2">
      <c r="L5599" s="12"/>
      <c r="M5599" s="13"/>
    </row>
    <row r="5600" spans="12:13" x14ac:dyDescent="0.2">
      <c r="L5600" s="12"/>
      <c r="M5600" s="13"/>
    </row>
    <row r="5601" spans="12:13" x14ac:dyDescent="0.2">
      <c r="L5601" s="12"/>
      <c r="M5601" s="13"/>
    </row>
    <row r="5602" spans="12:13" x14ac:dyDescent="0.2">
      <c r="L5602" s="12"/>
      <c r="M5602" s="13"/>
    </row>
    <row r="5603" spans="12:13" x14ac:dyDescent="0.2">
      <c r="L5603" s="12"/>
      <c r="M5603" s="13"/>
    </row>
    <row r="5604" spans="12:13" x14ac:dyDescent="0.2">
      <c r="L5604" s="12"/>
      <c r="M5604" s="13"/>
    </row>
    <row r="5605" spans="12:13" x14ac:dyDescent="0.2">
      <c r="L5605" s="12"/>
      <c r="M5605" s="13"/>
    </row>
    <row r="5606" spans="12:13" x14ac:dyDescent="0.2">
      <c r="L5606" s="12"/>
      <c r="M5606" s="13"/>
    </row>
    <row r="5607" spans="12:13" x14ac:dyDescent="0.2">
      <c r="L5607" s="12"/>
      <c r="M5607" s="13"/>
    </row>
    <row r="5608" spans="12:13" x14ac:dyDescent="0.2">
      <c r="L5608" s="12"/>
      <c r="M5608" s="13"/>
    </row>
    <row r="5609" spans="12:13" x14ac:dyDescent="0.2">
      <c r="L5609" s="12"/>
      <c r="M5609" s="13"/>
    </row>
    <row r="5610" spans="12:13" x14ac:dyDescent="0.2">
      <c r="L5610" s="12"/>
      <c r="M5610" s="13"/>
    </row>
    <row r="5611" spans="12:13" x14ac:dyDescent="0.2">
      <c r="L5611" s="12"/>
      <c r="M5611" s="13"/>
    </row>
    <row r="5612" spans="12:13" x14ac:dyDescent="0.2">
      <c r="L5612" s="12"/>
      <c r="M5612" s="13"/>
    </row>
    <row r="5613" spans="12:13" x14ac:dyDescent="0.2">
      <c r="L5613" s="12"/>
      <c r="M5613" s="13"/>
    </row>
    <row r="5614" spans="12:13" x14ac:dyDescent="0.2">
      <c r="L5614" s="12"/>
      <c r="M5614" s="13"/>
    </row>
    <row r="5615" spans="12:13" x14ac:dyDescent="0.2">
      <c r="L5615" s="12"/>
      <c r="M5615" s="13"/>
    </row>
    <row r="5616" spans="12:13" x14ac:dyDescent="0.2">
      <c r="L5616" s="12"/>
      <c r="M5616" s="13"/>
    </row>
    <row r="5617" spans="12:13" x14ac:dyDescent="0.2">
      <c r="L5617" s="12"/>
      <c r="M5617" s="13"/>
    </row>
    <row r="5618" spans="12:13" x14ac:dyDescent="0.2">
      <c r="L5618" s="12"/>
      <c r="M5618" s="13"/>
    </row>
    <row r="5619" spans="12:13" x14ac:dyDescent="0.2">
      <c r="L5619" s="12"/>
      <c r="M5619" s="13"/>
    </row>
    <row r="5620" spans="12:13" x14ac:dyDescent="0.2">
      <c r="L5620" s="12"/>
      <c r="M5620" s="13"/>
    </row>
    <row r="5621" spans="12:13" x14ac:dyDescent="0.2">
      <c r="L5621" s="12"/>
      <c r="M5621" s="13"/>
    </row>
    <row r="5622" spans="12:13" x14ac:dyDescent="0.2">
      <c r="L5622" s="12"/>
      <c r="M5622" s="13"/>
    </row>
    <row r="5623" spans="12:13" x14ac:dyDescent="0.2">
      <c r="L5623" s="12"/>
      <c r="M5623" s="13"/>
    </row>
    <row r="5624" spans="12:13" x14ac:dyDescent="0.2">
      <c r="L5624" s="12"/>
      <c r="M5624" s="13"/>
    </row>
    <row r="5625" spans="12:13" x14ac:dyDescent="0.2">
      <c r="L5625" s="12"/>
      <c r="M5625" s="13"/>
    </row>
    <row r="5626" spans="12:13" x14ac:dyDescent="0.2">
      <c r="L5626" s="12"/>
      <c r="M5626" s="13"/>
    </row>
    <row r="5627" spans="12:13" x14ac:dyDescent="0.2">
      <c r="L5627" s="12"/>
      <c r="M5627" s="13"/>
    </row>
    <row r="5628" spans="12:13" x14ac:dyDescent="0.2">
      <c r="L5628" s="12"/>
      <c r="M5628" s="13"/>
    </row>
    <row r="5629" spans="12:13" x14ac:dyDescent="0.2">
      <c r="L5629" s="12"/>
      <c r="M5629" s="13"/>
    </row>
    <row r="5630" spans="12:13" x14ac:dyDescent="0.2">
      <c r="L5630" s="12"/>
      <c r="M5630" s="13"/>
    </row>
    <row r="5631" spans="12:13" x14ac:dyDescent="0.2">
      <c r="L5631" s="12"/>
      <c r="M5631" s="13"/>
    </row>
    <row r="5632" spans="12:13" x14ac:dyDescent="0.2">
      <c r="L5632" s="12"/>
      <c r="M5632" s="13"/>
    </row>
    <row r="5633" spans="12:13" x14ac:dyDescent="0.2">
      <c r="L5633" s="12"/>
      <c r="M5633" s="13"/>
    </row>
    <row r="5634" spans="12:13" x14ac:dyDescent="0.2">
      <c r="L5634" s="17"/>
      <c r="M5634" s="18"/>
    </row>
    <row r="5635" spans="12:13" x14ac:dyDescent="0.2">
      <c r="L5635" s="12"/>
      <c r="M5635" s="13"/>
    </row>
    <row r="5636" spans="12:13" x14ac:dyDescent="0.2">
      <c r="L5636" s="12"/>
      <c r="M5636" s="13"/>
    </row>
    <row r="5637" spans="12:13" x14ac:dyDescent="0.2">
      <c r="L5637" s="12"/>
      <c r="M5637" s="13"/>
    </row>
    <row r="5638" spans="12:13" x14ac:dyDescent="0.2">
      <c r="L5638" s="12"/>
      <c r="M5638" s="13"/>
    </row>
    <row r="5639" spans="12:13" x14ac:dyDescent="0.2">
      <c r="L5639" s="12"/>
      <c r="M5639" s="13"/>
    </row>
    <row r="5640" spans="12:13" x14ac:dyDescent="0.2">
      <c r="L5640" s="12"/>
      <c r="M5640" s="13"/>
    </row>
    <row r="5641" spans="12:13" x14ac:dyDescent="0.2">
      <c r="L5641" s="12"/>
      <c r="M5641" s="13"/>
    </row>
    <row r="5642" spans="12:13" x14ac:dyDescent="0.2">
      <c r="L5642" s="12"/>
      <c r="M5642" s="13"/>
    </row>
    <row r="5643" spans="12:13" x14ac:dyDescent="0.2">
      <c r="L5643" s="12"/>
      <c r="M5643" s="13"/>
    </row>
    <row r="5644" spans="12:13" x14ac:dyDescent="0.2">
      <c r="L5644" s="12"/>
      <c r="M5644" s="13"/>
    </row>
    <row r="5645" spans="12:13" x14ac:dyDescent="0.2">
      <c r="L5645" s="12"/>
      <c r="M5645" s="13"/>
    </row>
    <row r="5646" spans="12:13" x14ac:dyDescent="0.2">
      <c r="L5646" s="12"/>
      <c r="M5646" s="13"/>
    </row>
    <row r="5647" spans="12:13" x14ac:dyDescent="0.2">
      <c r="L5647" s="12"/>
      <c r="M5647" s="13"/>
    </row>
    <row r="5648" spans="12:13" x14ac:dyDescent="0.2">
      <c r="L5648" s="12"/>
      <c r="M5648" s="13"/>
    </row>
    <row r="5649" spans="12:13" x14ac:dyDescent="0.2">
      <c r="L5649" s="12"/>
      <c r="M5649" s="13"/>
    </row>
    <row r="5650" spans="12:13" x14ac:dyDescent="0.2">
      <c r="L5650" s="12"/>
      <c r="M5650" s="13"/>
    </row>
    <row r="5651" spans="12:13" x14ac:dyDescent="0.2">
      <c r="L5651" s="12"/>
      <c r="M5651" s="13"/>
    </row>
    <row r="5652" spans="12:13" x14ac:dyDescent="0.2">
      <c r="L5652" s="12"/>
      <c r="M5652" s="13"/>
    </row>
    <row r="5653" spans="12:13" x14ac:dyDescent="0.2">
      <c r="L5653" s="12"/>
      <c r="M5653" s="13"/>
    </row>
    <row r="5654" spans="12:13" x14ac:dyDescent="0.2">
      <c r="L5654" s="12"/>
      <c r="M5654" s="13"/>
    </row>
    <row r="5655" spans="12:13" x14ac:dyDescent="0.2">
      <c r="L5655" s="12"/>
      <c r="M5655" s="13"/>
    </row>
    <row r="5656" spans="12:13" x14ac:dyDescent="0.2">
      <c r="L5656" s="12"/>
      <c r="M5656" s="13"/>
    </row>
    <row r="5657" spans="12:13" x14ac:dyDescent="0.2">
      <c r="L5657" s="12"/>
      <c r="M5657" s="13"/>
    </row>
    <row r="5658" spans="12:13" x14ac:dyDescent="0.2">
      <c r="L5658" s="12"/>
      <c r="M5658" s="13"/>
    </row>
    <row r="5659" spans="12:13" x14ac:dyDescent="0.2">
      <c r="L5659" s="12"/>
      <c r="M5659" s="13"/>
    </row>
    <row r="5660" spans="12:13" x14ac:dyDescent="0.2">
      <c r="L5660" s="12"/>
      <c r="M5660" s="13"/>
    </row>
    <row r="5661" spans="12:13" x14ac:dyDescent="0.2">
      <c r="L5661" s="12"/>
      <c r="M5661" s="13"/>
    </row>
    <row r="5662" spans="12:13" x14ac:dyDescent="0.2">
      <c r="L5662" s="12"/>
      <c r="M5662" s="13"/>
    </row>
    <row r="5663" spans="12:13" x14ac:dyDescent="0.2">
      <c r="L5663" s="12"/>
      <c r="M5663" s="13"/>
    </row>
    <row r="5664" spans="12:13" x14ac:dyDescent="0.2">
      <c r="L5664" s="12"/>
      <c r="M5664" s="13"/>
    </row>
    <row r="5665" spans="12:13" x14ac:dyDescent="0.2">
      <c r="L5665" s="12"/>
      <c r="M5665" s="13"/>
    </row>
    <row r="5666" spans="12:13" x14ac:dyDescent="0.2">
      <c r="L5666" s="12"/>
      <c r="M5666" s="13"/>
    </row>
    <row r="5667" spans="12:13" x14ac:dyDescent="0.2">
      <c r="L5667" s="12"/>
      <c r="M5667" s="13"/>
    </row>
    <row r="5668" spans="12:13" x14ac:dyDescent="0.2">
      <c r="L5668" s="12"/>
      <c r="M5668" s="13"/>
    </row>
    <row r="5669" spans="12:13" x14ac:dyDescent="0.2">
      <c r="L5669" s="12"/>
      <c r="M5669" s="13"/>
    </row>
    <row r="5670" spans="12:13" x14ac:dyDescent="0.2">
      <c r="L5670" s="12"/>
      <c r="M5670" s="13"/>
    </row>
    <row r="5671" spans="12:13" x14ac:dyDescent="0.2">
      <c r="L5671" s="12"/>
      <c r="M5671" s="13"/>
    </row>
    <row r="5672" spans="12:13" x14ac:dyDescent="0.2">
      <c r="L5672" s="12"/>
      <c r="M5672" s="13"/>
    </row>
    <row r="5673" spans="12:13" x14ac:dyDescent="0.2">
      <c r="L5673" s="12"/>
      <c r="M5673" s="13"/>
    </row>
    <row r="5674" spans="12:13" x14ac:dyDescent="0.2">
      <c r="L5674" s="12"/>
      <c r="M5674" s="13"/>
    </row>
    <row r="5675" spans="12:13" x14ac:dyDescent="0.2">
      <c r="L5675" s="12"/>
      <c r="M5675" s="13"/>
    </row>
    <row r="5676" spans="12:13" x14ac:dyDescent="0.2">
      <c r="L5676" s="12"/>
      <c r="M5676" s="13"/>
    </row>
    <row r="5677" spans="12:13" x14ac:dyDescent="0.2">
      <c r="L5677" s="12"/>
      <c r="M5677" s="13"/>
    </row>
    <row r="5678" spans="12:13" x14ac:dyDescent="0.2">
      <c r="L5678" s="12"/>
      <c r="M5678" s="13"/>
    </row>
    <row r="5679" spans="12:13" x14ac:dyDescent="0.2">
      <c r="L5679" s="12"/>
      <c r="M5679" s="13"/>
    </row>
    <row r="5680" spans="12:13" x14ac:dyDescent="0.2">
      <c r="L5680" s="12"/>
      <c r="M5680" s="13"/>
    </row>
    <row r="5681" spans="12:13" x14ac:dyDescent="0.2">
      <c r="L5681" s="12"/>
      <c r="M5681" s="13"/>
    </row>
    <row r="5682" spans="12:13" x14ac:dyDescent="0.2">
      <c r="L5682" s="12"/>
      <c r="M5682" s="13"/>
    </row>
    <row r="5683" spans="12:13" x14ac:dyDescent="0.2">
      <c r="L5683" s="12"/>
      <c r="M5683" s="13"/>
    </row>
    <row r="5684" spans="12:13" x14ac:dyDescent="0.2">
      <c r="L5684" s="12"/>
      <c r="M5684" s="13"/>
    </row>
    <row r="5685" spans="12:13" x14ac:dyDescent="0.2">
      <c r="L5685" s="12"/>
      <c r="M5685" s="13"/>
    </row>
    <row r="5686" spans="12:13" x14ac:dyDescent="0.2">
      <c r="L5686" s="12"/>
      <c r="M5686" s="13"/>
    </row>
    <row r="5687" spans="12:13" x14ac:dyDescent="0.2">
      <c r="L5687" s="12"/>
      <c r="M5687" s="13"/>
    </row>
    <row r="5688" spans="12:13" x14ac:dyDescent="0.2">
      <c r="L5688" s="12"/>
      <c r="M5688" s="13"/>
    </row>
    <row r="5689" spans="12:13" x14ac:dyDescent="0.2">
      <c r="L5689" s="12"/>
      <c r="M5689" s="13"/>
    </row>
    <row r="5690" spans="12:13" x14ac:dyDescent="0.2">
      <c r="L5690" s="12"/>
      <c r="M5690" s="13"/>
    </row>
    <row r="5691" spans="12:13" x14ac:dyDescent="0.2">
      <c r="L5691" s="12"/>
      <c r="M5691" s="13"/>
    </row>
    <row r="5692" spans="12:13" x14ac:dyDescent="0.2">
      <c r="L5692" s="12"/>
      <c r="M5692" s="13"/>
    </row>
    <row r="5693" spans="12:13" x14ac:dyDescent="0.2">
      <c r="L5693" s="12"/>
      <c r="M5693" s="13"/>
    </row>
    <row r="5694" spans="12:13" x14ac:dyDescent="0.2">
      <c r="L5694" s="12"/>
      <c r="M5694" s="13"/>
    </row>
    <row r="5695" spans="12:13" x14ac:dyDescent="0.2">
      <c r="L5695" s="12"/>
      <c r="M5695" s="13"/>
    </row>
    <row r="5696" spans="12:13" x14ac:dyDescent="0.2">
      <c r="L5696" s="12"/>
      <c r="M5696" s="13"/>
    </row>
    <row r="5697" spans="12:13" x14ac:dyDescent="0.2">
      <c r="L5697" s="12"/>
      <c r="M5697" s="13"/>
    </row>
    <row r="5698" spans="12:13" x14ac:dyDescent="0.2">
      <c r="L5698" s="12"/>
      <c r="M5698" s="13"/>
    </row>
    <row r="5699" spans="12:13" x14ac:dyDescent="0.2">
      <c r="L5699" s="12"/>
      <c r="M5699" s="13"/>
    </row>
    <row r="5700" spans="12:13" x14ac:dyDescent="0.2">
      <c r="L5700" s="12"/>
      <c r="M5700" s="13"/>
    </row>
    <row r="5701" spans="12:13" x14ac:dyDescent="0.2">
      <c r="L5701" s="12"/>
      <c r="M5701" s="13"/>
    </row>
    <row r="5702" spans="12:13" x14ac:dyDescent="0.2">
      <c r="L5702" s="12"/>
      <c r="M5702" s="13"/>
    </row>
    <row r="5703" spans="12:13" x14ac:dyDescent="0.2">
      <c r="L5703" s="12"/>
      <c r="M5703" s="13"/>
    </row>
    <row r="5704" spans="12:13" x14ac:dyDescent="0.2">
      <c r="L5704" s="12"/>
      <c r="M5704" s="13"/>
    </row>
    <row r="5705" spans="12:13" x14ac:dyDescent="0.2">
      <c r="L5705" s="12"/>
      <c r="M5705" s="13"/>
    </row>
    <row r="5706" spans="12:13" x14ac:dyDescent="0.2">
      <c r="L5706" s="12"/>
      <c r="M5706" s="13"/>
    </row>
    <row r="5707" spans="12:13" x14ac:dyDescent="0.2">
      <c r="L5707" s="12"/>
      <c r="M5707" s="13"/>
    </row>
    <row r="5708" spans="12:13" x14ac:dyDescent="0.2">
      <c r="L5708" s="12"/>
      <c r="M5708" s="13"/>
    </row>
    <row r="5709" spans="12:13" x14ac:dyDescent="0.2">
      <c r="L5709" s="12"/>
      <c r="M5709" s="13"/>
    </row>
    <row r="5710" spans="12:13" x14ac:dyDescent="0.2">
      <c r="L5710" s="12"/>
      <c r="M5710" s="13"/>
    </row>
    <row r="5711" spans="12:13" x14ac:dyDescent="0.2">
      <c r="L5711" s="12"/>
      <c r="M5711" s="13"/>
    </row>
    <row r="5712" spans="12:13" x14ac:dyDescent="0.2">
      <c r="L5712" s="12"/>
      <c r="M5712" s="13"/>
    </row>
    <row r="5713" spans="12:13" x14ac:dyDescent="0.2">
      <c r="L5713" s="12"/>
      <c r="M5713" s="13"/>
    </row>
    <row r="5714" spans="12:13" x14ac:dyDescent="0.2">
      <c r="L5714" s="12"/>
      <c r="M5714" s="13"/>
    </row>
    <row r="5715" spans="12:13" x14ac:dyDescent="0.2">
      <c r="L5715" s="12"/>
      <c r="M5715" s="13"/>
    </row>
    <row r="5716" spans="12:13" x14ac:dyDescent="0.2">
      <c r="L5716" s="12"/>
      <c r="M5716" s="13"/>
    </row>
    <row r="5717" spans="12:13" x14ac:dyDescent="0.2">
      <c r="L5717" s="12"/>
      <c r="M5717" s="13"/>
    </row>
    <row r="5718" spans="12:13" x14ac:dyDescent="0.2">
      <c r="L5718" s="12"/>
      <c r="M5718" s="13"/>
    </row>
    <row r="5719" spans="12:13" x14ac:dyDescent="0.2">
      <c r="L5719" s="12"/>
      <c r="M5719" s="13"/>
    </row>
    <row r="5720" spans="12:13" x14ac:dyDescent="0.2">
      <c r="L5720" s="12"/>
      <c r="M5720" s="13"/>
    </row>
    <row r="5721" spans="12:13" x14ac:dyDescent="0.2">
      <c r="L5721" s="12"/>
      <c r="M5721" s="13"/>
    </row>
    <row r="5722" spans="12:13" x14ac:dyDescent="0.2">
      <c r="L5722" s="12"/>
      <c r="M5722" s="13"/>
    </row>
    <row r="5723" spans="12:13" x14ac:dyDescent="0.2">
      <c r="L5723" s="12"/>
      <c r="M5723" s="13"/>
    </row>
    <row r="5724" spans="12:13" x14ac:dyDescent="0.2">
      <c r="L5724" s="12"/>
      <c r="M5724" s="13"/>
    </row>
    <row r="5725" spans="12:13" x14ac:dyDescent="0.2">
      <c r="L5725" s="12"/>
      <c r="M5725" s="13"/>
    </row>
    <row r="5726" spans="12:13" x14ac:dyDescent="0.2">
      <c r="L5726" s="12"/>
      <c r="M5726" s="13"/>
    </row>
    <row r="5727" spans="12:13" x14ac:dyDescent="0.2">
      <c r="L5727" s="12"/>
      <c r="M5727" s="13"/>
    </row>
    <row r="5728" spans="12:13" x14ac:dyDescent="0.2">
      <c r="L5728" s="12"/>
      <c r="M5728" s="13"/>
    </row>
    <row r="5729" spans="12:13" x14ac:dyDescent="0.2">
      <c r="L5729" s="12"/>
      <c r="M5729" s="13"/>
    </row>
    <row r="5730" spans="12:13" x14ac:dyDescent="0.2">
      <c r="L5730" s="12"/>
      <c r="M5730" s="13"/>
    </row>
    <row r="5731" spans="12:13" x14ac:dyDescent="0.2">
      <c r="L5731" s="12"/>
      <c r="M5731" s="13"/>
    </row>
    <row r="5732" spans="12:13" x14ac:dyDescent="0.2">
      <c r="L5732" s="12"/>
      <c r="M5732" s="13"/>
    </row>
    <row r="5733" spans="12:13" x14ac:dyDescent="0.2">
      <c r="L5733" s="12"/>
      <c r="M5733" s="13"/>
    </row>
    <row r="5734" spans="12:13" x14ac:dyDescent="0.2">
      <c r="L5734" s="12"/>
      <c r="M5734" s="13"/>
    </row>
    <row r="5735" spans="12:13" x14ac:dyDescent="0.2">
      <c r="L5735" s="12"/>
      <c r="M5735" s="13"/>
    </row>
    <row r="5736" spans="12:13" x14ac:dyDescent="0.2">
      <c r="L5736" s="12"/>
      <c r="M5736" s="13"/>
    </row>
    <row r="5737" spans="12:13" x14ac:dyDescent="0.2">
      <c r="L5737" s="12"/>
      <c r="M5737" s="13"/>
    </row>
    <row r="5738" spans="12:13" x14ac:dyDescent="0.2">
      <c r="L5738" s="12"/>
      <c r="M5738" s="13"/>
    </row>
    <row r="5739" spans="12:13" x14ac:dyDescent="0.2">
      <c r="L5739" s="12"/>
      <c r="M5739" s="13"/>
    </row>
    <row r="5740" spans="12:13" x14ac:dyDescent="0.2">
      <c r="L5740" s="12"/>
      <c r="M5740" s="13"/>
    </row>
    <row r="5741" spans="12:13" x14ac:dyDescent="0.2">
      <c r="L5741" s="12"/>
      <c r="M5741" s="13"/>
    </row>
    <row r="5742" spans="12:13" x14ac:dyDescent="0.2">
      <c r="L5742" s="12"/>
      <c r="M5742" s="13"/>
    </row>
    <row r="5743" spans="12:13" x14ac:dyDescent="0.2">
      <c r="L5743" s="12"/>
      <c r="M5743" s="13"/>
    </row>
    <row r="5744" spans="12:13" x14ac:dyDescent="0.2">
      <c r="L5744" s="12"/>
      <c r="M5744" s="13"/>
    </row>
    <row r="5745" spans="12:13" x14ac:dyDescent="0.2">
      <c r="L5745" s="12"/>
      <c r="M5745" s="13"/>
    </row>
    <row r="5746" spans="12:13" x14ac:dyDescent="0.2">
      <c r="L5746" s="12"/>
      <c r="M5746" s="13"/>
    </row>
    <row r="5747" spans="12:13" x14ac:dyDescent="0.2">
      <c r="L5747" s="12"/>
      <c r="M5747" s="13"/>
    </row>
    <row r="5748" spans="12:13" x14ac:dyDescent="0.2">
      <c r="L5748" s="12"/>
      <c r="M5748" s="13"/>
    </row>
    <row r="5749" spans="12:13" x14ac:dyDescent="0.2">
      <c r="L5749" s="12"/>
      <c r="M5749" s="13"/>
    </row>
    <row r="5750" spans="12:13" x14ac:dyDescent="0.2">
      <c r="L5750" s="12"/>
      <c r="M5750" s="13"/>
    </row>
    <row r="5751" spans="12:13" x14ac:dyDescent="0.2">
      <c r="L5751" s="12"/>
      <c r="M5751" s="13"/>
    </row>
    <row r="5752" spans="12:13" x14ac:dyDescent="0.2">
      <c r="L5752" s="12"/>
      <c r="M5752" s="13"/>
    </row>
    <row r="5753" spans="12:13" x14ac:dyDescent="0.2">
      <c r="L5753" s="12"/>
      <c r="M5753" s="13"/>
    </row>
    <row r="5754" spans="12:13" x14ac:dyDescent="0.2">
      <c r="L5754" s="12"/>
      <c r="M5754" s="13"/>
    </row>
    <row r="5755" spans="12:13" x14ac:dyDescent="0.2">
      <c r="L5755" s="12"/>
      <c r="M5755" s="13"/>
    </row>
    <row r="5756" spans="12:13" x14ac:dyDescent="0.2">
      <c r="L5756" s="12"/>
      <c r="M5756" s="13"/>
    </row>
    <row r="5757" spans="12:13" x14ac:dyDescent="0.2">
      <c r="L5757" s="12"/>
      <c r="M5757" s="13"/>
    </row>
    <row r="5758" spans="12:13" x14ac:dyDescent="0.2">
      <c r="L5758" s="12"/>
      <c r="M5758" s="13"/>
    </row>
    <row r="5759" spans="12:13" x14ac:dyDescent="0.2">
      <c r="L5759" s="12"/>
      <c r="M5759" s="13"/>
    </row>
    <row r="5760" spans="12:13" x14ac:dyDescent="0.2">
      <c r="L5760" s="12"/>
      <c r="M5760" s="13"/>
    </row>
    <row r="5761" spans="12:13" x14ac:dyDescent="0.2">
      <c r="L5761" s="12"/>
      <c r="M5761" s="13"/>
    </row>
    <row r="5762" spans="12:13" x14ac:dyDescent="0.2">
      <c r="L5762" s="12"/>
      <c r="M5762" s="13"/>
    </row>
    <row r="5763" spans="12:13" x14ac:dyDescent="0.2">
      <c r="L5763" s="12"/>
      <c r="M5763" s="13"/>
    </row>
    <row r="5764" spans="12:13" x14ac:dyDescent="0.2">
      <c r="L5764" s="12"/>
      <c r="M5764" s="13"/>
    </row>
    <row r="5765" spans="12:13" x14ac:dyDescent="0.2">
      <c r="L5765" s="12"/>
      <c r="M5765" s="13"/>
    </row>
    <row r="5766" spans="12:13" x14ac:dyDescent="0.2">
      <c r="L5766" s="12"/>
      <c r="M5766" s="13"/>
    </row>
    <row r="5767" spans="12:13" x14ac:dyDescent="0.2">
      <c r="L5767" s="12"/>
      <c r="M5767" s="13"/>
    </row>
    <row r="5768" spans="12:13" x14ac:dyDescent="0.2">
      <c r="L5768" s="12"/>
      <c r="M5768" s="13"/>
    </row>
    <row r="5769" spans="12:13" x14ac:dyDescent="0.2">
      <c r="L5769" s="12"/>
      <c r="M5769" s="13"/>
    </row>
    <row r="5770" spans="12:13" x14ac:dyDescent="0.2">
      <c r="L5770" s="12"/>
      <c r="M5770" s="13"/>
    </row>
    <row r="5771" spans="12:13" x14ac:dyDescent="0.2">
      <c r="L5771" s="12"/>
      <c r="M5771" s="13"/>
    </row>
    <row r="5772" spans="12:13" x14ac:dyDescent="0.2">
      <c r="L5772" s="12"/>
      <c r="M5772" s="13"/>
    </row>
    <row r="5773" spans="12:13" x14ac:dyDescent="0.2">
      <c r="L5773" s="12"/>
      <c r="M5773" s="13"/>
    </row>
    <row r="5774" spans="12:13" x14ac:dyDescent="0.2">
      <c r="L5774" s="12"/>
      <c r="M5774" s="13"/>
    </row>
    <row r="5775" spans="12:13" x14ac:dyDescent="0.2">
      <c r="L5775" s="12"/>
      <c r="M5775" s="13"/>
    </row>
    <row r="5776" spans="12:13" x14ac:dyDescent="0.2">
      <c r="L5776" s="12"/>
      <c r="M5776" s="13"/>
    </row>
    <row r="5777" spans="12:13" x14ac:dyDescent="0.2">
      <c r="L5777" s="12"/>
      <c r="M5777" s="13"/>
    </row>
    <row r="5778" spans="12:13" x14ac:dyDescent="0.2">
      <c r="L5778" s="12"/>
      <c r="M5778" s="13"/>
    </row>
    <row r="5779" spans="12:13" x14ac:dyDescent="0.2">
      <c r="L5779" s="12"/>
      <c r="M5779" s="13"/>
    </row>
    <row r="5780" spans="12:13" x14ac:dyDescent="0.2">
      <c r="L5780" s="12"/>
      <c r="M5780" s="13"/>
    </row>
    <row r="5781" spans="12:13" x14ac:dyDescent="0.2">
      <c r="L5781" s="12"/>
      <c r="M5781" s="13"/>
    </row>
    <row r="5782" spans="12:13" x14ac:dyDescent="0.2">
      <c r="L5782" s="12"/>
      <c r="M5782" s="13"/>
    </row>
    <row r="5783" spans="12:13" x14ac:dyDescent="0.2">
      <c r="L5783" s="12"/>
      <c r="M5783" s="13"/>
    </row>
    <row r="5784" spans="12:13" x14ac:dyDescent="0.2">
      <c r="L5784" s="12"/>
      <c r="M5784" s="13"/>
    </row>
    <row r="5785" spans="12:13" x14ac:dyDescent="0.2">
      <c r="L5785" s="12"/>
      <c r="M5785" s="13"/>
    </row>
    <row r="5786" spans="12:13" x14ac:dyDescent="0.2">
      <c r="L5786" s="12"/>
      <c r="M5786" s="13"/>
    </row>
    <row r="5787" spans="12:13" x14ac:dyDescent="0.2">
      <c r="L5787" s="12"/>
      <c r="M5787" s="13"/>
    </row>
    <row r="5788" spans="12:13" x14ac:dyDescent="0.2">
      <c r="L5788" s="12"/>
      <c r="M5788" s="13"/>
    </row>
    <row r="5789" spans="12:13" x14ac:dyDescent="0.2">
      <c r="L5789" s="12"/>
      <c r="M5789" s="13"/>
    </row>
    <row r="5790" spans="12:13" x14ac:dyDescent="0.2">
      <c r="L5790" s="12"/>
      <c r="M5790" s="13"/>
    </row>
    <row r="5791" spans="12:13" x14ac:dyDescent="0.2">
      <c r="L5791" s="12"/>
      <c r="M5791" s="13"/>
    </row>
    <row r="5792" spans="12:13" x14ac:dyDescent="0.2">
      <c r="L5792" s="12"/>
      <c r="M5792" s="13"/>
    </row>
    <row r="5793" spans="12:13" x14ac:dyDescent="0.2">
      <c r="L5793" s="12"/>
      <c r="M5793" s="13"/>
    </row>
    <row r="5794" spans="12:13" x14ac:dyDescent="0.2">
      <c r="L5794" s="12"/>
      <c r="M5794" s="13"/>
    </row>
    <row r="5795" spans="12:13" x14ac:dyDescent="0.2">
      <c r="L5795" s="12"/>
      <c r="M5795" s="13"/>
    </row>
    <row r="5796" spans="12:13" x14ac:dyDescent="0.2">
      <c r="L5796" s="12"/>
      <c r="M5796" s="13"/>
    </row>
    <row r="5797" spans="12:13" x14ac:dyDescent="0.2">
      <c r="L5797" s="12"/>
      <c r="M5797" s="13"/>
    </row>
    <row r="5798" spans="12:13" x14ac:dyDescent="0.2">
      <c r="L5798" s="12"/>
      <c r="M5798" s="13"/>
    </row>
    <row r="5799" spans="12:13" x14ac:dyDescent="0.2">
      <c r="L5799" s="12"/>
      <c r="M5799" s="13"/>
    </row>
    <row r="5800" spans="12:13" x14ac:dyDescent="0.2">
      <c r="L5800" s="12"/>
      <c r="M5800" s="13"/>
    </row>
    <row r="5801" spans="12:13" x14ac:dyDescent="0.2">
      <c r="L5801" s="12"/>
      <c r="M5801" s="13"/>
    </row>
    <row r="5802" spans="12:13" x14ac:dyDescent="0.2">
      <c r="L5802" s="12"/>
      <c r="M5802" s="13"/>
    </row>
    <row r="5803" spans="12:13" x14ac:dyDescent="0.2">
      <c r="L5803" s="12"/>
      <c r="M5803" s="13"/>
    </row>
    <row r="5804" spans="12:13" x14ac:dyDescent="0.2">
      <c r="L5804" s="12"/>
      <c r="M5804" s="13"/>
    </row>
    <row r="5805" spans="12:13" x14ac:dyDescent="0.2">
      <c r="L5805" s="12"/>
      <c r="M5805" s="13"/>
    </row>
    <row r="5806" spans="12:13" x14ac:dyDescent="0.2">
      <c r="L5806" s="12"/>
      <c r="M5806" s="13"/>
    </row>
    <row r="5807" spans="12:13" x14ac:dyDescent="0.2">
      <c r="L5807" s="12"/>
      <c r="M5807" s="13"/>
    </row>
    <row r="5808" spans="12:13" x14ac:dyDescent="0.2">
      <c r="L5808" s="12"/>
      <c r="M5808" s="13"/>
    </row>
    <row r="5809" spans="12:13" x14ac:dyDescent="0.2">
      <c r="L5809" s="12"/>
      <c r="M5809" s="13"/>
    </row>
    <row r="5810" spans="12:13" x14ac:dyDescent="0.2">
      <c r="L5810" s="12"/>
      <c r="M5810" s="13"/>
    </row>
    <row r="5811" spans="12:13" x14ac:dyDescent="0.2">
      <c r="L5811" s="12"/>
      <c r="M5811" s="13"/>
    </row>
    <row r="5812" spans="12:13" x14ac:dyDescent="0.2">
      <c r="L5812" s="12"/>
      <c r="M5812" s="13"/>
    </row>
    <row r="5813" spans="12:13" x14ac:dyDescent="0.2">
      <c r="L5813" s="12"/>
      <c r="M5813" s="13"/>
    </row>
    <row r="5814" spans="12:13" x14ac:dyDescent="0.2">
      <c r="L5814" s="12"/>
      <c r="M5814" s="13"/>
    </row>
    <row r="5815" spans="12:13" x14ac:dyDescent="0.2">
      <c r="L5815" s="12"/>
      <c r="M5815" s="13"/>
    </row>
    <row r="5816" spans="12:13" x14ac:dyDescent="0.2">
      <c r="L5816" s="12"/>
      <c r="M5816" s="13"/>
    </row>
    <row r="5817" spans="12:13" x14ac:dyDescent="0.2">
      <c r="L5817" s="12"/>
      <c r="M5817" s="13"/>
    </row>
    <row r="5818" spans="12:13" x14ac:dyDescent="0.2">
      <c r="L5818" s="12"/>
      <c r="M5818" s="13"/>
    </row>
    <row r="5819" spans="12:13" x14ac:dyDescent="0.2">
      <c r="L5819" s="12"/>
      <c r="M5819" s="13"/>
    </row>
    <row r="5820" spans="12:13" x14ac:dyDescent="0.2">
      <c r="L5820" s="12"/>
      <c r="M5820" s="13"/>
    </row>
    <row r="5821" spans="12:13" x14ac:dyDescent="0.2">
      <c r="L5821" s="12"/>
      <c r="M5821" s="13"/>
    </row>
    <row r="5822" spans="12:13" x14ac:dyDescent="0.2">
      <c r="L5822" s="12"/>
      <c r="M5822" s="13"/>
    </row>
    <row r="5823" spans="12:13" x14ac:dyDescent="0.2">
      <c r="L5823" s="12"/>
      <c r="M5823" s="13"/>
    </row>
    <row r="5824" spans="12:13" x14ac:dyDescent="0.2">
      <c r="L5824" s="12"/>
      <c r="M5824" s="13"/>
    </row>
    <row r="5825" spans="12:13" x14ac:dyDescent="0.2">
      <c r="L5825" s="12"/>
      <c r="M5825" s="13"/>
    </row>
    <row r="5826" spans="12:13" x14ac:dyDescent="0.2">
      <c r="L5826" s="12"/>
      <c r="M5826" s="13"/>
    </row>
    <row r="5827" spans="12:13" x14ac:dyDescent="0.2">
      <c r="L5827" s="12"/>
      <c r="M5827" s="13"/>
    </row>
    <row r="5828" spans="12:13" x14ac:dyDescent="0.2">
      <c r="L5828" s="12"/>
      <c r="M5828" s="13"/>
    </row>
    <row r="5829" spans="12:13" x14ac:dyDescent="0.2">
      <c r="L5829" s="12"/>
      <c r="M5829" s="13"/>
    </row>
    <row r="5830" spans="12:13" x14ac:dyDescent="0.2">
      <c r="L5830" s="12"/>
      <c r="M5830" s="13"/>
    </row>
    <row r="5831" spans="12:13" x14ac:dyDescent="0.2">
      <c r="L5831" s="12"/>
      <c r="M5831" s="13"/>
    </row>
    <row r="5832" spans="12:13" x14ac:dyDescent="0.2">
      <c r="L5832" s="12"/>
      <c r="M5832" s="13"/>
    </row>
    <row r="5833" spans="12:13" x14ac:dyDescent="0.2">
      <c r="L5833" s="12"/>
      <c r="M5833" s="13"/>
    </row>
    <row r="5834" spans="12:13" x14ac:dyDescent="0.2">
      <c r="L5834" s="12"/>
      <c r="M5834" s="13"/>
    </row>
    <row r="5835" spans="12:13" x14ac:dyDescent="0.2">
      <c r="L5835" s="12"/>
      <c r="M5835" s="13"/>
    </row>
    <row r="5836" spans="12:13" x14ac:dyDescent="0.2">
      <c r="L5836" s="12"/>
      <c r="M5836" s="13"/>
    </row>
    <row r="5837" spans="12:13" x14ac:dyDescent="0.2">
      <c r="L5837" s="12"/>
      <c r="M5837" s="13"/>
    </row>
    <row r="5838" spans="12:13" x14ac:dyDescent="0.2">
      <c r="L5838" s="12"/>
      <c r="M5838" s="13"/>
    </row>
    <row r="5839" spans="12:13" x14ac:dyDescent="0.2">
      <c r="L5839" s="12"/>
      <c r="M5839" s="13"/>
    </row>
    <row r="5840" spans="12:13" x14ac:dyDescent="0.2">
      <c r="L5840" s="12"/>
      <c r="M5840" s="13"/>
    </row>
    <row r="5841" spans="12:13" x14ac:dyDescent="0.2">
      <c r="L5841" s="12"/>
      <c r="M5841" s="13"/>
    </row>
    <row r="5842" spans="12:13" x14ac:dyDescent="0.2">
      <c r="L5842" s="12"/>
      <c r="M5842" s="13"/>
    </row>
    <row r="5843" spans="12:13" x14ac:dyDescent="0.2">
      <c r="L5843" s="12"/>
      <c r="M5843" s="13"/>
    </row>
    <row r="5844" spans="12:13" x14ac:dyDescent="0.2">
      <c r="L5844" s="12"/>
      <c r="M5844" s="13"/>
    </row>
    <row r="5845" spans="12:13" x14ac:dyDescent="0.2">
      <c r="L5845" s="12"/>
      <c r="M5845" s="13"/>
    </row>
    <row r="5846" spans="12:13" x14ac:dyDescent="0.2">
      <c r="L5846" s="12"/>
      <c r="M5846" s="13"/>
    </row>
    <row r="5847" spans="12:13" x14ac:dyDescent="0.2">
      <c r="L5847" s="12"/>
      <c r="M5847" s="13"/>
    </row>
    <row r="5848" spans="12:13" x14ac:dyDescent="0.2">
      <c r="L5848" s="12"/>
      <c r="M5848" s="13"/>
    </row>
    <row r="5849" spans="12:13" x14ac:dyDescent="0.2">
      <c r="L5849" s="12"/>
      <c r="M5849" s="13"/>
    </row>
    <row r="5850" spans="12:13" x14ac:dyDescent="0.2">
      <c r="L5850" s="12"/>
      <c r="M5850" s="13"/>
    </row>
    <row r="5851" spans="12:13" x14ac:dyDescent="0.2">
      <c r="L5851" s="12"/>
      <c r="M5851" s="13"/>
    </row>
    <row r="5852" spans="12:13" x14ac:dyDescent="0.2">
      <c r="L5852" s="12"/>
      <c r="M5852" s="13"/>
    </row>
    <row r="5853" spans="12:13" x14ac:dyDescent="0.2">
      <c r="L5853" s="12"/>
      <c r="M5853" s="13"/>
    </row>
    <row r="5854" spans="12:13" x14ac:dyDescent="0.2">
      <c r="L5854" s="12"/>
      <c r="M5854" s="13"/>
    </row>
    <row r="5855" spans="12:13" x14ac:dyDescent="0.2">
      <c r="L5855" s="12"/>
      <c r="M5855" s="13"/>
    </row>
    <row r="5856" spans="12:13" x14ac:dyDescent="0.2">
      <c r="L5856" s="12"/>
      <c r="M5856" s="13"/>
    </row>
    <row r="5857" spans="12:13" x14ac:dyDescent="0.2">
      <c r="L5857" s="12"/>
      <c r="M5857" s="13"/>
    </row>
    <row r="5858" spans="12:13" x14ac:dyDescent="0.2">
      <c r="L5858" s="12"/>
      <c r="M5858" s="13"/>
    </row>
    <row r="5859" spans="12:13" x14ac:dyDescent="0.2">
      <c r="L5859" s="12"/>
      <c r="M5859" s="13"/>
    </row>
    <row r="5860" spans="12:13" x14ac:dyDescent="0.2">
      <c r="L5860" s="12"/>
      <c r="M5860" s="13"/>
    </row>
    <row r="5861" spans="12:13" x14ac:dyDescent="0.2">
      <c r="L5861" s="12"/>
      <c r="M5861" s="13"/>
    </row>
    <row r="5862" spans="12:13" x14ac:dyDescent="0.2">
      <c r="L5862" s="12"/>
      <c r="M5862" s="13"/>
    </row>
    <row r="5863" spans="12:13" x14ac:dyDescent="0.2">
      <c r="L5863" s="12"/>
      <c r="M5863" s="13"/>
    </row>
    <row r="5864" spans="12:13" x14ac:dyDescent="0.2">
      <c r="L5864" s="12"/>
      <c r="M5864" s="13"/>
    </row>
    <row r="5865" spans="12:13" x14ac:dyDescent="0.2">
      <c r="L5865" s="12"/>
      <c r="M5865" s="13"/>
    </row>
    <row r="5866" spans="12:13" x14ac:dyDescent="0.2">
      <c r="L5866" s="12"/>
      <c r="M5866" s="13"/>
    </row>
    <row r="5867" spans="12:13" x14ac:dyDescent="0.2">
      <c r="L5867" s="12"/>
      <c r="M5867" s="13"/>
    </row>
    <row r="5868" spans="12:13" x14ac:dyDescent="0.2">
      <c r="L5868" s="12"/>
      <c r="M5868" s="13"/>
    </row>
    <row r="5869" spans="12:13" x14ac:dyDescent="0.2">
      <c r="L5869" s="12"/>
      <c r="M5869" s="13"/>
    </row>
    <row r="5870" spans="12:13" x14ac:dyDescent="0.2">
      <c r="L5870" s="12"/>
      <c r="M5870" s="13"/>
    </row>
    <row r="5871" spans="12:13" x14ac:dyDescent="0.2">
      <c r="L5871" s="12"/>
      <c r="M5871" s="13"/>
    </row>
    <row r="5872" spans="12:13" x14ac:dyDescent="0.2">
      <c r="L5872" s="12"/>
      <c r="M5872" s="13"/>
    </row>
    <row r="5873" spans="12:13" x14ac:dyDescent="0.2">
      <c r="L5873" s="12"/>
      <c r="M5873" s="13"/>
    </row>
    <row r="5874" spans="12:13" x14ac:dyDescent="0.2">
      <c r="L5874" s="12"/>
      <c r="M5874" s="13"/>
    </row>
    <row r="5875" spans="12:13" x14ac:dyDescent="0.2">
      <c r="L5875" s="12"/>
      <c r="M5875" s="13"/>
    </row>
    <row r="5876" spans="12:13" x14ac:dyDescent="0.2">
      <c r="L5876" s="12"/>
      <c r="M5876" s="13"/>
    </row>
    <row r="5877" spans="12:13" x14ac:dyDescent="0.2">
      <c r="L5877" s="12"/>
      <c r="M5877" s="13"/>
    </row>
    <row r="5878" spans="12:13" x14ac:dyDescent="0.2">
      <c r="L5878" s="12"/>
      <c r="M5878" s="13"/>
    </row>
    <row r="5879" spans="12:13" x14ac:dyDescent="0.2">
      <c r="L5879" s="12"/>
      <c r="M5879" s="13"/>
    </row>
    <row r="5880" spans="12:13" x14ac:dyDescent="0.2">
      <c r="L5880" s="12"/>
      <c r="M5880" s="13"/>
    </row>
    <row r="5881" spans="12:13" x14ac:dyDescent="0.2">
      <c r="L5881" s="12"/>
      <c r="M5881" s="13"/>
    </row>
    <row r="5882" spans="12:13" x14ac:dyDescent="0.2">
      <c r="L5882" s="12"/>
      <c r="M5882" s="13"/>
    </row>
    <row r="5883" spans="12:13" x14ac:dyDescent="0.2">
      <c r="L5883" s="12"/>
      <c r="M5883" s="13"/>
    </row>
    <row r="5884" spans="12:13" x14ac:dyDescent="0.2">
      <c r="L5884" s="12"/>
      <c r="M5884" s="13"/>
    </row>
    <row r="5885" spans="12:13" x14ac:dyDescent="0.2">
      <c r="L5885" s="12"/>
      <c r="M5885" s="13"/>
    </row>
    <row r="5886" spans="12:13" x14ac:dyDescent="0.2">
      <c r="L5886" s="12"/>
      <c r="M5886" s="13"/>
    </row>
    <row r="5887" spans="12:13" x14ac:dyDescent="0.2">
      <c r="L5887" s="12"/>
      <c r="M5887" s="13"/>
    </row>
    <row r="5888" spans="12:13" x14ac:dyDescent="0.2">
      <c r="L5888" s="12"/>
      <c r="M5888" s="13"/>
    </row>
    <row r="5889" spans="12:13" x14ac:dyDescent="0.2">
      <c r="L5889" s="12"/>
      <c r="M5889" s="13"/>
    </row>
    <row r="5890" spans="12:13" x14ac:dyDescent="0.2">
      <c r="L5890" s="17"/>
      <c r="M5890" s="18"/>
    </row>
    <row r="5891" spans="12:13" x14ac:dyDescent="0.2">
      <c r="L5891" s="12"/>
      <c r="M5891" s="13"/>
    </row>
    <row r="5892" spans="12:13" x14ac:dyDescent="0.2">
      <c r="L5892" s="12"/>
      <c r="M5892" s="13"/>
    </row>
    <row r="5893" spans="12:13" x14ac:dyDescent="0.2">
      <c r="L5893" s="12"/>
      <c r="M5893" s="13"/>
    </row>
    <row r="5894" spans="12:13" x14ac:dyDescent="0.2">
      <c r="L5894" s="12"/>
      <c r="M5894" s="13"/>
    </row>
    <row r="5895" spans="12:13" x14ac:dyDescent="0.2">
      <c r="L5895" s="12"/>
      <c r="M5895" s="13"/>
    </row>
    <row r="5896" spans="12:13" x14ac:dyDescent="0.2">
      <c r="L5896" s="12"/>
      <c r="M5896" s="13"/>
    </row>
    <row r="5897" spans="12:13" x14ac:dyDescent="0.2">
      <c r="L5897" s="12"/>
      <c r="M5897" s="13"/>
    </row>
    <row r="5898" spans="12:13" x14ac:dyDescent="0.2">
      <c r="L5898" s="12"/>
      <c r="M5898" s="13"/>
    </row>
    <row r="5899" spans="12:13" x14ac:dyDescent="0.2">
      <c r="L5899" s="12"/>
      <c r="M5899" s="13"/>
    </row>
    <row r="5900" spans="12:13" x14ac:dyDescent="0.2">
      <c r="L5900" s="12"/>
      <c r="M5900" s="13"/>
    </row>
    <row r="5901" spans="12:13" x14ac:dyDescent="0.2">
      <c r="L5901" s="12"/>
      <c r="M5901" s="13"/>
    </row>
    <row r="5902" spans="12:13" x14ac:dyDescent="0.2">
      <c r="L5902" s="12"/>
      <c r="M5902" s="13"/>
    </row>
    <row r="5903" spans="12:13" x14ac:dyDescent="0.2">
      <c r="L5903" s="12"/>
      <c r="M5903" s="13"/>
    </row>
    <row r="5904" spans="12:13" x14ac:dyDescent="0.2">
      <c r="L5904" s="12"/>
      <c r="M5904" s="13"/>
    </row>
    <row r="5905" spans="12:13" x14ac:dyDescent="0.2">
      <c r="L5905" s="12"/>
      <c r="M5905" s="13"/>
    </row>
    <row r="5906" spans="12:13" x14ac:dyDescent="0.2">
      <c r="L5906" s="12"/>
      <c r="M5906" s="13"/>
    </row>
    <row r="5907" spans="12:13" x14ac:dyDescent="0.2">
      <c r="L5907" s="12"/>
      <c r="M5907" s="13"/>
    </row>
    <row r="5908" spans="12:13" x14ac:dyDescent="0.2">
      <c r="L5908" s="12"/>
      <c r="M5908" s="13"/>
    </row>
    <row r="5909" spans="12:13" x14ac:dyDescent="0.2">
      <c r="L5909" s="12"/>
      <c r="M5909" s="13"/>
    </row>
    <row r="5910" spans="12:13" x14ac:dyDescent="0.2">
      <c r="L5910" s="12"/>
      <c r="M5910" s="13"/>
    </row>
    <row r="5911" spans="12:13" x14ac:dyDescent="0.2">
      <c r="L5911" s="12"/>
      <c r="M5911" s="13"/>
    </row>
    <row r="5912" spans="12:13" x14ac:dyDescent="0.2">
      <c r="L5912" s="12"/>
      <c r="M5912" s="13"/>
    </row>
    <row r="5913" spans="12:13" x14ac:dyDescent="0.2">
      <c r="L5913" s="12"/>
      <c r="M5913" s="13"/>
    </row>
    <row r="5914" spans="12:13" x14ac:dyDescent="0.2">
      <c r="L5914" s="12"/>
      <c r="M5914" s="13"/>
    </row>
    <row r="5915" spans="12:13" x14ac:dyDescent="0.2">
      <c r="L5915" s="12"/>
      <c r="M5915" s="13"/>
    </row>
    <row r="5916" spans="12:13" x14ac:dyDescent="0.2">
      <c r="L5916" s="12"/>
      <c r="M5916" s="13"/>
    </row>
    <row r="5917" spans="12:13" x14ac:dyDescent="0.2">
      <c r="L5917" s="12"/>
      <c r="M5917" s="13"/>
    </row>
    <row r="5918" spans="12:13" x14ac:dyDescent="0.2">
      <c r="L5918" s="12"/>
      <c r="M5918" s="13"/>
    </row>
    <row r="5919" spans="12:13" x14ac:dyDescent="0.2">
      <c r="L5919" s="12"/>
      <c r="M5919" s="13"/>
    </row>
    <row r="5920" spans="12:13" x14ac:dyDescent="0.2">
      <c r="L5920" s="12"/>
      <c r="M5920" s="13"/>
    </row>
    <row r="5921" spans="12:13" x14ac:dyDescent="0.2">
      <c r="L5921" s="12"/>
      <c r="M5921" s="13"/>
    </row>
    <row r="5922" spans="12:13" x14ac:dyDescent="0.2">
      <c r="L5922" s="12"/>
      <c r="M5922" s="13"/>
    </row>
    <row r="5923" spans="12:13" x14ac:dyDescent="0.2">
      <c r="L5923" s="12"/>
      <c r="M5923" s="13"/>
    </row>
    <row r="5924" spans="12:13" x14ac:dyDescent="0.2">
      <c r="L5924" s="12"/>
      <c r="M5924" s="13"/>
    </row>
    <row r="5925" spans="12:13" x14ac:dyDescent="0.2">
      <c r="L5925" s="12"/>
      <c r="M5925" s="13"/>
    </row>
    <row r="5926" spans="12:13" x14ac:dyDescent="0.2">
      <c r="L5926" s="12"/>
      <c r="M5926" s="13"/>
    </row>
    <row r="5927" spans="12:13" x14ac:dyDescent="0.2">
      <c r="L5927" s="12"/>
      <c r="M5927" s="13"/>
    </row>
    <row r="5928" spans="12:13" x14ac:dyDescent="0.2">
      <c r="L5928" s="12"/>
      <c r="M5928" s="13"/>
    </row>
    <row r="5929" spans="12:13" x14ac:dyDescent="0.2">
      <c r="L5929" s="12"/>
      <c r="M5929" s="13"/>
    </row>
    <row r="5930" spans="12:13" x14ac:dyDescent="0.2">
      <c r="L5930" s="12"/>
      <c r="M5930" s="13"/>
    </row>
    <row r="5931" spans="12:13" x14ac:dyDescent="0.2">
      <c r="L5931" s="12"/>
      <c r="M5931" s="13"/>
    </row>
    <row r="5932" spans="12:13" x14ac:dyDescent="0.2">
      <c r="L5932" s="12"/>
      <c r="M5932" s="13"/>
    </row>
    <row r="5933" spans="12:13" x14ac:dyDescent="0.2">
      <c r="L5933" s="12"/>
      <c r="M5933" s="13"/>
    </row>
    <row r="5934" spans="12:13" x14ac:dyDescent="0.2">
      <c r="L5934" s="12"/>
      <c r="M5934" s="13"/>
    </row>
    <row r="5935" spans="12:13" x14ac:dyDescent="0.2">
      <c r="L5935" s="12"/>
      <c r="M5935" s="13"/>
    </row>
    <row r="5936" spans="12:13" x14ac:dyDescent="0.2">
      <c r="L5936" s="12"/>
      <c r="M5936" s="13"/>
    </row>
    <row r="5937" spans="12:13" x14ac:dyDescent="0.2">
      <c r="L5937" s="12"/>
      <c r="M5937" s="13"/>
    </row>
    <row r="5938" spans="12:13" x14ac:dyDescent="0.2">
      <c r="L5938" s="12"/>
      <c r="M5938" s="13"/>
    </row>
    <row r="5939" spans="12:13" x14ac:dyDescent="0.2">
      <c r="L5939" s="12"/>
      <c r="M5939" s="13"/>
    </row>
    <row r="5940" spans="12:13" x14ac:dyDescent="0.2">
      <c r="L5940" s="12"/>
      <c r="M5940" s="13"/>
    </row>
    <row r="5941" spans="12:13" x14ac:dyDescent="0.2">
      <c r="L5941" s="12"/>
      <c r="M5941" s="13"/>
    </row>
    <row r="5942" spans="12:13" x14ac:dyDescent="0.2">
      <c r="L5942" s="12"/>
      <c r="M5942" s="13"/>
    </row>
    <row r="5943" spans="12:13" x14ac:dyDescent="0.2">
      <c r="L5943" s="12"/>
      <c r="M5943" s="13"/>
    </row>
    <row r="5944" spans="12:13" x14ac:dyDescent="0.2">
      <c r="L5944" s="12"/>
      <c r="M5944" s="13"/>
    </row>
    <row r="5945" spans="12:13" x14ac:dyDescent="0.2">
      <c r="L5945" s="12"/>
      <c r="M5945" s="13"/>
    </row>
    <row r="5946" spans="12:13" x14ac:dyDescent="0.2">
      <c r="L5946" s="12"/>
      <c r="M5946" s="13"/>
    </row>
    <row r="5947" spans="12:13" x14ac:dyDescent="0.2">
      <c r="L5947" s="12"/>
      <c r="M5947" s="13"/>
    </row>
    <row r="5948" spans="12:13" x14ac:dyDescent="0.2">
      <c r="L5948" s="12"/>
      <c r="M5948" s="13"/>
    </row>
    <row r="5949" spans="12:13" x14ac:dyDescent="0.2">
      <c r="L5949" s="12"/>
      <c r="M5949" s="13"/>
    </row>
    <row r="5950" spans="12:13" x14ac:dyDescent="0.2">
      <c r="L5950" s="12"/>
      <c r="M5950" s="13"/>
    </row>
    <row r="5951" spans="12:13" x14ac:dyDescent="0.2">
      <c r="L5951" s="12"/>
      <c r="M5951" s="13"/>
    </row>
    <row r="5952" spans="12:13" x14ac:dyDescent="0.2">
      <c r="L5952" s="12"/>
      <c r="M5952" s="13"/>
    </row>
    <row r="5953" spans="12:13" x14ac:dyDescent="0.2">
      <c r="L5953" s="12"/>
      <c r="M5953" s="13"/>
    </row>
    <row r="5954" spans="12:13" x14ac:dyDescent="0.2">
      <c r="L5954" s="12"/>
      <c r="M5954" s="13"/>
    </row>
    <row r="5955" spans="12:13" x14ac:dyDescent="0.2">
      <c r="L5955" s="12"/>
      <c r="M5955" s="13"/>
    </row>
    <row r="5956" spans="12:13" x14ac:dyDescent="0.2">
      <c r="L5956" s="12"/>
      <c r="M5956" s="13"/>
    </row>
    <row r="5957" spans="12:13" x14ac:dyDescent="0.2">
      <c r="L5957" s="12"/>
      <c r="M5957" s="13"/>
    </row>
    <row r="5958" spans="12:13" x14ac:dyDescent="0.2">
      <c r="L5958" s="12"/>
      <c r="M5958" s="13"/>
    </row>
    <row r="5959" spans="12:13" x14ac:dyDescent="0.2">
      <c r="L5959" s="12"/>
      <c r="M5959" s="13"/>
    </row>
    <row r="5960" spans="12:13" x14ac:dyDescent="0.2">
      <c r="L5960" s="12"/>
      <c r="M5960" s="13"/>
    </row>
    <row r="5961" spans="12:13" x14ac:dyDescent="0.2">
      <c r="L5961" s="12"/>
      <c r="M5961" s="13"/>
    </row>
    <row r="5962" spans="12:13" x14ac:dyDescent="0.2">
      <c r="L5962" s="12"/>
      <c r="M5962" s="13"/>
    </row>
    <row r="5963" spans="12:13" x14ac:dyDescent="0.2">
      <c r="L5963" s="12"/>
      <c r="M5963" s="13"/>
    </row>
    <row r="5964" spans="12:13" x14ac:dyDescent="0.2">
      <c r="L5964" s="12"/>
      <c r="M5964" s="13"/>
    </row>
    <row r="5965" spans="12:13" x14ac:dyDescent="0.2">
      <c r="L5965" s="12"/>
      <c r="M5965" s="13"/>
    </row>
    <row r="5966" spans="12:13" x14ac:dyDescent="0.2">
      <c r="L5966" s="12"/>
      <c r="M5966" s="13"/>
    </row>
    <row r="5967" spans="12:13" x14ac:dyDescent="0.2">
      <c r="L5967" s="12"/>
      <c r="M5967" s="13"/>
    </row>
    <row r="5968" spans="12:13" x14ac:dyDescent="0.2">
      <c r="L5968" s="12"/>
      <c r="M5968" s="13"/>
    </row>
    <row r="5969" spans="12:13" x14ac:dyDescent="0.2">
      <c r="L5969" s="12"/>
      <c r="M5969" s="13"/>
    </row>
    <row r="5970" spans="12:13" x14ac:dyDescent="0.2">
      <c r="L5970" s="12"/>
      <c r="M5970" s="13"/>
    </row>
    <row r="5971" spans="12:13" x14ac:dyDescent="0.2">
      <c r="L5971" s="12"/>
      <c r="M5971" s="13"/>
    </row>
    <row r="5972" spans="12:13" x14ac:dyDescent="0.2">
      <c r="L5972" s="12"/>
      <c r="M5972" s="13"/>
    </row>
    <row r="5973" spans="12:13" x14ac:dyDescent="0.2">
      <c r="L5973" s="12"/>
      <c r="M5973" s="13"/>
    </row>
    <row r="5974" spans="12:13" x14ac:dyDescent="0.2">
      <c r="L5974" s="12"/>
      <c r="M5974" s="13"/>
    </row>
    <row r="5975" spans="12:13" x14ac:dyDescent="0.2">
      <c r="L5975" s="12"/>
      <c r="M5975" s="13"/>
    </row>
    <row r="5976" spans="12:13" x14ac:dyDescent="0.2">
      <c r="L5976" s="12"/>
      <c r="M5976" s="13"/>
    </row>
    <row r="5977" spans="12:13" x14ac:dyDescent="0.2">
      <c r="L5977" s="12"/>
      <c r="M5977" s="13"/>
    </row>
    <row r="5978" spans="12:13" x14ac:dyDescent="0.2">
      <c r="L5978" s="12"/>
      <c r="M5978" s="13"/>
    </row>
    <row r="5979" spans="12:13" x14ac:dyDescent="0.2">
      <c r="L5979" s="12"/>
      <c r="M5979" s="13"/>
    </row>
    <row r="5980" spans="12:13" x14ac:dyDescent="0.2">
      <c r="L5980" s="12"/>
      <c r="M5980" s="13"/>
    </row>
    <row r="5981" spans="12:13" x14ac:dyDescent="0.2">
      <c r="L5981" s="12"/>
      <c r="M5981" s="13"/>
    </row>
    <row r="5982" spans="12:13" x14ac:dyDescent="0.2">
      <c r="L5982" s="12"/>
      <c r="M5982" s="13"/>
    </row>
    <row r="5983" spans="12:13" x14ac:dyDescent="0.2">
      <c r="L5983" s="12"/>
      <c r="M5983" s="13"/>
    </row>
    <row r="5984" spans="12:13" x14ac:dyDescent="0.2">
      <c r="L5984" s="12"/>
      <c r="M5984" s="13"/>
    </row>
    <row r="5985" spans="12:13" x14ac:dyDescent="0.2">
      <c r="L5985" s="12"/>
      <c r="M5985" s="13"/>
    </row>
    <row r="5986" spans="12:13" x14ac:dyDescent="0.2">
      <c r="L5986" s="12"/>
      <c r="M5986" s="13"/>
    </row>
    <row r="5987" spans="12:13" x14ac:dyDescent="0.2">
      <c r="L5987" s="12"/>
      <c r="M5987" s="13"/>
    </row>
    <row r="5988" spans="12:13" x14ac:dyDescent="0.2">
      <c r="L5988" s="12"/>
      <c r="M5988" s="13"/>
    </row>
    <row r="5989" spans="12:13" x14ac:dyDescent="0.2">
      <c r="L5989" s="12"/>
      <c r="M5989" s="13"/>
    </row>
    <row r="5990" spans="12:13" x14ac:dyDescent="0.2">
      <c r="L5990" s="12"/>
      <c r="M5990" s="13"/>
    </row>
    <row r="5991" spans="12:13" x14ac:dyDescent="0.2">
      <c r="L5991" s="12"/>
      <c r="M5991" s="13"/>
    </row>
    <row r="5992" spans="12:13" x14ac:dyDescent="0.2">
      <c r="L5992" s="12"/>
      <c r="M5992" s="13"/>
    </row>
    <row r="5993" spans="12:13" x14ac:dyDescent="0.2">
      <c r="L5993" s="12"/>
      <c r="M5993" s="13"/>
    </row>
    <row r="5994" spans="12:13" x14ac:dyDescent="0.2">
      <c r="L5994" s="12"/>
      <c r="M5994" s="13"/>
    </row>
    <row r="5995" spans="12:13" x14ac:dyDescent="0.2">
      <c r="L5995" s="12"/>
      <c r="M5995" s="13"/>
    </row>
    <row r="5996" spans="12:13" x14ac:dyDescent="0.2">
      <c r="L5996" s="12"/>
      <c r="M5996" s="13"/>
    </row>
    <row r="5997" spans="12:13" x14ac:dyDescent="0.2">
      <c r="L5997" s="12"/>
      <c r="M5997" s="13"/>
    </row>
    <row r="5998" spans="12:13" x14ac:dyDescent="0.2">
      <c r="L5998" s="12"/>
      <c r="M5998" s="13"/>
    </row>
    <row r="5999" spans="12:13" x14ac:dyDescent="0.2">
      <c r="L5999" s="12"/>
      <c r="M5999" s="13"/>
    </row>
    <row r="6000" spans="12:13" x14ac:dyDescent="0.2">
      <c r="L6000" s="12"/>
      <c r="M6000" s="13"/>
    </row>
    <row r="6001" spans="12:13" x14ac:dyDescent="0.2">
      <c r="L6001" s="12"/>
      <c r="M6001" s="13"/>
    </row>
    <row r="6002" spans="12:13" x14ac:dyDescent="0.2">
      <c r="L6002" s="12"/>
      <c r="M6002" s="13"/>
    </row>
    <row r="6003" spans="12:13" x14ac:dyDescent="0.2">
      <c r="L6003" s="12"/>
      <c r="M6003" s="13"/>
    </row>
    <row r="6004" spans="12:13" x14ac:dyDescent="0.2">
      <c r="L6004" s="12"/>
      <c r="M6004" s="13"/>
    </row>
    <row r="6005" spans="12:13" x14ac:dyDescent="0.2">
      <c r="L6005" s="12"/>
      <c r="M6005" s="13"/>
    </row>
    <row r="6006" spans="12:13" x14ac:dyDescent="0.2">
      <c r="L6006" s="12"/>
      <c r="M6006" s="13"/>
    </row>
    <row r="6007" spans="12:13" x14ac:dyDescent="0.2">
      <c r="L6007" s="12"/>
      <c r="M6007" s="13"/>
    </row>
    <row r="6008" spans="12:13" x14ac:dyDescent="0.2">
      <c r="L6008" s="12"/>
      <c r="M6008" s="13"/>
    </row>
    <row r="6009" spans="12:13" x14ac:dyDescent="0.2">
      <c r="L6009" s="12"/>
      <c r="M6009" s="13"/>
    </row>
    <row r="6010" spans="12:13" x14ac:dyDescent="0.2">
      <c r="L6010" s="12"/>
      <c r="M6010" s="13"/>
    </row>
    <row r="6011" spans="12:13" x14ac:dyDescent="0.2">
      <c r="L6011" s="12"/>
      <c r="M6011" s="13"/>
    </row>
    <row r="6012" spans="12:13" x14ac:dyDescent="0.2">
      <c r="L6012" s="12"/>
      <c r="M6012" s="13"/>
    </row>
    <row r="6013" spans="12:13" x14ac:dyDescent="0.2">
      <c r="L6013" s="12"/>
      <c r="M6013" s="13"/>
    </row>
    <row r="6014" spans="12:13" x14ac:dyDescent="0.2">
      <c r="L6014" s="12"/>
      <c r="M6014" s="13"/>
    </row>
    <row r="6015" spans="12:13" x14ac:dyDescent="0.2">
      <c r="L6015" s="12"/>
      <c r="M6015" s="13"/>
    </row>
    <row r="6016" spans="12:13" x14ac:dyDescent="0.2">
      <c r="L6016" s="12"/>
      <c r="M6016" s="13"/>
    </row>
    <row r="6017" spans="12:13" x14ac:dyDescent="0.2">
      <c r="L6017" s="12"/>
      <c r="M6017" s="13"/>
    </row>
    <row r="6018" spans="12:13" x14ac:dyDescent="0.2">
      <c r="L6018" s="12"/>
      <c r="M6018" s="13"/>
    </row>
    <row r="6019" spans="12:13" x14ac:dyDescent="0.2">
      <c r="L6019" s="12"/>
      <c r="M6019" s="13"/>
    </row>
    <row r="6020" spans="12:13" x14ac:dyDescent="0.2">
      <c r="L6020" s="12"/>
      <c r="M6020" s="13"/>
    </row>
    <row r="6021" spans="12:13" x14ac:dyDescent="0.2">
      <c r="L6021" s="12"/>
      <c r="M6021" s="13"/>
    </row>
    <row r="6022" spans="12:13" x14ac:dyDescent="0.2">
      <c r="L6022" s="12"/>
      <c r="M6022" s="13"/>
    </row>
    <row r="6023" spans="12:13" x14ac:dyDescent="0.2">
      <c r="L6023" s="12"/>
      <c r="M6023" s="13"/>
    </row>
    <row r="6024" spans="12:13" x14ac:dyDescent="0.2">
      <c r="L6024" s="12"/>
      <c r="M6024" s="13"/>
    </row>
    <row r="6025" spans="12:13" x14ac:dyDescent="0.2">
      <c r="L6025" s="12"/>
      <c r="M6025" s="13"/>
    </row>
    <row r="6026" spans="12:13" x14ac:dyDescent="0.2">
      <c r="L6026" s="12"/>
      <c r="M6026" s="13"/>
    </row>
    <row r="6027" spans="12:13" x14ac:dyDescent="0.2">
      <c r="L6027" s="12"/>
      <c r="M6027" s="13"/>
    </row>
    <row r="6028" spans="12:13" x14ac:dyDescent="0.2">
      <c r="L6028" s="12"/>
      <c r="M6028" s="13"/>
    </row>
    <row r="6029" spans="12:13" x14ac:dyDescent="0.2">
      <c r="L6029" s="12"/>
      <c r="M6029" s="13"/>
    </row>
    <row r="6030" spans="12:13" x14ac:dyDescent="0.2">
      <c r="L6030" s="12"/>
      <c r="M6030" s="13"/>
    </row>
    <row r="6031" spans="12:13" x14ac:dyDescent="0.2">
      <c r="L6031" s="12"/>
      <c r="M6031" s="13"/>
    </row>
    <row r="6032" spans="12:13" x14ac:dyDescent="0.2">
      <c r="L6032" s="12"/>
      <c r="M6032" s="13"/>
    </row>
    <row r="6033" spans="12:13" x14ac:dyDescent="0.2">
      <c r="L6033" s="12"/>
      <c r="M6033" s="13"/>
    </row>
    <row r="6034" spans="12:13" x14ac:dyDescent="0.2">
      <c r="L6034" s="12"/>
      <c r="M6034" s="13"/>
    </row>
    <row r="6035" spans="12:13" x14ac:dyDescent="0.2">
      <c r="L6035" s="12"/>
      <c r="M6035" s="13"/>
    </row>
    <row r="6036" spans="12:13" x14ac:dyDescent="0.2">
      <c r="L6036" s="12"/>
      <c r="M6036" s="13"/>
    </row>
    <row r="6037" spans="12:13" x14ac:dyDescent="0.2">
      <c r="L6037" s="12"/>
      <c r="M6037" s="13"/>
    </row>
    <row r="6038" spans="12:13" x14ac:dyDescent="0.2">
      <c r="L6038" s="12"/>
      <c r="M6038" s="13"/>
    </row>
    <row r="6039" spans="12:13" x14ac:dyDescent="0.2">
      <c r="L6039" s="12"/>
      <c r="M6039" s="13"/>
    </row>
    <row r="6040" spans="12:13" x14ac:dyDescent="0.2">
      <c r="L6040" s="12"/>
      <c r="M6040" s="13"/>
    </row>
    <row r="6041" spans="12:13" x14ac:dyDescent="0.2">
      <c r="L6041" s="12"/>
      <c r="M6041" s="13"/>
    </row>
    <row r="6042" spans="12:13" x14ac:dyDescent="0.2">
      <c r="L6042" s="12"/>
      <c r="M6042" s="13"/>
    </row>
    <row r="6043" spans="12:13" x14ac:dyDescent="0.2">
      <c r="L6043" s="12"/>
      <c r="M6043" s="13"/>
    </row>
    <row r="6044" spans="12:13" x14ac:dyDescent="0.2">
      <c r="L6044" s="12"/>
      <c r="M6044" s="13"/>
    </row>
    <row r="6045" spans="12:13" x14ac:dyDescent="0.2">
      <c r="L6045" s="12"/>
      <c r="M6045" s="13"/>
    </row>
    <row r="6046" spans="12:13" x14ac:dyDescent="0.2">
      <c r="L6046" s="12"/>
      <c r="M6046" s="13"/>
    </row>
    <row r="6047" spans="12:13" x14ac:dyDescent="0.2">
      <c r="L6047" s="12"/>
      <c r="M6047" s="13"/>
    </row>
    <row r="6048" spans="12:13" x14ac:dyDescent="0.2">
      <c r="L6048" s="12"/>
      <c r="M6048" s="13"/>
    </row>
    <row r="6049" spans="12:13" x14ac:dyDescent="0.2">
      <c r="L6049" s="12"/>
      <c r="M6049" s="13"/>
    </row>
    <row r="6050" spans="12:13" x14ac:dyDescent="0.2">
      <c r="L6050" s="12"/>
      <c r="M6050" s="13"/>
    </row>
    <row r="6051" spans="12:13" x14ac:dyDescent="0.2">
      <c r="L6051" s="12"/>
      <c r="M6051" s="13"/>
    </row>
    <row r="6052" spans="12:13" x14ac:dyDescent="0.2">
      <c r="L6052" s="12"/>
      <c r="M6052" s="13"/>
    </row>
    <row r="6053" spans="12:13" x14ac:dyDescent="0.2">
      <c r="L6053" s="12"/>
      <c r="M6053" s="13"/>
    </row>
    <row r="6054" spans="12:13" x14ac:dyDescent="0.2">
      <c r="L6054" s="12"/>
      <c r="M6054" s="13"/>
    </row>
    <row r="6055" spans="12:13" x14ac:dyDescent="0.2">
      <c r="L6055" s="12"/>
      <c r="M6055" s="13"/>
    </row>
    <row r="6056" spans="12:13" x14ac:dyDescent="0.2">
      <c r="L6056" s="12"/>
      <c r="M6056" s="13"/>
    </row>
    <row r="6057" spans="12:13" x14ac:dyDescent="0.2">
      <c r="L6057" s="12"/>
      <c r="M6057" s="13"/>
    </row>
    <row r="6058" spans="12:13" x14ac:dyDescent="0.2">
      <c r="L6058" s="12"/>
      <c r="M6058" s="13"/>
    </row>
    <row r="6059" spans="12:13" x14ac:dyDescent="0.2">
      <c r="L6059" s="12"/>
      <c r="M6059" s="13"/>
    </row>
    <row r="6060" spans="12:13" x14ac:dyDescent="0.2">
      <c r="L6060" s="12"/>
      <c r="M6060" s="13"/>
    </row>
    <row r="6061" spans="12:13" x14ac:dyDescent="0.2">
      <c r="L6061" s="12"/>
      <c r="M6061" s="13"/>
    </row>
    <row r="6062" spans="12:13" x14ac:dyDescent="0.2">
      <c r="L6062" s="12"/>
      <c r="M6062" s="13"/>
    </row>
    <row r="6063" spans="12:13" x14ac:dyDescent="0.2">
      <c r="L6063" s="12"/>
      <c r="M6063" s="13"/>
    </row>
    <row r="6064" spans="12:13" x14ac:dyDescent="0.2">
      <c r="L6064" s="12"/>
      <c r="M6064" s="13"/>
    </row>
    <row r="6065" spans="12:13" x14ac:dyDescent="0.2">
      <c r="L6065" s="12"/>
      <c r="M6065" s="13"/>
    </row>
    <row r="6066" spans="12:13" x14ac:dyDescent="0.2">
      <c r="L6066" s="12"/>
      <c r="M6066" s="13"/>
    </row>
    <row r="6067" spans="12:13" x14ac:dyDescent="0.2">
      <c r="L6067" s="12"/>
      <c r="M6067" s="13"/>
    </row>
    <row r="6068" spans="12:13" x14ac:dyDescent="0.2">
      <c r="L6068" s="12"/>
      <c r="M6068" s="13"/>
    </row>
    <row r="6069" spans="12:13" x14ac:dyDescent="0.2">
      <c r="L6069" s="12"/>
      <c r="M6069" s="13"/>
    </row>
    <row r="6070" spans="12:13" x14ac:dyDescent="0.2">
      <c r="L6070" s="12"/>
      <c r="M6070" s="13"/>
    </row>
    <row r="6071" spans="12:13" x14ac:dyDescent="0.2">
      <c r="L6071" s="12"/>
      <c r="M6071" s="13"/>
    </row>
    <row r="6072" spans="12:13" x14ac:dyDescent="0.2">
      <c r="L6072" s="12"/>
      <c r="M6072" s="13"/>
    </row>
    <row r="6073" spans="12:13" x14ac:dyDescent="0.2">
      <c r="L6073" s="12"/>
      <c r="M6073" s="13"/>
    </row>
    <row r="6074" spans="12:13" x14ac:dyDescent="0.2">
      <c r="L6074" s="12"/>
      <c r="M6074" s="13"/>
    </row>
    <row r="6075" spans="12:13" x14ac:dyDescent="0.2">
      <c r="L6075" s="12"/>
      <c r="M6075" s="13"/>
    </row>
    <row r="6076" spans="12:13" x14ac:dyDescent="0.2">
      <c r="L6076" s="12"/>
      <c r="M6076" s="13"/>
    </row>
    <row r="6077" spans="12:13" x14ac:dyDescent="0.2">
      <c r="L6077" s="12"/>
      <c r="M6077" s="13"/>
    </row>
    <row r="6078" spans="12:13" x14ac:dyDescent="0.2">
      <c r="L6078" s="12"/>
      <c r="M6078" s="13"/>
    </row>
    <row r="6079" spans="12:13" x14ac:dyDescent="0.2">
      <c r="L6079" s="12"/>
      <c r="M6079" s="13"/>
    </row>
    <row r="6080" spans="12:13" x14ac:dyDescent="0.2">
      <c r="L6080" s="12"/>
      <c r="M6080" s="13"/>
    </row>
    <row r="6081" spans="12:13" x14ac:dyDescent="0.2">
      <c r="L6081" s="12"/>
      <c r="M6081" s="13"/>
    </row>
    <row r="6082" spans="12:13" x14ac:dyDescent="0.2">
      <c r="L6082" s="12"/>
      <c r="M6082" s="13"/>
    </row>
    <row r="6083" spans="12:13" x14ac:dyDescent="0.2">
      <c r="L6083" s="12"/>
      <c r="M6083" s="13"/>
    </row>
    <row r="6084" spans="12:13" x14ac:dyDescent="0.2">
      <c r="L6084" s="12"/>
      <c r="M6084" s="13"/>
    </row>
    <row r="6085" spans="12:13" x14ac:dyDescent="0.2">
      <c r="L6085" s="12"/>
      <c r="M6085" s="13"/>
    </row>
    <row r="6086" spans="12:13" x14ac:dyDescent="0.2">
      <c r="L6086" s="12"/>
      <c r="M6086" s="13"/>
    </row>
    <row r="6087" spans="12:13" x14ac:dyDescent="0.2">
      <c r="L6087" s="12"/>
      <c r="M6087" s="13"/>
    </row>
    <row r="6088" spans="12:13" x14ac:dyDescent="0.2">
      <c r="L6088" s="12"/>
      <c r="M6088" s="13"/>
    </row>
    <row r="6089" spans="12:13" x14ac:dyDescent="0.2">
      <c r="L6089" s="12"/>
      <c r="M6089" s="13"/>
    </row>
    <row r="6090" spans="12:13" x14ac:dyDescent="0.2">
      <c r="L6090" s="12"/>
      <c r="M6090" s="13"/>
    </row>
    <row r="6091" spans="12:13" x14ac:dyDescent="0.2">
      <c r="L6091" s="12"/>
      <c r="M6091" s="13"/>
    </row>
    <row r="6092" spans="12:13" x14ac:dyDescent="0.2">
      <c r="L6092" s="12"/>
      <c r="M6092" s="13"/>
    </row>
    <row r="6093" spans="12:13" x14ac:dyDescent="0.2">
      <c r="L6093" s="12"/>
      <c r="M6093" s="13"/>
    </row>
    <row r="6094" spans="12:13" x14ac:dyDescent="0.2">
      <c r="L6094" s="12"/>
      <c r="M6094" s="13"/>
    </row>
    <row r="6095" spans="12:13" x14ac:dyDescent="0.2">
      <c r="L6095" s="12"/>
      <c r="M6095" s="13"/>
    </row>
    <row r="6096" spans="12:13" x14ac:dyDescent="0.2">
      <c r="L6096" s="12"/>
      <c r="M6096" s="13"/>
    </row>
    <row r="6097" spans="12:13" x14ac:dyDescent="0.2">
      <c r="L6097" s="12"/>
      <c r="M6097" s="13"/>
    </row>
    <row r="6098" spans="12:13" x14ac:dyDescent="0.2">
      <c r="L6098" s="12"/>
      <c r="M6098" s="13"/>
    </row>
    <row r="6099" spans="12:13" x14ac:dyDescent="0.2">
      <c r="L6099" s="12"/>
      <c r="M6099" s="13"/>
    </row>
    <row r="6100" spans="12:13" x14ac:dyDescent="0.2">
      <c r="L6100" s="12"/>
      <c r="M6100" s="13"/>
    </row>
    <row r="6101" spans="12:13" x14ac:dyDescent="0.2">
      <c r="L6101" s="12"/>
      <c r="M6101" s="13"/>
    </row>
    <row r="6102" spans="12:13" x14ac:dyDescent="0.2">
      <c r="L6102" s="12"/>
      <c r="M6102" s="13"/>
    </row>
    <row r="6103" spans="12:13" x14ac:dyDescent="0.2">
      <c r="L6103" s="12"/>
      <c r="M6103" s="13"/>
    </row>
    <row r="6104" spans="12:13" x14ac:dyDescent="0.2">
      <c r="L6104" s="12"/>
      <c r="M6104" s="13"/>
    </row>
    <row r="6105" spans="12:13" x14ac:dyDescent="0.2">
      <c r="L6105" s="12"/>
      <c r="M6105" s="13"/>
    </row>
    <row r="6106" spans="12:13" x14ac:dyDescent="0.2">
      <c r="L6106" s="12"/>
      <c r="M6106" s="13"/>
    </row>
    <row r="6107" spans="12:13" x14ac:dyDescent="0.2">
      <c r="L6107" s="12"/>
      <c r="M6107" s="13"/>
    </row>
    <row r="6108" spans="12:13" x14ac:dyDescent="0.2">
      <c r="L6108" s="12"/>
      <c r="M6108" s="13"/>
    </row>
    <row r="6109" spans="12:13" x14ac:dyDescent="0.2">
      <c r="L6109" s="12"/>
      <c r="M6109" s="13"/>
    </row>
    <row r="6110" spans="12:13" x14ac:dyDescent="0.2">
      <c r="L6110" s="12"/>
      <c r="M6110" s="13"/>
    </row>
    <row r="6111" spans="12:13" x14ac:dyDescent="0.2">
      <c r="L6111" s="12"/>
      <c r="M6111" s="13"/>
    </row>
    <row r="6112" spans="12:13" x14ac:dyDescent="0.2">
      <c r="L6112" s="12"/>
      <c r="M6112" s="13"/>
    </row>
    <row r="6113" spans="12:13" x14ac:dyDescent="0.2">
      <c r="L6113" s="12"/>
      <c r="M6113" s="13"/>
    </row>
    <row r="6114" spans="12:13" x14ac:dyDescent="0.2">
      <c r="L6114" s="12"/>
      <c r="M6114" s="13"/>
    </row>
    <row r="6115" spans="12:13" x14ac:dyDescent="0.2">
      <c r="L6115" s="12"/>
      <c r="M6115" s="13"/>
    </row>
    <row r="6116" spans="12:13" x14ac:dyDescent="0.2">
      <c r="L6116" s="12"/>
      <c r="M6116" s="13"/>
    </row>
    <row r="6117" spans="12:13" x14ac:dyDescent="0.2">
      <c r="L6117" s="12"/>
      <c r="M6117" s="13"/>
    </row>
    <row r="6118" spans="12:13" x14ac:dyDescent="0.2">
      <c r="L6118" s="12"/>
      <c r="M6118" s="13"/>
    </row>
    <row r="6119" spans="12:13" x14ac:dyDescent="0.2">
      <c r="L6119" s="12"/>
      <c r="M6119" s="13"/>
    </row>
    <row r="6120" spans="12:13" x14ac:dyDescent="0.2">
      <c r="L6120" s="12"/>
      <c r="M6120" s="13"/>
    </row>
    <row r="6121" spans="12:13" x14ac:dyDescent="0.2">
      <c r="L6121" s="12"/>
      <c r="M6121" s="13"/>
    </row>
    <row r="6122" spans="12:13" x14ac:dyDescent="0.2">
      <c r="L6122" s="12"/>
      <c r="M6122" s="13"/>
    </row>
    <row r="6123" spans="12:13" x14ac:dyDescent="0.2">
      <c r="L6123" s="12"/>
      <c r="M6123" s="13"/>
    </row>
    <row r="6124" spans="12:13" x14ac:dyDescent="0.2">
      <c r="L6124" s="12"/>
      <c r="M6124" s="13"/>
    </row>
    <row r="6125" spans="12:13" x14ac:dyDescent="0.2">
      <c r="L6125" s="12"/>
      <c r="M6125" s="13"/>
    </row>
    <row r="6126" spans="12:13" x14ac:dyDescent="0.2">
      <c r="L6126" s="12"/>
      <c r="M6126" s="13"/>
    </row>
    <row r="6127" spans="12:13" x14ac:dyDescent="0.2">
      <c r="L6127" s="12"/>
      <c r="M6127" s="13"/>
    </row>
    <row r="6128" spans="12:13" x14ac:dyDescent="0.2">
      <c r="L6128" s="12"/>
      <c r="M6128" s="13"/>
    </row>
    <row r="6129" spans="12:13" x14ac:dyDescent="0.2">
      <c r="L6129" s="12"/>
      <c r="M6129" s="13"/>
    </row>
    <row r="6130" spans="12:13" x14ac:dyDescent="0.2">
      <c r="L6130" s="12"/>
      <c r="M6130" s="13"/>
    </row>
    <row r="6131" spans="12:13" x14ac:dyDescent="0.2">
      <c r="L6131" s="12"/>
      <c r="M6131" s="13"/>
    </row>
    <row r="6132" spans="12:13" x14ac:dyDescent="0.2">
      <c r="L6132" s="12"/>
      <c r="M6132" s="13"/>
    </row>
    <row r="6133" spans="12:13" x14ac:dyDescent="0.2">
      <c r="L6133" s="12"/>
      <c r="M6133" s="13"/>
    </row>
    <row r="6134" spans="12:13" x14ac:dyDescent="0.2">
      <c r="L6134" s="12"/>
      <c r="M6134" s="13"/>
    </row>
    <row r="6135" spans="12:13" x14ac:dyDescent="0.2">
      <c r="L6135" s="12"/>
      <c r="M6135" s="13"/>
    </row>
    <row r="6136" spans="12:13" x14ac:dyDescent="0.2">
      <c r="L6136" s="12"/>
      <c r="M6136" s="13"/>
    </row>
    <row r="6137" spans="12:13" x14ac:dyDescent="0.2">
      <c r="L6137" s="12"/>
      <c r="M6137" s="13"/>
    </row>
    <row r="6138" spans="12:13" x14ac:dyDescent="0.2">
      <c r="L6138" s="12"/>
      <c r="M6138" s="13"/>
    </row>
    <row r="6139" spans="12:13" x14ac:dyDescent="0.2">
      <c r="L6139" s="12"/>
      <c r="M6139" s="13"/>
    </row>
    <row r="6140" spans="12:13" x14ac:dyDescent="0.2">
      <c r="L6140" s="12"/>
      <c r="M6140" s="13"/>
    </row>
    <row r="6141" spans="12:13" x14ac:dyDescent="0.2">
      <c r="L6141" s="12"/>
      <c r="M6141" s="13"/>
    </row>
    <row r="6142" spans="12:13" x14ac:dyDescent="0.2">
      <c r="L6142" s="12"/>
      <c r="M6142" s="13"/>
    </row>
    <row r="6143" spans="12:13" x14ac:dyDescent="0.2">
      <c r="L6143" s="12"/>
      <c r="M6143" s="13"/>
    </row>
    <row r="6144" spans="12:13" x14ac:dyDescent="0.2">
      <c r="L6144" s="12"/>
      <c r="M6144" s="13"/>
    </row>
    <row r="6145" spans="12:13" x14ac:dyDescent="0.2">
      <c r="L6145" s="12"/>
      <c r="M6145" s="13"/>
    </row>
    <row r="6146" spans="12:13" x14ac:dyDescent="0.2">
      <c r="L6146" s="17"/>
      <c r="M6146" s="18"/>
    </row>
    <row r="6147" spans="12:13" x14ac:dyDescent="0.2">
      <c r="L6147" s="12"/>
      <c r="M6147" s="13"/>
    </row>
    <row r="6148" spans="12:13" x14ac:dyDescent="0.2">
      <c r="L6148" s="12"/>
      <c r="M6148" s="13"/>
    </row>
    <row r="6149" spans="12:13" x14ac:dyDescent="0.2">
      <c r="L6149" s="12"/>
      <c r="M6149" s="13"/>
    </row>
    <row r="6150" spans="12:13" x14ac:dyDescent="0.2">
      <c r="L6150" s="12"/>
      <c r="M6150" s="13"/>
    </row>
    <row r="6151" spans="12:13" x14ac:dyDescent="0.2">
      <c r="L6151" s="12"/>
      <c r="M6151" s="13"/>
    </row>
    <row r="6152" spans="12:13" x14ac:dyDescent="0.2">
      <c r="L6152" s="12"/>
      <c r="M6152" s="13"/>
    </row>
    <row r="6153" spans="12:13" x14ac:dyDescent="0.2">
      <c r="L6153" s="12"/>
      <c r="M6153" s="13"/>
    </row>
    <row r="6154" spans="12:13" x14ac:dyDescent="0.2">
      <c r="L6154" s="12"/>
      <c r="M6154" s="13"/>
    </row>
    <row r="6155" spans="12:13" x14ac:dyDescent="0.2">
      <c r="L6155" s="12"/>
      <c r="M6155" s="13"/>
    </row>
    <row r="6156" spans="12:13" x14ac:dyDescent="0.2">
      <c r="L6156" s="12"/>
      <c r="M6156" s="13"/>
    </row>
    <row r="6157" spans="12:13" x14ac:dyDescent="0.2">
      <c r="L6157" s="12"/>
      <c r="M6157" s="13"/>
    </row>
    <row r="6158" spans="12:13" x14ac:dyDescent="0.2">
      <c r="L6158" s="12"/>
      <c r="M6158" s="13"/>
    </row>
    <row r="6159" spans="12:13" x14ac:dyDescent="0.2">
      <c r="L6159" s="12"/>
      <c r="M6159" s="13"/>
    </row>
    <row r="6160" spans="12:13" x14ac:dyDescent="0.2">
      <c r="L6160" s="12"/>
      <c r="M6160" s="13"/>
    </row>
    <row r="6161" spans="12:13" x14ac:dyDescent="0.2">
      <c r="L6161" s="12"/>
      <c r="M6161" s="13"/>
    </row>
    <row r="6162" spans="12:13" x14ac:dyDescent="0.2">
      <c r="L6162" s="12"/>
      <c r="M6162" s="13"/>
    </row>
    <row r="6163" spans="12:13" x14ac:dyDescent="0.2">
      <c r="L6163" s="12"/>
      <c r="M6163" s="13"/>
    </row>
    <row r="6164" spans="12:13" x14ac:dyDescent="0.2">
      <c r="L6164" s="12"/>
      <c r="M6164" s="13"/>
    </row>
    <row r="6165" spans="12:13" x14ac:dyDescent="0.2">
      <c r="L6165" s="12"/>
      <c r="M6165" s="13"/>
    </row>
    <row r="6166" spans="12:13" x14ac:dyDescent="0.2">
      <c r="L6166" s="12"/>
      <c r="M6166" s="13"/>
    </row>
    <row r="6167" spans="12:13" x14ac:dyDescent="0.2">
      <c r="L6167" s="12"/>
      <c r="M6167" s="13"/>
    </row>
    <row r="6168" spans="12:13" x14ac:dyDescent="0.2">
      <c r="L6168" s="12"/>
      <c r="M6168" s="13"/>
    </row>
    <row r="6169" spans="12:13" x14ac:dyDescent="0.2">
      <c r="L6169" s="12"/>
      <c r="M6169" s="13"/>
    </row>
    <row r="6170" spans="12:13" x14ac:dyDescent="0.2">
      <c r="L6170" s="12"/>
      <c r="M6170" s="13"/>
    </row>
    <row r="6171" spans="12:13" x14ac:dyDescent="0.2">
      <c r="L6171" s="12"/>
      <c r="M6171" s="13"/>
    </row>
    <row r="6172" spans="12:13" x14ac:dyDescent="0.2">
      <c r="L6172" s="12"/>
      <c r="M6172" s="13"/>
    </row>
    <row r="6173" spans="12:13" x14ac:dyDescent="0.2">
      <c r="L6173" s="12"/>
      <c r="M6173" s="13"/>
    </row>
    <row r="6174" spans="12:13" x14ac:dyDescent="0.2">
      <c r="L6174" s="12"/>
      <c r="M6174" s="13"/>
    </row>
    <row r="6175" spans="12:13" x14ac:dyDescent="0.2">
      <c r="L6175" s="12"/>
      <c r="M6175" s="13"/>
    </row>
    <row r="6176" spans="12:13" x14ac:dyDescent="0.2">
      <c r="L6176" s="12"/>
      <c r="M6176" s="13"/>
    </row>
    <row r="6177" spans="12:13" x14ac:dyDescent="0.2">
      <c r="L6177" s="12"/>
      <c r="M6177" s="13"/>
    </row>
    <row r="6178" spans="12:13" x14ac:dyDescent="0.2">
      <c r="L6178" s="12"/>
      <c r="M6178" s="13"/>
    </row>
    <row r="6179" spans="12:13" x14ac:dyDescent="0.2">
      <c r="L6179" s="12"/>
      <c r="M6179" s="13"/>
    </row>
    <row r="6180" spans="12:13" x14ac:dyDescent="0.2">
      <c r="L6180" s="12"/>
      <c r="M6180" s="13"/>
    </row>
    <row r="6181" spans="12:13" x14ac:dyDescent="0.2">
      <c r="L6181" s="12"/>
      <c r="M6181" s="13"/>
    </row>
    <row r="6182" spans="12:13" x14ac:dyDescent="0.2">
      <c r="L6182" s="12"/>
      <c r="M6182" s="13"/>
    </row>
    <row r="6183" spans="12:13" x14ac:dyDescent="0.2">
      <c r="L6183" s="12"/>
      <c r="M6183" s="13"/>
    </row>
    <row r="6184" spans="12:13" x14ac:dyDescent="0.2">
      <c r="L6184" s="12"/>
      <c r="M6184" s="13"/>
    </row>
    <row r="6185" spans="12:13" x14ac:dyDescent="0.2">
      <c r="L6185" s="12"/>
      <c r="M6185" s="13"/>
    </row>
    <row r="6186" spans="12:13" x14ac:dyDescent="0.2">
      <c r="L6186" s="12"/>
      <c r="M6186" s="13"/>
    </row>
    <row r="6187" spans="12:13" x14ac:dyDescent="0.2">
      <c r="L6187" s="12"/>
      <c r="M6187" s="13"/>
    </row>
    <row r="6188" spans="12:13" x14ac:dyDescent="0.2">
      <c r="L6188" s="12"/>
      <c r="M6188" s="13"/>
    </row>
    <row r="6189" spans="12:13" x14ac:dyDescent="0.2">
      <c r="L6189" s="12"/>
      <c r="M6189" s="13"/>
    </row>
    <row r="6190" spans="12:13" x14ac:dyDescent="0.2">
      <c r="L6190" s="12"/>
      <c r="M6190" s="13"/>
    </row>
    <row r="6191" spans="12:13" x14ac:dyDescent="0.2">
      <c r="L6191" s="12"/>
      <c r="M6191" s="13"/>
    </row>
    <row r="6192" spans="12:13" x14ac:dyDescent="0.2">
      <c r="L6192" s="12"/>
      <c r="M6192" s="13"/>
    </row>
    <row r="6193" spans="12:13" x14ac:dyDescent="0.2">
      <c r="L6193" s="12"/>
      <c r="M6193" s="13"/>
    </row>
    <row r="6194" spans="12:13" x14ac:dyDescent="0.2">
      <c r="L6194" s="12"/>
      <c r="M6194" s="13"/>
    </row>
    <row r="6195" spans="12:13" x14ac:dyDescent="0.2">
      <c r="L6195" s="12"/>
      <c r="M6195" s="13"/>
    </row>
    <row r="6196" spans="12:13" x14ac:dyDescent="0.2">
      <c r="L6196" s="12"/>
      <c r="M6196" s="13"/>
    </row>
    <row r="6197" spans="12:13" x14ac:dyDescent="0.2">
      <c r="L6197" s="12"/>
      <c r="M6197" s="13"/>
    </row>
    <row r="6198" spans="12:13" x14ac:dyDescent="0.2">
      <c r="L6198" s="12"/>
      <c r="M6198" s="13"/>
    </row>
    <row r="6199" spans="12:13" x14ac:dyDescent="0.2">
      <c r="L6199" s="12"/>
      <c r="M6199" s="13"/>
    </row>
    <row r="6200" spans="12:13" x14ac:dyDescent="0.2">
      <c r="L6200" s="12"/>
      <c r="M6200" s="13"/>
    </row>
    <row r="6201" spans="12:13" x14ac:dyDescent="0.2">
      <c r="L6201" s="12"/>
      <c r="M6201" s="13"/>
    </row>
    <row r="6202" spans="12:13" x14ac:dyDescent="0.2">
      <c r="L6202" s="12"/>
      <c r="M6202" s="13"/>
    </row>
    <row r="6203" spans="12:13" x14ac:dyDescent="0.2">
      <c r="L6203" s="12"/>
      <c r="M6203" s="13"/>
    </row>
    <row r="6204" spans="12:13" x14ac:dyDescent="0.2">
      <c r="L6204" s="12"/>
      <c r="M6204" s="13"/>
    </row>
    <row r="6205" spans="12:13" x14ac:dyDescent="0.2">
      <c r="L6205" s="12"/>
      <c r="M6205" s="13"/>
    </row>
    <row r="6206" spans="12:13" x14ac:dyDescent="0.2">
      <c r="L6206" s="12"/>
      <c r="M6206" s="13"/>
    </row>
    <row r="6207" spans="12:13" x14ac:dyDescent="0.2">
      <c r="L6207" s="12"/>
      <c r="M6207" s="13"/>
    </row>
    <row r="6208" spans="12:13" x14ac:dyDescent="0.2">
      <c r="L6208" s="12"/>
      <c r="M6208" s="13"/>
    </row>
    <row r="6209" spans="12:13" x14ac:dyDescent="0.2">
      <c r="L6209" s="12"/>
      <c r="M6209" s="13"/>
    </row>
    <row r="6210" spans="12:13" x14ac:dyDescent="0.2">
      <c r="L6210" s="12"/>
      <c r="M6210" s="13"/>
    </row>
    <row r="6211" spans="12:13" x14ac:dyDescent="0.2">
      <c r="L6211" s="12"/>
      <c r="M6211" s="13"/>
    </row>
    <row r="6212" spans="12:13" x14ac:dyDescent="0.2">
      <c r="L6212" s="12"/>
      <c r="M6212" s="13"/>
    </row>
    <row r="6213" spans="12:13" x14ac:dyDescent="0.2">
      <c r="L6213" s="12"/>
      <c r="M6213" s="13"/>
    </row>
    <row r="6214" spans="12:13" x14ac:dyDescent="0.2">
      <c r="L6214" s="12"/>
      <c r="M6214" s="13"/>
    </row>
    <row r="6215" spans="12:13" x14ac:dyDescent="0.2">
      <c r="L6215" s="12"/>
      <c r="M6215" s="13"/>
    </row>
    <row r="6216" spans="12:13" x14ac:dyDescent="0.2">
      <c r="L6216" s="12"/>
      <c r="M6216" s="13"/>
    </row>
    <row r="6217" spans="12:13" x14ac:dyDescent="0.2">
      <c r="L6217" s="12"/>
      <c r="M6217" s="13"/>
    </row>
    <row r="6218" spans="12:13" x14ac:dyDescent="0.2">
      <c r="L6218" s="12"/>
      <c r="M6218" s="13"/>
    </row>
    <row r="6219" spans="12:13" x14ac:dyDescent="0.2">
      <c r="L6219" s="12"/>
      <c r="M6219" s="13"/>
    </row>
    <row r="6220" spans="12:13" x14ac:dyDescent="0.2">
      <c r="L6220" s="12"/>
      <c r="M6220" s="13"/>
    </row>
    <row r="6221" spans="12:13" x14ac:dyDescent="0.2">
      <c r="L6221" s="12"/>
      <c r="M6221" s="13"/>
    </row>
    <row r="6222" spans="12:13" x14ac:dyDescent="0.2">
      <c r="L6222" s="12"/>
      <c r="M6222" s="13"/>
    </row>
    <row r="6223" spans="12:13" x14ac:dyDescent="0.2">
      <c r="L6223" s="12"/>
      <c r="M6223" s="13"/>
    </row>
    <row r="6224" spans="12:13" x14ac:dyDescent="0.2">
      <c r="L6224" s="12"/>
      <c r="M6224" s="13"/>
    </row>
    <row r="6225" spans="12:13" x14ac:dyDescent="0.2">
      <c r="L6225" s="12"/>
      <c r="M6225" s="13"/>
    </row>
    <row r="6226" spans="12:13" x14ac:dyDescent="0.2">
      <c r="L6226" s="12"/>
      <c r="M6226" s="13"/>
    </row>
    <row r="6227" spans="12:13" x14ac:dyDescent="0.2">
      <c r="L6227" s="12"/>
      <c r="M6227" s="13"/>
    </row>
    <row r="6228" spans="12:13" x14ac:dyDescent="0.2">
      <c r="L6228" s="12"/>
      <c r="M6228" s="13"/>
    </row>
    <row r="6229" spans="12:13" x14ac:dyDescent="0.2">
      <c r="L6229" s="12"/>
      <c r="M6229" s="13"/>
    </row>
    <row r="6230" spans="12:13" x14ac:dyDescent="0.2">
      <c r="L6230" s="12"/>
      <c r="M6230" s="13"/>
    </row>
    <row r="6231" spans="12:13" x14ac:dyDescent="0.2">
      <c r="L6231" s="12"/>
      <c r="M6231" s="13"/>
    </row>
    <row r="6232" spans="12:13" x14ac:dyDescent="0.2">
      <c r="L6232" s="12"/>
      <c r="M6232" s="13"/>
    </row>
    <row r="6233" spans="12:13" x14ac:dyDescent="0.2">
      <c r="L6233" s="12"/>
      <c r="M6233" s="13"/>
    </row>
    <row r="6234" spans="12:13" x14ac:dyDescent="0.2">
      <c r="L6234" s="12"/>
      <c r="M6234" s="13"/>
    </row>
    <row r="6235" spans="12:13" x14ac:dyDescent="0.2">
      <c r="L6235" s="12"/>
      <c r="M6235" s="13"/>
    </row>
    <row r="6236" spans="12:13" x14ac:dyDescent="0.2">
      <c r="L6236" s="12"/>
      <c r="M6236" s="13"/>
    </row>
    <row r="6237" spans="12:13" x14ac:dyDescent="0.2">
      <c r="L6237" s="12"/>
      <c r="M6237" s="13"/>
    </row>
    <row r="6238" spans="12:13" x14ac:dyDescent="0.2">
      <c r="L6238" s="12"/>
      <c r="M6238" s="13"/>
    </row>
    <row r="6239" spans="12:13" x14ac:dyDescent="0.2">
      <c r="L6239" s="12"/>
      <c r="M6239" s="13"/>
    </row>
    <row r="6240" spans="12:13" x14ac:dyDescent="0.2">
      <c r="L6240" s="12"/>
      <c r="M6240" s="13"/>
    </row>
    <row r="6241" spans="12:13" x14ac:dyDescent="0.2">
      <c r="L6241" s="12"/>
      <c r="M6241" s="13"/>
    </row>
    <row r="6242" spans="12:13" x14ac:dyDescent="0.2">
      <c r="L6242" s="12"/>
      <c r="M6242" s="13"/>
    </row>
    <row r="6243" spans="12:13" x14ac:dyDescent="0.2">
      <c r="L6243" s="12"/>
      <c r="M6243" s="13"/>
    </row>
    <row r="6244" spans="12:13" x14ac:dyDescent="0.2">
      <c r="L6244" s="12"/>
      <c r="M6244" s="13"/>
    </row>
    <row r="6245" spans="12:13" x14ac:dyDescent="0.2">
      <c r="L6245" s="12"/>
      <c r="M6245" s="13"/>
    </row>
    <row r="6246" spans="12:13" x14ac:dyDescent="0.2">
      <c r="L6246" s="12"/>
      <c r="M6246" s="13"/>
    </row>
    <row r="6247" spans="12:13" x14ac:dyDescent="0.2">
      <c r="L6247" s="12"/>
      <c r="M6247" s="13"/>
    </row>
    <row r="6248" spans="12:13" x14ac:dyDescent="0.2">
      <c r="L6248" s="12"/>
      <c r="M6248" s="13"/>
    </row>
    <row r="6249" spans="12:13" x14ac:dyDescent="0.2">
      <c r="L6249" s="12"/>
      <c r="M6249" s="13"/>
    </row>
    <row r="6250" spans="12:13" x14ac:dyDescent="0.2">
      <c r="L6250" s="12"/>
      <c r="M6250" s="13"/>
    </row>
    <row r="6251" spans="12:13" x14ac:dyDescent="0.2">
      <c r="L6251" s="12"/>
      <c r="M6251" s="13"/>
    </row>
    <row r="6252" spans="12:13" x14ac:dyDescent="0.2">
      <c r="L6252" s="12"/>
      <c r="M6252" s="13"/>
    </row>
    <row r="6253" spans="12:13" x14ac:dyDescent="0.2">
      <c r="L6253" s="12"/>
      <c r="M6253" s="13"/>
    </row>
    <row r="6254" spans="12:13" x14ac:dyDescent="0.2">
      <c r="L6254" s="12"/>
      <c r="M6254" s="13"/>
    </row>
    <row r="6255" spans="12:13" x14ac:dyDescent="0.2">
      <c r="L6255" s="12"/>
      <c r="M6255" s="13"/>
    </row>
    <row r="6256" spans="12:13" x14ac:dyDescent="0.2">
      <c r="L6256" s="12"/>
      <c r="M6256" s="13"/>
    </row>
    <row r="6257" spans="12:13" x14ac:dyDescent="0.2">
      <c r="L6257" s="12"/>
      <c r="M6257" s="13"/>
    </row>
    <row r="6258" spans="12:13" x14ac:dyDescent="0.2">
      <c r="L6258" s="12"/>
      <c r="M6258" s="13"/>
    </row>
    <row r="6259" spans="12:13" x14ac:dyDescent="0.2">
      <c r="L6259" s="12"/>
      <c r="M6259" s="13"/>
    </row>
    <row r="6260" spans="12:13" x14ac:dyDescent="0.2">
      <c r="L6260" s="12"/>
      <c r="M6260" s="13"/>
    </row>
    <row r="6261" spans="12:13" x14ac:dyDescent="0.2">
      <c r="L6261" s="12"/>
      <c r="M6261" s="13"/>
    </row>
    <row r="6262" spans="12:13" x14ac:dyDescent="0.2">
      <c r="L6262" s="12"/>
      <c r="M6262" s="13"/>
    </row>
    <row r="6263" spans="12:13" x14ac:dyDescent="0.2">
      <c r="L6263" s="12"/>
      <c r="M6263" s="13"/>
    </row>
    <row r="6264" spans="12:13" x14ac:dyDescent="0.2">
      <c r="L6264" s="12"/>
      <c r="M6264" s="13"/>
    </row>
    <row r="6265" spans="12:13" x14ac:dyDescent="0.2">
      <c r="L6265" s="12"/>
      <c r="M6265" s="13"/>
    </row>
    <row r="6266" spans="12:13" x14ac:dyDescent="0.2">
      <c r="L6266" s="12"/>
      <c r="M6266" s="13"/>
    </row>
    <row r="6267" spans="12:13" x14ac:dyDescent="0.2">
      <c r="L6267" s="12"/>
      <c r="M6267" s="13"/>
    </row>
    <row r="6268" spans="12:13" x14ac:dyDescent="0.2">
      <c r="L6268" s="12"/>
      <c r="M6268" s="13"/>
    </row>
    <row r="6269" spans="12:13" x14ac:dyDescent="0.2">
      <c r="L6269" s="12"/>
      <c r="M6269" s="13"/>
    </row>
    <row r="6270" spans="12:13" x14ac:dyDescent="0.2">
      <c r="L6270" s="12"/>
      <c r="M6270" s="13"/>
    </row>
    <row r="6271" spans="12:13" x14ac:dyDescent="0.2">
      <c r="L6271" s="12"/>
      <c r="M6271" s="13"/>
    </row>
    <row r="6272" spans="12:13" x14ac:dyDescent="0.2">
      <c r="L6272" s="12"/>
      <c r="M6272" s="13"/>
    </row>
    <row r="6273" spans="12:13" x14ac:dyDescent="0.2">
      <c r="L6273" s="12"/>
      <c r="M6273" s="13"/>
    </row>
    <row r="6274" spans="12:13" x14ac:dyDescent="0.2">
      <c r="L6274" s="12"/>
      <c r="M6274" s="13"/>
    </row>
    <row r="6275" spans="12:13" x14ac:dyDescent="0.2">
      <c r="L6275" s="12"/>
      <c r="M6275" s="13"/>
    </row>
    <row r="6276" spans="12:13" x14ac:dyDescent="0.2">
      <c r="L6276" s="12"/>
      <c r="M6276" s="13"/>
    </row>
    <row r="6277" spans="12:13" x14ac:dyDescent="0.2">
      <c r="L6277" s="12"/>
      <c r="M6277" s="13"/>
    </row>
    <row r="6278" spans="12:13" x14ac:dyDescent="0.2">
      <c r="L6278" s="12"/>
      <c r="M6278" s="13"/>
    </row>
    <row r="6279" spans="12:13" x14ac:dyDescent="0.2">
      <c r="L6279" s="12"/>
      <c r="M6279" s="13"/>
    </row>
    <row r="6280" spans="12:13" x14ac:dyDescent="0.2">
      <c r="L6280" s="12"/>
      <c r="M6280" s="13"/>
    </row>
    <row r="6281" spans="12:13" x14ac:dyDescent="0.2">
      <c r="L6281" s="12"/>
      <c r="M6281" s="13"/>
    </row>
    <row r="6282" spans="12:13" x14ac:dyDescent="0.2">
      <c r="L6282" s="12"/>
      <c r="M6282" s="13"/>
    </row>
    <row r="6283" spans="12:13" x14ac:dyDescent="0.2">
      <c r="L6283" s="12"/>
      <c r="M6283" s="13"/>
    </row>
    <row r="6284" spans="12:13" x14ac:dyDescent="0.2">
      <c r="L6284" s="12"/>
      <c r="M6284" s="13"/>
    </row>
    <row r="6285" spans="12:13" x14ac:dyDescent="0.2">
      <c r="L6285" s="12"/>
      <c r="M6285" s="13"/>
    </row>
    <row r="6286" spans="12:13" x14ac:dyDescent="0.2">
      <c r="L6286" s="12"/>
      <c r="M6286" s="13"/>
    </row>
    <row r="6287" spans="12:13" x14ac:dyDescent="0.2">
      <c r="L6287" s="12"/>
      <c r="M6287" s="13"/>
    </row>
    <row r="6288" spans="12:13" x14ac:dyDescent="0.2">
      <c r="L6288" s="12"/>
      <c r="M6288" s="13"/>
    </row>
    <row r="6289" spans="12:13" x14ac:dyDescent="0.2">
      <c r="L6289" s="12"/>
      <c r="M6289" s="13"/>
    </row>
    <row r="6290" spans="12:13" x14ac:dyDescent="0.2">
      <c r="L6290" s="12"/>
      <c r="M6290" s="13"/>
    </row>
    <row r="6291" spans="12:13" x14ac:dyDescent="0.2">
      <c r="L6291" s="12"/>
      <c r="M6291" s="13"/>
    </row>
    <row r="6292" spans="12:13" x14ac:dyDescent="0.2">
      <c r="L6292" s="12"/>
      <c r="M6292" s="13"/>
    </row>
    <row r="6293" spans="12:13" x14ac:dyDescent="0.2">
      <c r="L6293" s="12"/>
      <c r="M6293" s="13"/>
    </row>
    <row r="6294" spans="12:13" x14ac:dyDescent="0.2">
      <c r="L6294" s="12"/>
      <c r="M6294" s="13"/>
    </row>
    <row r="6295" spans="12:13" x14ac:dyDescent="0.2">
      <c r="L6295" s="12"/>
      <c r="M6295" s="13"/>
    </row>
    <row r="6296" spans="12:13" x14ac:dyDescent="0.2">
      <c r="L6296" s="12"/>
      <c r="M6296" s="13"/>
    </row>
    <row r="6297" spans="12:13" x14ac:dyDescent="0.2">
      <c r="L6297" s="12"/>
      <c r="M6297" s="13"/>
    </row>
    <row r="6298" spans="12:13" x14ac:dyDescent="0.2">
      <c r="L6298" s="12"/>
      <c r="M6298" s="13"/>
    </row>
    <row r="6299" spans="12:13" x14ac:dyDescent="0.2">
      <c r="L6299" s="12"/>
      <c r="M6299" s="13"/>
    </row>
    <row r="6300" spans="12:13" x14ac:dyDescent="0.2">
      <c r="L6300" s="12"/>
      <c r="M6300" s="13"/>
    </row>
    <row r="6301" spans="12:13" x14ac:dyDescent="0.2">
      <c r="L6301" s="12"/>
      <c r="M6301" s="13"/>
    </row>
    <row r="6302" spans="12:13" x14ac:dyDescent="0.2">
      <c r="L6302" s="12"/>
      <c r="M6302" s="13"/>
    </row>
    <row r="6303" spans="12:13" x14ac:dyDescent="0.2">
      <c r="L6303" s="12"/>
      <c r="M6303" s="13"/>
    </row>
    <row r="6304" spans="12:13" x14ac:dyDescent="0.2">
      <c r="L6304" s="12"/>
      <c r="M6304" s="13"/>
    </row>
    <row r="6305" spans="12:13" x14ac:dyDescent="0.2">
      <c r="L6305" s="12"/>
      <c r="M6305" s="13"/>
    </row>
    <row r="6306" spans="12:13" x14ac:dyDescent="0.2">
      <c r="L6306" s="12"/>
      <c r="M6306" s="13"/>
    </row>
    <row r="6307" spans="12:13" x14ac:dyDescent="0.2">
      <c r="L6307" s="12"/>
      <c r="M6307" s="13"/>
    </row>
    <row r="6308" spans="12:13" x14ac:dyDescent="0.2">
      <c r="L6308" s="12"/>
      <c r="M6308" s="13"/>
    </row>
    <row r="6309" spans="12:13" x14ac:dyDescent="0.2">
      <c r="L6309" s="12"/>
      <c r="M6309" s="13"/>
    </row>
    <row r="6310" spans="12:13" x14ac:dyDescent="0.2">
      <c r="L6310" s="12"/>
      <c r="M6310" s="13"/>
    </row>
    <row r="6311" spans="12:13" x14ac:dyDescent="0.2">
      <c r="L6311" s="12"/>
      <c r="M6311" s="13"/>
    </row>
    <row r="6312" spans="12:13" x14ac:dyDescent="0.2">
      <c r="L6312" s="12"/>
      <c r="M6312" s="13"/>
    </row>
    <row r="6313" spans="12:13" x14ac:dyDescent="0.2">
      <c r="L6313" s="12"/>
      <c r="M6313" s="13"/>
    </row>
    <row r="6314" spans="12:13" x14ac:dyDescent="0.2">
      <c r="L6314" s="12"/>
      <c r="M6314" s="13"/>
    </row>
    <row r="6315" spans="12:13" x14ac:dyDescent="0.2">
      <c r="L6315" s="12"/>
      <c r="M6315" s="13"/>
    </row>
    <row r="6316" spans="12:13" x14ac:dyDescent="0.2">
      <c r="L6316" s="12"/>
      <c r="M6316" s="13"/>
    </row>
    <row r="6317" spans="12:13" x14ac:dyDescent="0.2">
      <c r="L6317" s="12"/>
      <c r="M6317" s="13"/>
    </row>
    <row r="6318" spans="12:13" x14ac:dyDescent="0.2">
      <c r="L6318" s="12"/>
      <c r="M6318" s="13"/>
    </row>
    <row r="6319" spans="12:13" x14ac:dyDescent="0.2">
      <c r="L6319" s="12"/>
      <c r="M6319" s="13"/>
    </row>
    <row r="6320" spans="12:13" x14ac:dyDescent="0.2">
      <c r="L6320" s="12"/>
      <c r="M6320" s="13"/>
    </row>
    <row r="6321" spans="12:13" x14ac:dyDescent="0.2">
      <c r="L6321" s="12"/>
      <c r="M6321" s="13"/>
    </row>
    <row r="6322" spans="12:13" x14ac:dyDescent="0.2">
      <c r="L6322" s="12"/>
      <c r="M6322" s="13"/>
    </row>
    <row r="6323" spans="12:13" x14ac:dyDescent="0.2">
      <c r="L6323" s="12"/>
      <c r="M6323" s="13"/>
    </row>
    <row r="6324" spans="12:13" x14ac:dyDescent="0.2">
      <c r="L6324" s="12"/>
      <c r="M6324" s="13"/>
    </row>
    <row r="6325" spans="12:13" x14ac:dyDescent="0.2">
      <c r="L6325" s="12"/>
      <c r="M6325" s="13"/>
    </row>
    <row r="6326" spans="12:13" x14ac:dyDescent="0.2">
      <c r="L6326" s="12"/>
      <c r="M6326" s="13"/>
    </row>
    <row r="6327" spans="12:13" x14ac:dyDescent="0.2">
      <c r="L6327" s="12"/>
      <c r="M6327" s="13"/>
    </row>
    <row r="6328" spans="12:13" x14ac:dyDescent="0.2">
      <c r="L6328" s="12"/>
      <c r="M6328" s="13"/>
    </row>
    <row r="6329" spans="12:13" x14ac:dyDescent="0.2">
      <c r="L6329" s="12"/>
      <c r="M6329" s="13"/>
    </row>
    <row r="6330" spans="12:13" x14ac:dyDescent="0.2">
      <c r="L6330" s="12"/>
      <c r="M6330" s="13"/>
    </row>
    <row r="6331" spans="12:13" x14ac:dyDescent="0.2">
      <c r="L6331" s="12"/>
      <c r="M6331" s="13"/>
    </row>
    <row r="6332" spans="12:13" x14ac:dyDescent="0.2">
      <c r="L6332" s="12"/>
      <c r="M6332" s="13"/>
    </row>
    <row r="6333" spans="12:13" x14ac:dyDescent="0.2">
      <c r="L6333" s="12"/>
      <c r="M6333" s="13"/>
    </row>
    <row r="6334" spans="12:13" x14ac:dyDescent="0.2">
      <c r="L6334" s="12"/>
      <c r="M6334" s="13"/>
    </row>
    <row r="6335" spans="12:13" x14ac:dyDescent="0.2">
      <c r="L6335" s="12"/>
      <c r="M6335" s="13"/>
    </row>
    <row r="6336" spans="12:13" x14ac:dyDescent="0.2">
      <c r="L6336" s="12"/>
      <c r="M6336" s="13"/>
    </row>
    <row r="6337" spans="12:13" x14ac:dyDescent="0.2">
      <c r="L6337" s="12"/>
      <c r="M6337" s="13"/>
    </row>
    <row r="6338" spans="12:13" x14ac:dyDescent="0.2">
      <c r="L6338" s="12"/>
      <c r="M6338" s="13"/>
    </row>
    <row r="6339" spans="12:13" x14ac:dyDescent="0.2">
      <c r="L6339" s="12"/>
      <c r="M6339" s="13"/>
    </row>
    <row r="6340" spans="12:13" x14ac:dyDescent="0.2">
      <c r="L6340" s="12"/>
      <c r="M6340" s="13"/>
    </row>
    <row r="6341" spans="12:13" x14ac:dyDescent="0.2">
      <c r="L6341" s="12"/>
      <c r="M6341" s="13"/>
    </row>
    <row r="6342" spans="12:13" x14ac:dyDescent="0.2">
      <c r="L6342" s="12"/>
      <c r="M6342" s="13"/>
    </row>
    <row r="6343" spans="12:13" x14ac:dyDescent="0.2">
      <c r="L6343" s="12"/>
      <c r="M6343" s="13"/>
    </row>
    <row r="6344" spans="12:13" x14ac:dyDescent="0.2">
      <c r="L6344" s="12"/>
      <c r="M6344" s="13"/>
    </row>
    <row r="6345" spans="12:13" x14ac:dyDescent="0.2">
      <c r="L6345" s="12"/>
      <c r="M6345" s="13"/>
    </row>
    <row r="6346" spans="12:13" x14ac:dyDescent="0.2">
      <c r="L6346" s="12"/>
      <c r="M6346" s="13"/>
    </row>
    <row r="6347" spans="12:13" x14ac:dyDescent="0.2">
      <c r="L6347" s="12"/>
      <c r="M6347" s="13"/>
    </row>
    <row r="6348" spans="12:13" x14ac:dyDescent="0.2">
      <c r="L6348" s="12"/>
      <c r="M6348" s="13"/>
    </row>
    <row r="6349" spans="12:13" x14ac:dyDescent="0.2">
      <c r="L6349" s="12"/>
      <c r="M6349" s="13"/>
    </row>
    <row r="6350" spans="12:13" x14ac:dyDescent="0.2">
      <c r="L6350" s="12"/>
      <c r="M6350" s="13"/>
    </row>
    <row r="6351" spans="12:13" x14ac:dyDescent="0.2">
      <c r="L6351" s="12"/>
      <c r="M6351" s="13"/>
    </row>
    <row r="6352" spans="12:13" x14ac:dyDescent="0.2">
      <c r="L6352" s="12"/>
      <c r="M6352" s="13"/>
    </row>
    <row r="6353" spans="12:13" x14ac:dyDescent="0.2">
      <c r="L6353" s="12"/>
      <c r="M6353" s="13"/>
    </row>
    <row r="6354" spans="12:13" x14ac:dyDescent="0.2">
      <c r="L6354" s="12"/>
      <c r="M6354" s="13"/>
    </row>
    <row r="6355" spans="12:13" x14ac:dyDescent="0.2">
      <c r="L6355" s="12"/>
      <c r="M6355" s="13"/>
    </row>
    <row r="6356" spans="12:13" x14ac:dyDescent="0.2">
      <c r="L6356" s="12"/>
      <c r="M6356" s="13"/>
    </row>
    <row r="6357" spans="12:13" x14ac:dyDescent="0.2">
      <c r="L6357" s="12"/>
      <c r="M6357" s="13"/>
    </row>
    <row r="6358" spans="12:13" x14ac:dyDescent="0.2">
      <c r="L6358" s="12"/>
      <c r="M6358" s="13"/>
    </row>
    <row r="6359" spans="12:13" x14ac:dyDescent="0.2">
      <c r="L6359" s="12"/>
      <c r="M6359" s="13"/>
    </row>
    <row r="6360" spans="12:13" x14ac:dyDescent="0.2">
      <c r="L6360" s="12"/>
      <c r="M6360" s="13"/>
    </row>
    <row r="6361" spans="12:13" x14ac:dyDescent="0.2">
      <c r="L6361" s="12"/>
      <c r="M6361" s="13"/>
    </row>
    <row r="6362" spans="12:13" x14ac:dyDescent="0.2">
      <c r="L6362" s="12"/>
      <c r="M6362" s="13"/>
    </row>
    <row r="6363" spans="12:13" x14ac:dyDescent="0.2">
      <c r="L6363" s="12"/>
      <c r="M6363" s="13"/>
    </row>
    <row r="6364" spans="12:13" x14ac:dyDescent="0.2">
      <c r="L6364" s="12"/>
      <c r="M6364" s="13"/>
    </row>
    <row r="6365" spans="12:13" x14ac:dyDescent="0.2">
      <c r="L6365" s="12"/>
      <c r="M6365" s="13"/>
    </row>
    <row r="6366" spans="12:13" x14ac:dyDescent="0.2">
      <c r="L6366" s="12"/>
      <c r="M6366" s="13"/>
    </row>
    <row r="6367" spans="12:13" x14ac:dyDescent="0.2">
      <c r="L6367" s="12"/>
      <c r="M6367" s="13"/>
    </row>
    <row r="6368" spans="12:13" x14ac:dyDescent="0.2">
      <c r="L6368" s="12"/>
      <c r="M6368" s="13"/>
    </row>
    <row r="6369" spans="12:13" x14ac:dyDescent="0.2">
      <c r="L6369" s="12"/>
      <c r="M6369" s="13"/>
    </row>
    <row r="6370" spans="12:13" x14ac:dyDescent="0.2">
      <c r="L6370" s="12"/>
      <c r="M6370" s="13"/>
    </row>
    <row r="6371" spans="12:13" x14ac:dyDescent="0.2">
      <c r="L6371" s="12"/>
      <c r="M6371" s="13"/>
    </row>
    <row r="6372" spans="12:13" x14ac:dyDescent="0.2">
      <c r="L6372" s="12"/>
      <c r="M6372" s="13"/>
    </row>
    <row r="6373" spans="12:13" x14ac:dyDescent="0.2">
      <c r="L6373" s="12"/>
      <c r="M6373" s="13"/>
    </row>
    <row r="6374" spans="12:13" x14ac:dyDescent="0.2">
      <c r="L6374" s="12"/>
      <c r="M6374" s="13"/>
    </row>
    <row r="6375" spans="12:13" x14ac:dyDescent="0.2">
      <c r="L6375" s="12"/>
      <c r="M6375" s="13"/>
    </row>
    <row r="6376" spans="12:13" x14ac:dyDescent="0.2">
      <c r="L6376" s="12"/>
      <c r="M6376" s="13"/>
    </row>
    <row r="6377" spans="12:13" x14ac:dyDescent="0.2">
      <c r="L6377" s="12"/>
      <c r="M6377" s="13"/>
    </row>
    <row r="6378" spans="12:13" x14ac:dyDescent="0.2">
      <c r="L6378" s="12"/>
      <c r="M6378" s="13"/>
    </row>
    <row r="6379" spans="12:13" x14ac:dyDescent="0.2">
      <c r="L6379" s="12"/>
      <c r="M6379" s="13"/>
    </row>
    <row r="6380" spans="12:13" x14ac:dyDescent="0.2">
      <c r="L6380" s="12"/>
      <c r="M6380" s="13"/>
    </row>
    <row r="6381" spans="12:13" x14ac:dyDescent="0.2">
      <c r="L6381" s="12"/>
      <c r="M6381" s="13"/>
    </row>
    <row r="6382" spans="12:13" x14ac:dyDescent="0.2">
      <c r="L6382" s="12"/>
      <c r="M6382" s="13"/>
    </row>
    <row r="6383" spans="12:13" x14ac:dyDescent="0.2">
      <c r="L6383" s="12"/>
      <c r="M6383" s="13"/>
    </row>
    <row r="6384" spans="12:13" x14ac:dyDescent="0.2">
      <c r="L6384" s="12"/>
      <c r="M6384" s="13"/>
    </row>
    <row r="6385" spans="12:13" x14ac:dyDescent="0.2">
      <c r="L6385" s="12"/>
      <c r="M6385" s="13"/>
    </row>
    <row r="6386" spans="12:13" x14ac:dyDescent="0.2">
      <c r="L6386" s="12"/>
      <c r="M6386" s="13"/>
    </row>
    <row r="6387" spans="12:13" x14ac:dyDescent="0.2">
      <c r="L6387" s="12"/>
      <c r="M6387" s="13"/>
    </row>
    <row r="6388" spans="12:13" x14ac:dyDescent="0.2">
      <c r="L6388" s="12"/>
      <c r="M6388" s="13"/>
    </row>
    <row r="6389" spans="12:13" x14ac:dyDescent="0.2">
      <c r="L6389" s="12"/>
      <c r="M6389" s="13"/>
    </row>
    <row r="6390" spans="12:13" x14ac:dyDescent="0.2">
      <c r="L6390" s="12"/>
      <c r="M6390" s="13"/>
    </row>
    <row r="6391" spans="12:13" x14ac:dyDescent="0.2">
      <c r="L6391" s="12"/>
      <c r="M6391" s="13"/>
    </row>
    <row r="6392" spans="12:13" x14ac:dyDescent="0.2">
      <c r="L6392" s="12"/>
      <c r="M6392" s="13"/>
    </row>
    <row r="6393" spans="12:13" x14ac:dyDescent="0.2">
      <c r="L6393" s="12"/>
      <c r="M6393" s="13"/>
    </row>
    <row r="6394" spans="12:13" x14ac:dyDescent="0.2">
      <c r="L6394" s="12"/>
      <c r="M6394" s="13"/>
    </row>
    <row r="6395" spans="12:13" x14ac:dyDescent="0.2">
      <c r="L6395" s="12"/>
      <c r="M6395" s="13"/>
    </row>
    <row r="6396" spans="12:13" x14ac:dyDescent="0.2">
      <c r="L6396" s="12"/>
      <c r="M6396" s="13"/>
    </row>
    <row r="6397" spans="12:13" x14ac:dyDescent="0.2">
      <c r="L6397" s="12"/>
      <c r="M6397" s="13"/>
    </row>
    <row r="6398" spans="12:13" x14ac:dyDescent="0.2">
      <c r="L6398" s="12"/>
      <c r="M6398" s="13"/>
    </row>
    <row r="6399" spans="12:13" x14ac:dyDescent="0.2">
      <c r="L6399" s="12"/>
      <c r="M6399" s="13"/>
    </row>
    <row r="6400" spans="12:13" x14ac:dyDescent="0.2">
      <c r="L6400" s="12"/>
      <c r="M6400" s="13"/>
    </row>
    <row r="6401" spans="12:13" x14ac:dyDescent="0.2">
      <c r="L6401" s="12"/>
      <c r="M6401" s="13"/>
    </row>
    <row r="6402" spans="12:13" x14ac:dyDescent="0.2">
      <c r="L6402" s="17"/>
      <c r="M6402" s="18"/>
    </row>
    <row r="6403" spans="12:13" x14ac:dyDescent="0.2">
      <c r="L6403" s="12"/>
      <c r="M6403" s="13"/>
    </row>
    <row r="6404" spans="12:13" x14ac:dyDescent="0.2">
      <c r="L6404" s="12"/>
      <c r="M6404" s="13"/>
    </row>
    <row r="6405" spans="12:13" x14ac:dyDescent="0.2">
      <c r="L6405" s="12"/>
      <c r="M6405" s="13"/>
    </row>
    <row r="6406" spans="12:13" x14ac:dyDescent="0.2">
      <c r="L6406" s="12"/>
      <c r="M6406" s="13"/>
    </row>
    <row r="6407" spans="12:13" x14ac:dyDescent="0.2">
      <c r="L6407" s="12"/>
      <c r="M6407" s="13"/>
    </row>
    <row r="6408" spans="12:13" x14ac:dyDescent="0.2">
      <c r="L6408" s="12"/>
      <c r="M6408" s="13"/>
    </row>
    <row r="6409" spans="12:13" x14ac:dyDescent="0.2">
      <c r="L6409" s="12"/>
      <c r="M6409" s="13"/>
    </row>
    <row r="6410" spans="12:13" x14ac:dyDescent="0.2">
      <c r="L6410" s="12"/>
      <c r="M6410" s="13"/>
    </row>
    <row r="6411" spans="12:13" x14ac:dyDescent="0.2">
      <c r="L6411" s="12"/>
      <c r="M6411" s="13"/>
    </row>
    <row r="6412" spans="12:13" x14ac:dyDescent="0.2">
      <c r="L6412" s="12"/>
      <c r="M6412" s="13"/>
    </row>
    <row r="6413" spans="12:13" x14ac:dyDescent="0.2">
      <c r="L6413" s="12"/>
      <c r="M6413" s="13"/>
    </row>
    <row r="6414" spans="12:13" x14ac:dyDescent="0.2">
      <c r="L6414" s="12"/>
      <c r="M6414" s="13"/>
    </row>
    <row r="6415" spans="12:13" x14ac:dyDescent="0.2">
      <c r="L6415" s="12"/>
      <c r="M6415" s="13"/>
    </row>
    <row r="6416" spans="12:13" x14ac:dyDescent="0.2">
      <c r="L6416" s="12"/>
      <c r="M6416" s="13"/>
    </row>
    <row r="6417" spans="12:13" x14ac:dyDescent="0.2">
      <c r="L6417" s="12"/>
      <c r="M6417" s="13"/>
    </row>
    <row r="6418" spans="12:13" x14ac:dyDescent="0.2">
      <c r="L6418" s="12"/>
      <c r="M6418" s="13"/>
    </row>
    <row r="6419" spans="12:13" x14ac:dyDescent="0.2">
      <c r="L6419" s="12"/>
      <c r="M6419" s="13"/>
    </row>
    <row r="6420" spans="12:13" x14ac:dyDescent="0.2">
      <c r="L6420" s="12"/>
      <c r="M6420" s="13"/>
    </row>
    <row r="6421" spans="12:13" x14ac:dyDescent="0.2">
      <c r="L6421" s="12"/>
      <c r="M6421" s="13"/>
    </row>
    <row r="6422" spans="12:13" x14ac:dyDescent="0.2">
      <c r="L6422" s="12"/>
      <c r="M6422" s="13"/>
    </row>
    <row r="6423" spans="12:13" x14ac:dyDescent="0.2">
      <c r="L6423" s="12"/>
      <c r="M6423" s="13"/>
    </row>
    <row r="6424" spans="12:13" x14ac:dyDescent="0.2">
      <c r="L6424" s="12"/>
      <c r="M6424" s="13"/>
    </row>
    <row r="6425" spans="12:13" x14ac:dyDescent="0.2">
      <c r="L6425" s="12"/>
      <c r="M6425" s="13"/>
    </row>
    <row r="6426" spans="12:13" x14ac:dyDescent="0.2">
      <c r="L6426" s="12"/>
      <c r="M6426" s="13"/>
    </row>
    <row r="6427" spans="12:13" x14ac:dyDescent="0.2">
      <c r="L6427" s="12"/>
      <c r="M6427" s="13"/>
    </row>
    <row r="6428" spans="12:13" x14ac:dyDescent="0.2">
      <c r="L6428" s="12"/>
      <c r="M6428" s="13"/>
    </row>
    <row r="6429" spans="12:13" x14ac:dyDescent="0.2">
      <c r="L6429" s="12"/>
      <c r="M6429" s="13"/>
    </row>
    <row r="6430" spans="12:13" x14ac:dyDescent="0.2">
      <c r="L6430" s="12"/>
      <c r="M6430" s="13"/>
    </row>
    <row r="6431" spans="12:13" x14ac:dyDescent="0.2">
      <c r="L6431" s="12"/>
      <c r="M6431" s="13"/>
    </row>
    <row r="6432" spans="12:13" x14ac:dyDescent="0.2">
      <c r="L6432" s="12"/>
      <c r="M6432" s="13"/>
    </row>
    <row r="6433" spans="12:13" x14ac:dyDescent="0.2">
      <c r="L6433" s="12"/>
      <c r="M6433" s="13"/>
    </row>
    <row r="6434" spans="12:13" x14ac:dyDescent="0.2">
      <c r="L6434" s="12"/>
      <c r="M6434" s="13"/>
    </row>
    <row r="6435" spans="12:13" x14ac:dyDescent="0.2">
      <c r="L6435" s="12"/>
      <c r="M6435" s="13"/>
    </row>
    <row r="6436" spans="12:13" x14ac:dyDescent="0.2">
      <c r="L6436" s="12"/>
      <c r="M6436" s="13"/>
    </row>
    <row r="6437" spans="12:13" x14ac:dyDescent="0.2">
      <c r="L6437" s="12"/>
      <c r="M6437" s="13"/>
    </row>
    <row r="6438" spans="12:13" x14ac:dyDescent="0.2">
      <c r="L6438" s="12"/>
      <c r="M6438" s="13"/>
    </row>
    <row r="6439" spans="12:13" x14ac:dyDescent="0.2">
      <c r="L6439" s="12"/>
      <c r="M6439" s="13"/>
    </row>
    <row r="6440" spans="12:13" x14ac:dyDescent="0.2">
      <c r="L6440" s="12"/>
      <c r="M6440" s="13"/>
    </row>
    <row r="6441" spans="12:13" x14ac:dyDescent="0.2">
      <c r="L6441" s="12"/>
      <c r="M6441" s="13"/>
    </row>
    <row r="6442" spans="12:13" x14ac:dyDescent="0.2">
      <c r="L6442" s="12"/>
      <c r="M6442" s="13"/>
    </row>
    <row r="6443" spans="12:13" x14ac:dyDescent="0.2">
      <c r="L6443" s="12"/>
      <c r="M6443" s="13"/>
    </row>
    <row r="6444" spans="12:13" x14ac:dyDescent="0.2">
      <c r="L6444" s="12"/>
      <c r="M6444" s="13"/>
    </row>
    <row r="6445" spans="12:13" x14ac:dyDescent="0.2">
      <c r="L6445" s="12"/>
      <c r="M6445" s="13"/>
    </row>
    <row r="6446" spans="12:13" x14ac:dyDescent="0.2">
      <c r="L6446" s="12"/>
      <c r="M6446" s="13"/>
    </row>
    <row r="6447" spans="12:13" x14ac:dyDescent="0.2">
      <c r="L6447" s="12"/>
      <c r="M6447" s="13"/>
    </row>
    <row r="6448" spans="12:13" x14ac:dyDescent="0.2">
      <c r="L6448" s="12"/>
      <c r="M6448" s="13"/>
    </row>
    <row r="6449" spans="12:13" x14ac:dyDescent="0.2">
      <c r="L6449" s="12"/>
      <c r="M6449" s="13"/>
    </row>
    <row r="6450" spans="12:13" x14ac:dyDescent="0.2">
      <c r="L6450" s="12"/>
      <c r="M6450" s="13"/>
    </row>
    <row r="6451" spans="12:13" x14ac:dyDescent="0.2">
      <c r="L6451" s="12"/>
      <c r="M6451" s="13"/>
    </row>
    <row r="6452" spans="12:13" x14ac:dyDescent="0.2">
      <c r="L6452" s="12"/>
      <c r="M6452" s="13"/>
    </row>
    <row r="6453" spans="12:13" x14ac:dyDescent="0.2">
      <c r="L6453" s="12"/>
      <c r="M6453" s="13"/>
    </row>
    <row r="6454" spans="12:13" x14ac:dyDescent="0.2">
      <c r="L6454" s="12"/>
      <c r="M6454" s="13"/>
    </row>
    <row r="6455" spans="12:13" x14ac:dyDescent="0.2">
      <c r="L6455" s="12"/>
      <c r="M6455" s="13"/>
    </row>
    <row r="6456" spans="12:13" x14ac:dyDescent="0.2">
      <c r="L6456" s="12"/>
      <c r="M6456" s="13"/>
    </row>
    <row r="6457" spans="12:13" x14ac:dyDescent="0.2">
      <c r="L6457" s="12"/>
      <c r="M6457" s="13"/>
    </row>
    <row r="6458" spans="12:13" x14ac:dyDescent="0.2">
      <c r="L6458" s="12"/>
      <c r="M6458" s="13"/>
    </row>
    <row r="6459" spans="12:13" x14ac:dyDescent="0.2">
      <c r="L6459" s="12"/>
      <c r="M6459" s="13"/>
    </row>
    <row r="6460" spans="12:13" x14ac:dyDescent="0.2">
      <c r="L6460" s="12"/>
      <c r="M6460" s="13"/>
    </row>
    <row r="6461" spans="12:13" x14ac:dyDescent="0.2">
      <c r="L6461" s="12"/>
      <c r="M6461" s="13"/>
    </row>
    <row r="6462" spans="12:13" x14ac:dyDescent="0.2">
      <c r="L6462" s="12"/>
      <c r="M6462" s="13"/>
    </row>
    <row r="6463" spans="12:13" x14ac:dyDescent="0.2">
      <c r="L6463" s="12"/>
      <c r="M6463" s="13"/>
    </row>
    <row r="6464" spans="12:13" x14ac:dyDescent="0.2">
      <c r="L6464" s="12"/>
      <c r="M6464" s="13"/>
    </row>
    <row r="6465" spans="12:13" x14ac:dyDescent="0.2">
      <c r="L6465" s="12"/>
      <c r="M6465" s="13"/>
    </row>
    <row r="6466" spans="12:13" x14ac:dyDescent="0.2">
      <c r="L6466" s="12"/>
      <c r="M6466" s="13"/>
    </row>
    <row r="6467" spans="12:13" x14ac:dyDescent="0.2">
      <c r="L6467" s="12"/>
      <c r="M6467" s="13"/>
    </row>
    <row r="6468" spans="12:13" x14ac:dyDescent="0.2">
      <c r="L6468" s="12"/>
      <c r="M6468" s="13"/>
    </row>
    <row r="6469" spans="12:13" x14ac:dyDescent="0.2">
      <c r="L6469" s="12"/>
      <c r="M6469" s="13"/>
    </row>
    <row r="6470" spans="12:13" x14ac:dyDescent="0.2">
      <c r="L6470" s="12"/>
      <c r="M6470" s="13"/>
    </row>
    <row r="6471" spans="12:13" x14ac:dyDescent="0.2">
      <c r="L6471" s="12"/>
      <c r="M6471" s="13"/>
    </row>
    <row r="6472" spans="12:13" x14ac:dyDescent="0.2">
      <c r="L6472" s="12"/>
      <c r="M6472" s="13"/>
    </row>
    <row r="6473" spans="12:13" x14ac:dyDescent="0.2">
      <c r="L6473" s="12"/>
      <c r="M6473" s="13"/>
    </row>
    <row r="6474" spans="12:13" x14ac:dyDescent="0.2">
      <c r="L6474" s="12"/>
      <c r="M6474" s="13"/>
    </row>
    <row r="6475" spans="12:13" x14ac:dyDescent="0.2">
      <c r="L6475" s="12"/>
      <c r="M6475" s="13"/>
    </row>
    <row r="6476" spans="12:13" x14ac:dyDescent="0.2">
      <c r="L6476" s="12"/>
      <c r="M6476" s="13"/>
    </row>
    <row r="6477" spans="12:13" x14ac:dyDescent="0.2">
      <c r="L6477" s="12"/>
      <c r="M6477" s="13"/>
    </row>
    <row r="6478" spans="12:13" x14ac:dyDescent="0.2">
      <c r="L6478" s="12"/>
      <c r="M6478" s="13"/>
    </row>
    <row r="6479" spans="12:13" x14ac:dyDescent="0.2">
      <c r="L6479" s="12"/>
      <c r="M6479" s="13"/>
    </row>
    <row r="6480" spans="12:13" x14ac:dyDescent="0.2">
      <c r="L6480" s="12"/>
      <c r="M6480" s="13"/>
    </row>
    <row r="6481" spans="12:13" x14ac:dyDescent="0.2">
      <c r="L6481" s="12"/>
      <c r="M6481" s="13"/>
    </row>
    <row r="6482" spans="12:13" x14ac:dyDescent="0.2">
      <c r="L6482" s="12"/>
      <c r="M6482" s="13"/>
    </row>
    <row r="6483" spans="12:13" x14ac:dyDescent="0.2">
      <c r="L6483" s="12"/>
      <c r="M6483" s="13"/>
    </row>
    <row r="6484" spans="12:13" x14ac:dyDescent="0.2">
      <c r="L6484" s="12"/>
      <c r="M6484" s="13"/>
    </row>
    <row r="6485" spans="12:13" x14ac:dyDescent="0.2">
      <c r="L6485" s="12"/>
      <c r="M6485" s="13"/>
    </row>
    <row r="6486" spans="12:13" x14ac:dyDescent="0.2">
      <c r="L6486" s="12"/>
      <c r="M6486" s="13"/>
    </row>
    <row r="6487" spans="12:13" x14ac:dyDescent="0.2">
      <c r="L6487" s="12"/>
      <c r="M6487" s="13"/>
    </row>
    <row r="6488" spans="12:13" x14ac:dyDescent="0.2">
      <c r="L6488" s="12"/>
      <c r="M6488" s="13"/>
    </row>
    <row r="6489" spans="12:13" x14ac:dyDescent="0.2">
      <c r="L6489" s="12"/>
      <c r="M6489" s="13"/>
    </row>
    <row r="6490" spans="12:13" x14ac:dyDescent="0.2">
      <c r="L6490" s="12"/>
      <c r="M6490" s="13"/>
    </row>
    <row r="6491" spans="12:13" x14ac:dyDescent="0.2">
      <c r="L6491" s="12"/>
      <c r="M6491" s="13"/>
    </row>
    <row r="6492" spans="12:13" x14ac:dyDescent="0.2">
      <c r="L6492" s="12"/>
      <c r="M6492" s="13"/>
    </row>
    <row r="6493" spans="12:13" x14ac:dyDescent="0.2">
      <c r="L6493" s="12"/>
      <c r="M6493" s="13"/>
    </row>
    <row r="6494" spans="12:13" x14ac:dyDescent="0.2">
      <c r="L6494" s="12"/>
      <c r="M6494" s="13"/>
    </row>
    <row r="6495" spans="12:13" x14ac:dyDescent="0.2">
      <c r="L6495" s="12"/>
      <c r="M6495" s="13"/>
    </row>
    <row r="6496" spans="12:13" x14ac:dyDescent="0.2">
      <c r="L6496" s="12"/>
      <c r="M6496" s="13"/>
    </row>
    <row r="6497" spans="12:13" x14ac:dyDescent="0.2">
      <c r="L6497" s="12"/>
      <c r="M6497" s="13"/>
    </row>
    <row r="6498" spans="12:13" x14ac:dyDescent="0.2">
      <c r="L6498" s="12"/>
      <c r="M6498" s="13"/>
    </row>
    <row r="6499" spans="12:13" x14ac:dyDescent="0.2">
      <c r="L6499" s="12"/>
      <c r="M6499" s="13"/>
    </row>
    <row r="6500" spans="12:13" x14ac:dyDescent="0.2">
      <c r="L6500" s="12"/>
      <c r="M6500" s="13"/>
    </row>
    <row r="6501" spans="12:13" x14ac:dyDescent="0.2">
      <c r="L6501" s="12"/>
      <c r="M6501" s="13"/>
    </row>
    <row r="6502" spans="12:13" x14ac:dyDescent="0.2">
      <c r="L6502" s="12"/>
      <c r="M6502" s="13"/>
    </row>
    <row r="6503" spans="12:13" x14ac:dyDescent="0.2">
      <c r="L6503" s="12"/>
      <c r="M6503" s="13"/>
    </row>
    <row r="6504" spans="12:13" x14ac:dyDescent="0.2">
      <c r="L6504" s="12"/>
      <c r="M6504" s="13"/>
    </row>
    <row r="6505" spans="12:13" x14ac:dyDescent="0.2">
      <c r="L6505" s="12"/>
      <c r="M6505" s="13"/>
    </row>
    <row r="6506" spans="12:13" x14ac:dyDescent="0.2">
      <c r="L6506" s="12"/>
      <c r="M6506" s="13"/>
    </row>
    <row r="6507" spans="12:13" x14ac:dyDescent="0.2">
      <c r="L6507" s="12"/>
      <c r="M6507" s="13"/>
    </row>
    <row r="6508" spans="12:13" x14ac:dyDescent="0.2">
      <c r="L6508" s="12"/>
      <c r="M6508" s="13"/>
    </row>
    <row r="6509" spans="12:13" x14ac:dyDescent="0.2">
      <c r="L6509" s="12"/>
      <c r="M6509" s="13"/>
    </row>
    <row r="6510" spans="12:13" x14ac:dyDescent="0.2">
      <c r="L6510" s="12"/>
      <c r="M6510" s="13"/>
    </row>
    <row r="6511" spans="12:13" x14ac:dyDescent="0.2">
      <c r="L6511" s="12"/>
      <c r="M6511" s="13"/>
    </row>
    <row r="6512" spans="12:13" x14ac:dyDescent="0.2">
      <c r="L6512" s="12"/>
      <c r="M6512" s="13"/>
    </row>
    <row r="6513" spans="12:13" x14ac:dyDescent="0.2">
      <c r="L6513" s="12"/>
      <c r="M6513" s="13"/>
    </row>
    <row r="6514" spans="12:13" x14ac:dyDescent="0.2">
      <c r="L6514" s="12"/>
      <c r="M6514" s="13"/>
    </row>
    <row r="6515" spans="12:13" x14ac:dyDescent="0.2">
      <c r="L6515" s="12"/>
      <c r="M6515" s="13"/>
    </row>
    <row r="6516" spans="12:13" x14ac:dyDescent="0.2">
      <c r="L6516" s="12"/>
      <c r="M6516" s="13"/>
    </row>
    <row r="6517" spans="12:13" x14ac:dyDescent="0.2">
      <c r="L6517" s="12"/>
      <c r="M6517" s="13"/>
    </row>
    <row r="6518" spans="12:13" x14ac:dyDescent="0.2">
      <c r="L6518" s="12"/>
      <c r="M6518" s="13"/>
    </row>
    <row r="6519" spans="12:13" x14ac:dyDescent="0.2">
      <c r="L6519" s="12"/>
      <c r="M6519" s="13"/>
    </row>
    <row r="6520" spans="12:13" x14ac:dyDescent="0.2">
      <c r="L6520" s="12"/>
      <c r="M6520" s="13"/>
    </row>
    <row r="6521" spans="12:13" x14ac:dyDescent="0.2">
      <c r="L6521" s="12"/>
      <c r="M6521" s="13"/>
    </row>
    <row r="6522" spans="12:13" x14ac:dyDescent="0.2">
      <c r="L6522" s="12"/>
      <c r="M6522" s="13"/>
    </row>
    <row r="6523" spans="12:13" x14ac:dyDescent="0.2">
      <c r="L6523" s="12"/>
      <c r="M6523" s="13"/>
    </row>
    <row r="6524" spans="12:13" x14ac:dyDescent="0.2">
      <c r="L6524" s="12"/>
      <c r="M6524" s="13"/>
    </row>
    <row r="6525" spans="12:13" x14ac:dyDescent="0.2">
      <c r="L6525" s="12"/>
      <c r="M6525" s="13"/>
    </row>
    <row r="6526" spans="12:13" x14ac:dyDescent="0.2">
      <c r="L6526" s="12"/>
      <c r="M6526" s="13"/>
    </row>
    <row r="6527" spans="12:13" x14ac:dyDescent="0.2">
      <c r="L6527" s="12"/>
      <c r="M6527" s="13"/>
    </row>
    <row r="6528" spans="12:13" x14ac:dyDescent="0.2">
      <c r="L6528" s="12"/>
      <c r="M6528" s="13"/>
    </row>
    <row r="6529" spans="12:13" x14ac:dyDescent="0.2">
      <c r="L6529" s="12"/>
      <c r="M6529" s="13"/>
    </row>
    <row r="6530" spans="12:13" x14ac:dyDescent="0.2">
      <c r="L6530" s="12"/>
      <c r="M6530" s="13"/>
    </row>
    <row r="6531" spans="12:13" x14ac:dyDescent="0.2">
      <c r="L6531" s="12"/>
      <c r="M6531" s="13"/>
    </row>
    <row r="6532" spans="12:13" x14ac:dyDescent="0.2">
      <c r="L6532" s="12"/>
      <c r="M6532" s="13"/>
    </row>
    <row r="6533" spans="12:13" x14ac:dyDescent="0.2">
      <c r="L6533" s="12"/>
      <c r="M6533" s="13"/>
    </row>
    <row r="6534" spans="12:13" x14ac:dyDescent="0.2">
      <c r="L6534" s="12"/>
      <c r="M6534" s="13"/>
    </row>
    <row r="6535" spans="12:13" x14ac:dyDescent="0.2">
      <c r="L6535" s="12"/>
      <c r="M6535" s="13"/>
    </row>
    <row r="6536" spans="12:13" x14ac:dyDescent="0.2">
      <c r="L6536" s="12"/>
      <c r="M6536" s="13"/>
    </row>
    <row r="6537" spans="12:13" x14ac:dyDescent="0.2">
      <c r="L6537" s="12"/>
      <c r="M6537" s="13"/>
    </row>
    <row r="6538" spans="12:13" x14ac:dyDescent="0.2">
      <c r="L6538" s="12"/>
      <c r="M6538" s="13"/>
    </row>
    <row r="6539" spans="12:13" x14ac:dyDescent="0.2">
      <c r="L6539" s="12"/>
      <c r="M6539" s="13"/>
    </row>
    <row r="6540" spans="12:13" x14ac:dyDescent="0.2">
      <c r="L6540" s="12"/>
      <c r="M6540" s="13"/>
    </row>
    <row r="6541" spans="12:13" x14ac:dyDescent="0.2">
      <c r="L6541" s="12"/>
      <c r="M6541" s="13"/>
    </row>
    <row r="6542" spans="12:13" x14ac:dyDescent="0.2">
      <c r="L6542" s="12"/>
      <c r="M6542" s="13"/>
    </row>
    <row r="6543" spans="12:13" x14ac:dyDescent="0.2">
      <c r="L6543" s="12"/>
      <c r="M6543" s="13"/>
    </row>
    <row r="6544" spans="12:13" x14ac:dyDescent="0.2">
      <c r="L6544" s="12"/>
      <c r="M6544" s="13"/>
    </row>
    <row r="6545" spans="12:13" x14ac:dyDescent="0.2">
      <c r="L6545" s="12"/>
      <c r="M6545" s="13"/>
    </row>
    <row r="6546" spans="12:13" x14ac:dyDescent="0.2">
      <c r="L6546" s="12"/>
      <c r="M6546" s="13"/>
    </row>
    <row r="6547" spans="12:13" x14ac:dyDescent="0.2">
      <c r="L6547" s="12"/>
      <c r="M6547" s="13"/>
    </row>
    <row r="6548" spans="12:13" x14ac:dyDescent="0.2">
      <c r="L6548" s="12"/>
      <c r="M6548" s="13"/>
    </row>
    <row r="6549" spans="12:13" x14ac:dyDescent="0.2">
      <c r="L6549" s="12"/>
      <c r="M6549" s="13"/>
    </row>
    <row r="6550" spans="12:13" x14ac:dyDescent="0.2">
      <c r="L6550" s="12"/>
      <c r="M6550" s="13"/>
    </row>
    <row r="6551" spans="12:13" x14ac:dyDescent="0.2">
      <c r="L6551" s="12"/>
      <c r="M6551" s="13"/>
    </row>
    <row r="6552" spans="12:13" x14ac:dyDescent="0.2">
      <c r="L6552" s="12"/>
      <c r="M6552" s="13"/>
    </row>
    <row r="6553" spans="12:13" x14ac:dyDescent="0.2">
      <c r="L6553" s="12"/>
      <c r="M6553" s="13"/>
    </row>
    <row r="6554" spans="12:13" x14ac:dyDescent="0.2">
      <c r="L6554" s="12"/>
      <c r="M6554" s="13"/>
    </row>
    <row r="6555" spans="12:13" x14ac:dyDescent="0.2">
      <c r="L6555" s="12"/>
      <c r="M6555" s="13"/>
    </row>
    <row r="6556" spans="12:13" x14ac:dyDescent="0.2">
      <c r="L6556" s="12"/>
      <c r="M6556" s="13"/>
    </row>
    <row r="6557" spans="12:13" x14ac:dyDescent="0.2">
      <c r="L6557" s="12"/>
      <c r="M6557" s="13"/>
    </row>
    <row r="6558" spans="12:13" x14ac:dyDescent="0.2">
      <c r="L6558" s="12"/>
      <c r="M6558" s="13"/>
    </row>
    <row r="6559" spans="12:13" x14ac:dyDescent="0.2">
      <c r="L6559" s="12"/>
      <c r="M6559" s="13"/>
    </row>
    <row r="6560" spans="12:13" x14ac:dyDescent="0.2">
      <c r="L6560" s="12"/>
      <c r="M6560" s="13"/>
    </row>
    <row r="6561" spans="12:13" x14ac:dyDescent="0.2">
      <c r="L6561" s="12"/>
      <c r="M6561" s="13"/>
    </row>
    <row r="6562" spans="12:13" x14ac:dyDescent="0.2">
      <c r="L6562" s="12"/>
      <c r="M6562" s="13"/>
    </row>
    <row r="6563" spans="12:13" x14ac:dyDescent="0.2">
      <c r="L6563" s="12"/>
      <c r="M6563" s="13"/>
    </row>
    <row r="6564" spans="12:13" x14ac:dyDescent="0.2">
      <c r="L6564" s="12"/>
      <c r="M6564" s="13"/>
    </row>
    <row r="6565" spans="12:13" x14ac:dyDescent="0.2">
      <c r="L6565" s="12"/>
      <c r="M6565" s="13"/>
    </row>
    <row r="6566" spans="12:13" x14ac:dyDescent="0.2">
      <c r="L6566" s="12"/>
      <c r="M6566" s="13"/>
    </row>
    <row r="6567" spans="12:13" x14ac:dyDescent="0.2">
      <c r="L6567" s="12"/>
      <c r="M6567" s="13"/>
    </row>
    <row r="6568" spans="12:13" x14ac:dyDescent="0.2">
      <c r="L6568" s="12"/>
      <c r="M6568" s="13"/>
    </row>
    <row r="6569" spans="12:13" x14ac:dyDescent="0.2">
      <c r="L6569" s="12"/>
      <c r="M6569" s="13"/>
    </row>
    <row r="6570" spans="12:13" x14ac:dyDescent="0.2">
      <c r="L6570" s="12"/>
      <c r="M6570" s="13"/>
    </row>
    <row r="6571" spans="12:13" x14ac:dyDescent="0.2">
      <c r="L6571" s="12"/>
      <c r="M6571" s="13"/>
    </row>
    <row r="6572" spans="12:13" x14ac:dyDescent="0.2">
      <c r="L6572" s="12"/>
      <c r="M6572" s="13"/>
    </row>
    <row r="6573" spans="12:13" x14ac:dyDescent="0.2">
      <c r="L6573" s="12"/>
      <c r="M6573" s="13"/>
    </row>
    <row r="6574" spans="12:13" x14ac:dyDescent="0.2">
      <c r="L6574" s="12"/>
      <c r="M6574" s="13"/>
    </row>
    <row r="6575" spans="12:13" x14ac:dyDescent="0.2">
      <c r="L6575" s="12"/>
      <c r="M6575" s="13"/>
    </row>
    <row r="6576" spans="12:13" x14ac:dyDescent="0.2">
      <c r="L6576" s="12"/>
      <c r="M6576" s="13"/>
    </row>
    <row r="6577" spans="12:13" x14ac:dyDescent="0.2">
      <c r="L6577" s="12"/>
      <c r="M6577" s="13"/>
    </row>
    <row r="6578" spans="12:13" x14ac:dyDescent="0.2">
      <c r="L6578" s="12"/>
      <c r="M6578" s="13"/>
    </row>
    <row r="6579" spans="12:13" x14ac:dyDescent="0.2">
      <c r="L6579" s="12"/>
      <c r="M6579" s="13"/>
    </row>
    <row r="6580" spans="12:13" x14ac:dyDescent="0.2">
      <c r="L6580" s="12"/>
      <c r="M6580" s="13"/>
    </row>
    <row r="6581" spans="12:13" x14ac:dyDescent="0.2">
      <c r="L6581" s="12"/>
      <c r="M6581" s="13"/>
    </row>
    <row r="6582" spans="12:13" x14ac:dyDescent="0.2">
      <c r="L6582" s="12"/>
      <c r="M6582" s="13"/>
    </row>
    <row r="6583" spans="12:13" x14ac:dyDescent="0.2">
      <c r="L6583" s="12"/>
      <c r="M6583" s="13"/>
    </row>
    <row r="6584" spans="12:13" x14ac:dyDescent="0.2">
      <c r="L6584" s="12"/>
      <c r="M6584" s="13"/>
    </row>
    <row r="6585" spans="12:13" x14ac:dyDescent="0.2">
      <c r="L6585" s="12"/>
      <c r="M6585" s="13"/>
    </row>
    <row r="6586" spans="12:13" x14ac:dyDescent="0.2">
      <c r="L6586" s="12"/>
      <c r="M6586" s="13"/>
    </row>
    <row r="6587" spans="12:13" x14ac:dyDescent="0.2">
      <c r="L6587" s="12"/>
      <c r="M6587" s="13"/>
    </row>
    <row r="6588" spans="12:13" x14ac:dyDescent="0.2">
      <c r="L6588" s="12"/>
      <c r="M6588" s="13"/>
    </row>
    <row r="6589" spans="12:13" x14ac:dyDescent="0.2">
      <c r="L6589" s="12"/>
      <c r="M6589" s="13"/>
    </row>
    <row r="6590" spans="12:13" x14ac:dyDescent="0.2">
      <c r="L6590" s="12"/>
      <c r="M6590" s="13"/>
    </row>
    <row r="6591" spans="12:13" x14ac:dyDescent="0.2">
      <c r="L6591" s="12"/>
      <c r="M6591" s="13"/>
    </row>
    <row r="6592" spans="12:13" x14ac:dyDescent="0.2">
      <c r="L6592" s="12"/>
      <c r="M6592" s="13"/>
    </row>
    <row r="6593" spans="12:13" x14ac:dyDescent="0.2">
      <c r="L6593" s="12"/>
      <c r="M6593" s="13"/>
    </row>
    <row r="6594" spans="12:13" x14ac:dyDescent="0.2">
      <c r="L6594" s="12"/>
      <c r="M6594" s="13"/>
    </row>
    <row r="6595" spans="12:13" x14ac:dyDescent="0.2">
      <c r="L6595" s="12"/>
      <c r="M6595" s="13"/>
    </row>
    <row r="6596" spans="12:13" x14ac:dyDescent="0.2">
      <c r="L6596" s="12"/>
      <c r="M6596" s="13"/>
    </row>
    <row r="6597" spans="12:13" x14ac:dyDescent="0.2">
      <c r="L6597" s="12"/>
      <c r="M6597" s="13"/>
    </row>
    <row r="6598" spans="12:13" x14ac:dyDescent="0.2">
      <c r="L6598" s="12"/>
      <c r="M6598" s="13"/>
    </row>
    <row r="6599" spans="12:13" x14ac:dyDescent="0.2">
      <c r="L6599" s="12"/>
      <c r="M6599" s="13"/>
    </row>
    <row r="6600" spans="12:13" x14ac:dyDescent="0.2">
      <c r="L6600" s="12"/>
      <c r="M6600" s="13"/>
    </row>
    <row r="6601" spans="12:13" x14ac:dyDescent="0.2">
      <c r="L6601" s="12"/>
      <c r="M6601" s="13"/>
    </row>
    <row r="6602" spans="12:13" x14ac:dyDescent="0.2">
      <c r="L6602" s="12"/>
      <c r="M6602" s="13"/>
    </row>
    <row r="6603" spans="12:13" x14ac:dyDescent="0.2">
      <c r="L6603" s="12"/>
      <c r="M6603" s="13"/>
    </row>
    <row r="6604" spans="12:13" x14ac:dyDescent="0.2">
      <c r="L6604" s="12"/>
      <c r="M6604" s="13"/>
    </row>
    <row r="6605" spans="12:13" x14ac:dyDescent="0.2">
      <c r="L6605" s="12"/>
      <c r="M6605" s="13"/>
    </row>
    <row r="6606" spans="12:13" x14ac:dyDescent="0.2">
      <c r="L6606" s="12"/>
      <c r="M6606" s="13"/>
    </row>
    <row r="6607" spans="12:13" x14ac:dyDescent="0.2">
      <c r="L6607" s="12"/>
      <c r="M6607" s="13"/>
    </row>
    <row r="6608" spans="12:13" x14ac:dyDescent="0.2">
      <c r="L6608" s="12"/>
      <c r="M6608" s="13"/>
    </row>
    <row r="6609" spans="12:13" x14ac:dyDescent="0.2">
      <c r="L6609" s="12"/>
      <c r="M6609" s="13"/>
    </row>
    <row r="6610" spans="12:13" x14ac:dyDescent="0.2">
      <c r="L6610" s="12"/>
      <c r="M6610" s="13"/>
    </row>
    <row r="6611" spans="12:13" x14ac:dyDescent="0.2">
      <c r="L6611" s="12"/>
      <c r="M6611" s="13"/>
    </row>
    <row r="6612" spans="12:13" x14ac:dyDescent="0.2">
      <c r="L6612" s="12"/>
      <c r="M6612" s="13"/>
    </row>
    <row r="6613" spans="12:13" x14ac:dyDescent="0.2">
      <c r="L6613" s="12"/>
      <c r="M6613" s="13"/>
    </row>
    <row r="6614" spans="12:13" x14ac:dyDescent="0.2">
      <c r="L6614" s="12"/>
      <c r="M6614" s="13"/>
    </row>
    <row r="6615" spans="12:13" x14ac:dyDescent="0.2">
      <c r="L6615" s="12"/>
      <c r="M6615" s="13"/>
    </row>
    <row r="6616" spans="12:13" x14ac:dyDescent="0.2">
      <c r="L6616" s="12"/>
      <c r="M6616" s="13"/>
    </row>
    <row r="6617" spans="12:13" x14ac:dyDescent="0.2">
      <c r="L6617" s="12"/>
      <c r="M6617" s="13"/>
    </row>
    <row r="6618" spans="12:13" x14ac:dyDescent="0.2">
      <c r="L6618" s="12"/>
      <c r="M6618" s="13"/>
    </row>
    <row r="6619" spans="12:13" x14ac:dyDescent="0.2">
      <c r="L6619" s="12"/>
      <c r="M6619" s="13"/>
    </row>
    <row r="6620" spans="12:13" x14ac:dyDescent="0.2">
      <c r="L6620" s="12"/>
      <c r="M6620" s="13"/>
    </row>
    <row r="6621" spans="12:13" x14ac:dyDescent="0.2">
      <c r="L6621" s="12"/>
      <c r="M6621" s="13"/>
    </row>
    <row r="6622" spans="12:13" x14ac:dyDescent="0.2">
      <c r="L6622" s="12"/>
      <c r="M6622" s="13"/>
    </row>
    <row r="6623" spans="12:13" x14ac:dyDescent="0.2">
      <c r="L6623" s="12"/>
      <c r="M6623" s="13"/>
    </row>
    <row r="6624" spans="12:13" x14ac:dyDescent="0.2">
      <c r="L6624" s="12"/>
      <c r="M6624" s="13"/>
    </row>
    <row r="6625" spans="12:13" x14ac:dyDescent="0.2">
      <c r="L6625" s="12"/>
      <c r="M6625" s="13"/>
    </row>
    <row r="6626" spans="12:13" x14ac:dyDescent="0.2">
      <c r="L6626" s="12"/>
      <c r="M6626" s="13"/>
    </row>
    <row r="6627" spans="12:13" x14ac:dyDescent="0.2">
      <c r="L6627" s="12"/>
      <c r="M6627" s="13"/>
    </row>
    <row r="6628" spans="12:13" x14ac:dyDescent="0.2">
      <c r="L6628" s="12"/>
      <c r="M6628" s="13"/>
    </row>
    <row r="6629" spans="12:13" x14ac:dyDescent="0.2">
      <c r="L6629" s="12"/>
      <c r="M6629" s="13"/>
    </row>
    <row r="6630" spans="12:13" x14ac:dyDescent="0.2">
      <c r="L6630" s="12"/>
      <c r="M6630" s="13"/>
    </row>
    <row r="6631" spans="12:13" x14ac:dyDescent="0.2">
      <c r="L6631" s="12"/>
      <c r="M6631" s="13"/>
    </row>
    <row r="6632" spans="12:13" x14ac:dyDescent="0.2">
      <c r="L6632" s="12"/>
      <c r="M6632" s="13"/>
    </row>
    <row r="6633" spans="12:13" x14ac:dyDescent="0.2">
      <c r="L6633" s="12"/>
      <c r="M6633" s="13"/>
    </row>
    <row r="6634" spans="12:13" x14ac:dyDescent="0.2">
      <c r="L6634" s="12"/>
      <c r="M6634" s="13"/>
    </row>
    <row r="6635" spans="12:13" x14ac:dyDescent="0.2">
      <c r="L6635" s="12"/>
      <c r="M6635" s="13"/>
    </row>
    <row r="6636" spans="12:13" x14ac:dyDescent="0.2">
      <c r="L6636" s="12"/>
      <c r="M6636" s="13"/>
    </row>
    <row r="6637" spans="12:13" x14ac:dyDescent="0.2">
      <c r="L6637" s="12"/>
      <c r="M6637" s="13"/>
    </row>
    <row r="6638" spans="12:13" x14ac:dyDescent="0.2">
      <c r="L6638" s="12"/>
      <c r="M6638" s="13"/>
    </row>
    <row r="6639" spans="12:13" x14ac:dyDescent="0.2">
      <c r="L6639" s="12"/>
      <c r="M6639" s="13"/>
    </row>
    <row r="6640" spans="12:13" x14ac:dyDescent="0.2">
      <c r="L6640" s="12"/>
      <c r="M6640" s="13"/>
    </row>
    <row r="6641" spans="12:13" x14ac:dyDescent="0.2">
      <c r="L6641" s="12"/>
      <c r="M6641" s="13"/>
    </row>
    <row r="6642" spans="12:13" x14ac:dyDescent="0.2">
      <c r="L6642" s="12"/>
      <c r="M6642" s="13"/>
    </row>
    <row r="6643" spans="12:13" x14ac:dyDescent="0.2">
      <c r="L6643" s="12"/>
      <c r="M6643" s="13"/>
    </row>
    <row r="6644" spans="12:13" x14ac:dyDescent="0.2">
      <c r="L6644" s="12"/>
      <c r="M6644" s="13"/>
    </row>
    <row r="6645" spans="12:13" x14ac:dyDescent="0.2">
      <c r="L6645" s="12"/>
      <c r="M6645" s="13"/>
    </row>
    <row r="6646" spans="12:13" x14ac:dyDescent="0.2">
      <c r="L6646" s="12"/>
      <c r="M6646" s="13"/>
    </row>
    <row r="6647" spans="12:13" x14ac:dyDescent="0.2">
      <c r="L6647" s="12"/>
      <c r="M6647" s="13"/>
    </row>
    <row r="6648" spans="12:13" x14ac:dyDescent="0.2">
      <c r="L6648" s="12"/>
      <c r="M6648" s="13"/>
    </row>
    <row r="6649" spans="12:13" x14ac:dyDescent="0.2">
      <c r="L6649" s="12"/>
      <c r="M6649" s="13"/>
    </row>
    <row r="6650" spans="12:13" x14ac:dyDescent="0.2">
      <c r="L6650" s="12"/>
      <c r="M6650" s="13"/>
    </row>
    <row r="6651" spans="12:13" x14ac:dyDescent="0.2">
      <c r="L6651" s="12"/>
      <c r="M6651" s="13"/>
    </row>
    <row r="6652" spans="12:13" x14ac:dyDescent="0.2">
      <c r="L6652" s="12"/>
      <c r="M6652" s="13"/>
    </row>
    <row r="6653" spans="12:13" x14ac:dyDescent="0.2">
      <c r="L6653" s="12"/>
      <c r="M6653" s="13"/>
    </row>
    <row r="6654" spans="12:13" x14ac:dyDescent="0.2">
      <c r="L6654" s="12"/>
      <c r="M6654" s="13"/>
    </row>
    <row r="6655" spans="12:13" x14ac:dyDescent="0.2">
      <c r="L6655" s="12"/>
      <c r="M6655" s="13"/>
    </row>
    <row r="6656" spans="12:13" x14ac:dyDescent="0.2">
      <c r="L6656" s="12"/>
      <c r="M6656" s="13"/>
    </row>
    <row r="6657" spans="12:13" x14ac:dyDescent="0.2">
      <c r="L6657" s="12"/>
      <c r="M6657" s="13"/>
    </row>
    <row r="6658" spans="12:13" x14ac:dyDescent="0.2">
      <c r="L6658" s="17"/>
      <c r="M6658" s="18"/>
    </row>
    <row r="6659" spans="12:13" x14ac:dyDescent="0.2">
      <c r="L6659" s="12"/>
      <c r="M6659" s="13"/>
    </row>
    <row r="6660" spans="12:13" x14ac:dyDescent="0.2">
      <c r="L6660" s="12"/>
      <c r="M6660" s="13"/>
    </row>
    <row r="6661" spans="12:13" x14ac:dyDescent="0.2">
      <c r="L6661" s="12"/>
      <c r="M6661" s="13"/>
    </row>
    <row r="6662" spans="12:13" x14ac:dyDescent="0.2">
      <c r="L6662" s="12"/>
      <c r="M6662" s="13"/>
    </row>
    <row r="6663" spans="12:13" x14ac:dyDescent="0.2">
      <c r="L6663" s="12"/>
      <c r="M6663" s="13"/>
    </row>
    <row r="6664" spans="12:13" x14ac:dyDescent="0.2">
      <c r="L6664" s="12"/>
      <c r="M6664" s="13"/>
    </row>
    <row r="6665" spans="12:13" x14ac:dyDescent="0.2">
      <c r="L6665" s="12"/>
      <c r="M6665" s="13"/>
    </row>
    <row r="6666" spans="12:13" x14ac:dyDescent="0.2">
      <c r="L6666" s="12"/>
      <c r="M6666" s="13"/>
    </row>
    <row r="6667" spans="12:13" x14ac:dyDescent="0.2">
      <c r="L6667" s="12"/>
      <c r="M6667" s="13"/>
    </row>
    <row r="6668" spans="12:13" x14ac:dyDescent="0.2">
      <c r="L6668" s="12"/>
      <c r="M6668" s="13"/>
    </row>
    <row r="6669" spans="12:13" x14ac:dyDescent="0.2">
      <c r="L6669" s="12"/>
      <c r="M6669" s="13"/>
    </row>
    <row r="6670" spans="12:13" x14ac:dyDescent="0.2">
      <c r="L6670" s="12"/>
      <c r="M6670" s="13"/>
    </row>
    <row r="6671" spans="12:13" x14ac:dyDescent="0.2">
      <c r="L6671" s="12"/>
      <c r="M6671" s="13"/>
    </row>
    <row r="6672" spans="12:13" x14ac:dyDescent="0.2">
      <c r="L6672" s="12"/>
      <c r="M6672" s="13"/>
    </row>
    <row r="6673" spans="12:13" x14ac:dyDescent="0.2">
      <c r="L6673" s="12"/>
      <c r="M6673" s="13"/>
    </row>
    <row r="6674" spans="12:13" x14ac:dyDescent="0.2">
      <c r="L6674" s="12"/>
      <c r="M6674" s="13"/>
    </row>
    <row r="6675" spans="12:13" x14ac:dyDescent="0.2">
      <c r="L6675" s="12"/>
      <c r="M6675" s="13"/>
    </row>
    <row r="6676" spans="12:13" x14ac:dyDescent="0.2">
      <c r="L6676" s="12"/>
      <c r="M6676" s="13"/>
    </row>
    <row r="6677" spans="12:13" x14ac:dyDescent="0.2">
      <c r="L6677" s="12"/>
      <c r="M6677" s="13"/>
    </row>
    <row r="6678" spans="12:13" x14ac:dyDescent="0.2">
      <c r="L6678" s="12"/>
      <c r="M6678" s="13"/>
    </row>
    <row r="6679" spans="12:13" x14ac:dyDescent="0.2">
      <c r="L6679" s="12"/>
      <c r="M6679" s="13"/>
    </row>
    <row r="6680" spans="12:13" x14ac:dyDescent="0.2">
      <c r="L6680" s="12"/>
      <c r="M6680" s="13"/>
    </row>
    <row r="6681" spans="12:13" x14ac:dyDescent="0.2">
      <c r="L6681" s="12"/>
      <c r="M6681" s="13"/>
    </row>
    <row r="6682" spans="12:13" x14ac:dyDescent="0.2">
      <c r="L6682" s="12"/>
      <c r="M6682" s="13"/>
    </row>
    <row r="6683" spans="12:13" x14ac:dyDescent="0.2">
      <c r="L6683" s="12"/>
      <c r="M6683" s="13"/>
    </row>
    <row r="6684" spans="12:13" x14ac:dyDescent="0.2">
      <c r="L6684" s="12"/>
      <c r="M6684" s="13"/>
    </row>
    <row r="6685" spans="12:13" x14ac:dyDescent="0.2">
      <c r="L6685" s="12"/>
      <c r="M6685" s="13"/>
    </row>
    <row r="6686" spans="12:13" x14ac:dyDescent="0.2">
      <c r="L6686" s="12"/>
      <c r="M6686" s="13"/>
    </row>
    <row r="6687" spans="12:13" x14ac:dyDescent="0.2">
      <c r="L6687" s="12"/>
      <c r="M6687" s="13"/>
    </row>
    <row r="6688" spans="12:13" x14ac:dyDescent="0.2">
      <c r="L6688" s="12"/>
      <c r="M6688" s="13"/>
    </row>
    <row r="6689" spans="12:13" x14ac:dyDescent="0.2">
      <c r="L6689" s="12"/>
      <c r="M6689" s="13"/>
    </row>
    <row r="6690" spans="12:13" x14ac:dyDescent="0.2">
      <c r="L6690" s="12"/>
      <c r="M6690" s="13"/>
    </row>
    <row r="6691" spans="12:13" x14ac:dyDescent="0.2">
      <c r="L6691" s="12"/>
      <c r="M6691" s="13"/>
    </row>
    <row r="6692" spans="12:13" x14ac:dyDescent="0.2">
      <c r="L6692" s="12"/>
      <c r="M6692" s="13"/>
    </row>
    <row r="6693" spans="12:13" x14ac:dyDescent="0.2">
      <c r="L6693" s="12"/>
      <c r="M6693" s="13"/>
    </row>
    <row r="6694" spans="12:13" x14ac:dyDescent="0.2">
      <c r="L6694" s="12"/>
      <c r="M6694" s="13"/>
    </row>
    <row r="6695" spans="12:13" x14ac:dyDescent="0.2">
      <c r="L6695" s="12"/>
      <c r="M6695" s="13"/>
    </row>
    <row r="6696" spans="12:13" x14ac:dyDescent="0.2">
      <c r="L6696" s="12"/>
      <c r="M6696" s="13"/>
    </row>
    <row r="6697" spans="12:13" x14ac:dyDescent="0.2">
      <c r="L6697" s="12"/>
      <c r="M6697" s="13"/>
    </row>
    <row r="6698" spans="12:13" x14ac:dyDescent="0.2">
      <c r="L6698" s="12"/>
      <c r="M6698" s="13"/>
    </row>
    <row r="6699" spans="12:13" x14ac:dyDescent="0.2">
      <c r="L6699" s="12"/>
      <c r="M6699" s="13"/>
    </row>
    <row r="6700" spans="12:13" x14ac:dyDescent="0.2">
      <c r="L6700" s="12"/>
      <c r="M6700" s="13"/>
    </row>
    <row r="6701" spans="12:13" x14ac:dyDescent="0.2">
      <c r="L6701" s="12"/>
      <c r="M6701" s="13"/>
    </row>
    <row r="6702" spans="12:13" x14ac:dyDescent="0.2">
      <c r="L6702" s="12"/>
      <c r="M6702" s="13"/>
    </row>
    <row r="6703" spans="12:13" x14ac:dyDescent="0.2">
      <c r="L6703" s="12"/>
      <c r="M6703" s="13"/>
    </row>
    <row r="6704" spans="12:13" x14ac:dyDescent="0.2">
      <c r="L6704" s="12"/>
      <c r="M6704" s="13"/>
    </row>
    <row r="6705" spans="12:13" x14ac:dyDescent="0.2">
      <c r="L6705" s="12"/>
      <c r="M6705" s="13"/>
    </row>
    <row r="6706" spans="12:13" x14ac:dyDescent="0.2">
      <c r="L6706" s="12"/>
      <c r="M6706" s="13"/>
    </row>
    <row r="6707" spans="12:13" x14ac:dyDescent="0.2">
      <c r="L6707" s="12"/>
      <c r="M6707" s="13"/>
    </row>
    <row r="6708" spans="12:13" x14ac:dyDescent="0.2">
      <c r="L6708" s="12"/>
      <c r="M6708" s="13"/>
    </row>
    <row r="6709" spans="12:13" x14ac:dyDescent="0.2">
      <c r="L6709" s="12"/>
      <c r="M6709" s="13"/>
    </row>
    <row r="6710" spans="12:13" x14ac:dyDescent="0.2">
      <c r="L6710" s="12"/>
      <c r="M6710" s="13"/>
    </row>
    <row r="6711" spans="12:13" x14ac:dyDescent="0.2">
      <c r="L6711" s="12"/>
      <c r="M6711" s="13"/>
    </row>
    <row r="6712" spans="12:13" x14ac:dyDescent="0.2">
      <c r="L6712" s="12"/>
      <c r="M6712" s="13"/>
    </row>
    <row r="6713" spans="12:13" x14ac:dyDescent="0.2">
      <c r="L6713" s="12"/>
      <c r="M6713" s="13"/>
    </row>
    <row r="6714" spans="12:13" x14ac:dyDescent="0.2">
      <c r="L6714" s="12"/>
      <c r="M6714" s="13"/>
    </row>
    <row r="6715" spans="12:13" x14ac:dyDescent="0.2">
      <c r="L6715" s="12"/>
      <c r="M6715" s="13"/>
    </row>
    <row r="6716" spans="12:13" x14ac:dyDescent="0.2">
      <c r="L6716" s="12"/>
      <c r="M6716" s="13"/>
    </row>
    <row r="6717" spans="12:13" x14ac:dyDescent="0.2">
      <c r="L6717" s="12"/>
      <c r="M6717" s="13"/>
    </row>
    <row r="6718" spans="12:13" x14ac:dyDescent="0.2">
      <c r="L6718" s="12"/>
      <c r="M6718" s="13"/>
    </row>
    <row r="6719" spans="12:13" x14ac:dyDescent="0.2">
      <c r="L6719" s="12"/>
      <c r="M6719" s="13"/>
    </row>
    <row r="6720" spans="12:13" x14ac:dyDescent="0.2">
      <c r="L6720" s="12"/>
      <c r="M6720" s="13"/>
    </row>
    <row r="6721" spans="12:13" x14ac:dyDescent="0.2">
      <c r="L6721" s="12"/>
      <c r="M6721" s="13"/>
    </row>
    <row r="6722" spans="12:13" x14ac:dyDescent="0.2">
      <c r="L6722" s="12"/>
      <c r="M6722" s="13"/>
    </row>
    <row r="6723" spans="12:13" x14ac:dyDescent="0.2">
      <c r="L6723" s="12"/>
      <c r="M6723" s="13"/>
    </row>
    <row r="6724" spans="12:13" x14ac:dyDescent="0.2">
      <c r="L6724" s="12"/>
      <c r="M6724" s="13"/>
    </row>
    <row r="6725" spans="12:13" x14ac:dyDescent="0.2">
      <c r="L6725" s="12"/>
      <c r="M6725" s="13"/>
    </row>
    <row r="6726" spans="12:13" x14ac:dyDescent="0.2">
      <c r="L6726" s="12"/>
      <c r="M6726" s="13"/>
    </row>
    <row r="6727" spans="12:13" x14ac:dyDescent="0.2">
      <c r="L6727" s="12"/>
      <c r="M6727" s="13"/>
    </row>
    <row r="6728" spans="12:13" x14ac:dyDescent="0.2">
      <c r="L6728" s="12"/>
      <c r="M6728" s="13"/>
    </row>
    <row r="6729" spans="12:13" x14ac:dyDescent="0.2">
      <c r="L6729" s="12"/>
      <c r="M6729" s="13"/>
    </row>
    <row r="6730" spans="12:13" x14ac:dyDescent="0.2">
      <c r="L6730" s="12"/>
      <c r="M6730" s="13"/>
    </row>
    <row r="6731" spans="12:13" x14ac:dyDescent="0.2">
      <c r="L6731" s="12"/>
      <c r="M6731" s="13"/>
    </row>
    <row r="6732" spans="12:13" x14ac:dyDescent="0.2">
      <c r="L6732" s="12"/>
      <c r="M6732" s="13"/>
    </row>
    <row r="6733" spans="12:13" x14ac:dyDescent="0.2">
      <c r="L6733" s="12"/>
      <c r="M6733" s="13"/>
    </row>
    <row r="6734" spans="12:13" x14ac:dyDescent="0.2">
      <c r="L6734" s="12"/>
      <c r="M6734" s="13"/>
    </row>
    <row r="6735" spans="12:13" x14ac:dyDescent="0.2">
      <c r="L6735" s="12"/>
      <c r="M6735" s="13"/>
    </row>
    <row r="6736" spans="12:13" x14ac:dyDescent="0.2">
      <c r="L6736" s="12"/>
      <c r="M6736" s="13"/>
    </row>
    <row r="6737" spans="12:13" x14ac:dyDescent="0.2">
      <c r="L6737" s="12"/>
      <c r="M6737" s="13"/>
    </row>
    <row r="6738" spans="12:13" x14ac:dyDescent="0.2">
      <c r="L6738" s="12"/>
      <c r="M6738" s="13"/>
    </row>
    <row r="6739" spans="12:13" x14ac:dyDescent="0.2">
      <c r="L6739" s="12"/>
      <c r="M6739" s="13"/>
    </row>
    <row r="6740" spans="12:13" x14ac:dyDescent="0.2">
      <c r="L6740" s="12"/>
      <c r="M6740" s="13"/>
    </row>
    <row r="6741" spans="12:13" x14ac:dyDescent="0.2">
      <c r="L6741" s="12"/>
      <c r="M6741" s="13"/>
    </row>
    <row r="6742" spans="12:13" x14ac:dyDescent="0.2">
      <c r="L6742" s="12"/>
      <c r="M6742" s="13"/>
    </row>
    <row r="6743" spans="12:13" x14ac:dyDescent="0.2">
      <c r="L6743" s="12"/>
      <c r="M6743" s="13"/>
    </row>
    <row r="6744" spans="12:13" x14ac:dyDescent="0.2">
      <c r="L6744" s="12"/>
      <c r="M6744" s="13"/>
    </row>
    <row r="6745" spans="12:13" x14ac:dyDescent="0.2">
      <c r="L6745" s="12"/>
      <c r="M6745" s="13"/>
    </row>
    <row r="6746" spans="12:13" x14ac:dyDescent="0.2">
      <c r="L6746" s="12"/>
      <c r="M6746" s="13"/>
    </row>
    <row r="6747" spans="12:13" x14ac:dyDescent="0.2">
      <c r="L6747" s="12"/>
      <c r="M6747" s="13"/>
    </row>
    <row r="6748" spans="12:13" x14ac:dyDescent="0.2">
      <c r="L6748" s="12"/>
      <c r="M6748" s="13"/>
    </row>
    <row r="6749" spans="12:13" x14ac:dyDescent="0.2">
      <c r="L6749" s="12"/>
      <c r="M6749" s="13"/>
    </row>
    <row r="6750" spans="12:13" x14ac:dyDescent="0.2">
      <c r="L6750" s="12"/>
      <c r="M6750" s="13"/>
    </row>
    <row r="6751" spans="12:13" x14ac:dyDescent="0.2">
      <c r="L6751" s="12"/>
      <c r="M6751" s="13"/>
    </row>
    <row r="6752" spans="12:13" x14ac:dyDescent="0.2">
      <c r="L6752" s="12"/>
      <c r="M6752" s="13"/>
    </row>
    <row r="6753" spans="12:13" x14ac:dyDescent="0.2">
      <c r="L6753" s="12"/>
      <c r="M6753" s="13"/>
    </row>
    <row r="6754" spans="12:13" x14ac:dyDescent="0.2">
      <c r="L6754" s="12"/>
      <c r="M6754" s="13"/>
    </row>
    <row r="6755" spans="12:13" x14ac:dyDescent="0.2">
      <c r="L6755" s="12"/>
      <c r="M6755" s="13"/>
    </row>
    <row r="6756" spans="12:13" x14ac:dyDescent="0.2">
      <c r="L6756" s="12"/>
      <c r="M6756" s="13"/>
    </row>
    <row r="6757" spans="12:13" x14ac:dyDescent="0.2">
      <c r="L6757" s="12"/>
      <c r="M6757" s="13"/>
    </row>
    <row r="6758" spans="12:13" x14ac:dyDescent="0.2">
      <c r="L6758" s="12"/>
      <c r="M6758" s="13"/>
    </row>
    <row r="6759" spans="12:13" x14ac:dyDescent="0.2">
      <c r="L6759" s="12"/>
      <c r="M6759" s="13"/>
    </row>
    <row r="6760" spans="12:13" x14ac:dyDescent="0.2">
      <c r="L6760" s="12"/>
      <c r="M6760" s="13"/>
    </row>
    <row r="6761" spans="12:13" x14ac:dyDescent="0.2">
      <c r="L6761" s="12"/>
      <c r="M6761" s="13"/>
    </row>
    <row r="6762" spans="12:13" x14ac:dyDescent="0.2">
      <c r="L6762" s="12"/>
      <c r="M6762" s="13"/>
    </row>
    <row r="6763" spans="12:13" x14ac:dyDescent="0.2">
      <c r="L6763" s="12"/>
      <c r="M6763" s="13"/>
    </row>
    <row r="6764" spans="12:13" x14ac:dyDescent="0.2">
      <c r="L6764" s="12"/>
      <c r="M6764" s="13"/>
    </row>
    <row r="6765" spans="12:13" x14ac:dyDescent="0.2">
      <c r="L6765" s="12"/>
      <c r="M6765" s="13"/>
    </row>
    <row r="6766" spans="12:13" x14ac:dyDescent="0.2">
      <c r="L6766" s="12"/>
      <c r="M6766" s="13"/>
    </row>
    <row r="6767" spans="12:13" x14ac:dyDescent="0.2">
      <c r="L6767" s="12"/>
      <c r="M6767" s="13"/>
    </row>
    <row r="6768" spans="12:13" x14ac:dyDescent="0.2">
      <c r="L6768" s="12"/>
      <c r="M6768" s="13"/>
    </row>
    <row r="6769" spans="12:13" x14ac:dyDescent="0.2">
      <c r="L6769" s="12"/>
      <c r="M6769" s="13"/>
    </row>
    <row r="6770" spans="12:13" x14ac:dyDescent="0.2">
      <c r="L6770" s="12"/>
      <c r="M6770" s="13"/>
    </row>
    <row r="6771" spans="12:13" x14ac:dyDescent="0.2">
      <c r="L6771" s="12"/>
      <c r="M6771" s="13"/>
    </row>
    <row r="6772" spans="12:13" x14ac:dyDescent="0.2">
      <c r="L6772" s="12"/>
      <c r="M6772" s="13"/>
    </row>
    <row r="6773" spans="12:13" x14ac:dyDescent="0.2">
      <c r="L6773" s="12"/>
      <c r="M6773" s="13"/>
    </row>
    <row r="6774" spans="12:13" x14ac:dyDescent="0.2">
      <c r="L6774" s="12"/>
      <c r="M6774" s="13"/>
    </row>
    <row r="6775" spans="12:13" x14ac:dyDescent="0.2">
      <c r="L6775" s="12"/>
      <c r="M6775" s="13"/>
    </row>
    <row r="6776" spans="12:13" x14ac:dyDescent="0.2">
      <c r="L6776" s="12"/>
      <c r="M6776" s="13"/>
    </row>
    <row r="6777" spans="12:13" x14ac:dyDescent="0.2">
      <c r="L6777" s="12"/>
      <c r="M6777" s="13"/>
    </row>
    <row r="6778" spans="12:13" x14ac:dyDescent="0.2">
      <c r="L6778" s="12"/>
      <c r="M6778" s="13"/>
    </row>
    <row r="6779" spans="12:13" x14ac:dyDescent="0.2">
      <c r="L6779" s="12"/>
      <c r="M6779" s="13"/>
    </row>
    <row r="6780" spans="12:13" x14ac:dyDescent="0.2">
      <c r="L6780" s="12"/>
      <c r="M6780" s="13"/>
    </row>
    <row r="6781" spans="12:13" x14ac:dyDescent="0.2">
      <c r="L6781" s="12"/>
      <c r="M6781" s="13"/>
    </row>
    <row r="6782" spans="12:13" x14ac:dyDescent="0.2">
      <c r="L6782" s="12"/>
      <c r="M6782" s="13"/>
    </row>
    <row r="6783" spans="12:13" x14ac:dyDescent="0.2">
      <c r="L6783" s="12"/>
      <c r="M6783" s="13"/>
    </row>
    <row r="6784" spans="12:13" x14ac:dyDescent="0.2">
      <c r="L6784" s="12"/>
      <c r="M6784" s="13"/>
    </row>
    <row r="6785" spans="12:13" x14ac:dyDescent="0.2">
      <c r="L6785" s="12"/>
      <c r="M6785" s="13"/>
    </row>
    <row r="6786" spans="12:13" x14ac:dyDescent="0.2">
      <c r="L6786" s="12"/>
      <c r="M6786" s="13"/>
    </row>
    <row r="6787" spans="12:13" x14ac:dyDescent="0.2">
      <c r="L6787" s="12"/>
      <c r="M6787" s="13"/>
    </row>
    <row r="6788" spans="12:13" x14ac:dyDescent="0.2">
      <c r="L6788" s="12"/>
      <c r="M6788" s="13"/>
    </row>
    <row r="6789" spans="12:13" x14ac:dyDescent="0.2">
      <c r="L6789" s="12"/>
      <c r="M6789" s="13"/>
    </row>
    <row r="6790" spans="12:13" x14ac:dyDescent="0.2">
      <c r="L6790" s="12"/>
      <c r="M6790" s="13"/>
    </row>
    <row r="6791" spans="12:13" x14ac:dyDescent="0.2">
      <c r="L6791" s="12"/>
      <c r="M6791" s="13"/>
    </row>
    <row r="6792" spans="12:13" x14ac:dyDescent="0.2">
      <c r="L6792" s="12"/>
      <c r="M6792" s="13"/>
    </row>
    <row r="6793" spans="12:13" x14ac:dyDescent="0.2">
      <c r="L6793" s="12"/>
      <c r="M6793" s="13"/>
    </row>
    <row r="6794" spans="12:13" x14ac:dyDescent="0.2">
      <c r="L6794" s="12"/>
      <c r="M6794" s="13"/>
    </row>
    <row r="6795" spans="12:13" x14ac:dyDescent="0.2">
      <c r="L6795" s="12"/>
      <c r="M6795" s="13"/>
    </row>
    <row r="6796" spans="12:13" x14ac:dyDescent="0.2">
      <c r="L6796" s="12"/>
      <c r="M6796" s="13"/>
    </row>
    <row r="6797" spans="12:13" x14ac:dyDescent="0.2">
      <c r="L6797" s="12"/>
      <c r="M6797" s="13"/>
    </row>
    <row r="6798" spans="12:13" x14ac:dyDescent="0.2">
      <c r="L6798" s="12"/>
      <c r="M6798" s="13"/>
    </row>
    <row r="6799" spans="12:13" x14ac:dyDescent="0.2">
      <c r="L6799" s="12"/>
      <c r="M6799" s="13"/>
    </row>
    <row r="6800" spans="12:13" x14ac:dyDescent="0.2">
      <c r="L6800" s="12"/>
      <c r="M6800" s="13"/>
    </row>
    <row r="6801" spans="12:13" x14ac:dyDescent="0.2">
      <c r="L6801" s="12"/>
      <c r="M6801" s="13"/>
    </row>
    <row r="6802" spans="12:13" x14ac:dyDescent="0.2">
      <c r="L6802" s="12"/>
      <c r="M6802" s="13"/>
    </row>
    <row r="6803" spans="12:13" x14ac:dyDescent="0.2">
      <c r="L6803" s="12"/>
      <c r="M6803" s="13"/>
    </row>
    <row r="6804" spans="12:13" x14ac:dyDescent="0.2">
      <c r="L6804" s="12"/>
      <c r="M6804" s="13"/>
    </row>
    <row r="6805" spans="12:13" x14ac:dyDescent="0.2">
      <c r="L6805" s="12"/>
      <c r="M6805" s="13"/>
    </row>
    <row r="6806" spans="12:13" x14ac:dyDescent="0.2">
      <c r="L6806" s="12"/>
      <c r="M6806" s="13"/>
    </row>
    <row r="6807" spans="12:13" x14ac:dyDescent="0.2">
      <c r="L6807" s="12"/>
      <c r="M6807" s="13"/>
    </row>
    <row r="6808" spans="12:13" x14ac:dyDescent="0.2">
      <c r="L6808" s="12"/>
      <c r="M6808" s="13"/>
    </row>
    <row r="6809" spans="12:13" x14ac:dyDescent="0.2">
      <c r="L6809" s="12"/>
      <c r="M6809" s="13"/>
    </row>
    <row r="6810" spans="12:13" x14ac:dyDescent="0.2">
      <c r="L6810" s="12"/>
      <c r="M6810" s="13"/>
    </row>
    <row r="6811" spans="12:13" x14ac:dyDescent="0.2">
      <c r="L6811" s="12"/>
      <c r="M6811" s="13"/>
    </row>
    <row r="6812" spans="12:13" x14ac:dyDescent="0.2">
      <c r="L6812" s="12"/>
      <c r="M6812" s="13"/>
    </row>
    <row r="6813" spans="12:13" x14ac:dyDescent="0.2">
      <c r="L6813" s="12"/>
      <c r="M6813" s="13"/>
    </row>
    <row r="6814" spans="12:13" x14ac:dyDescent="0.2">
      <c r="L6814" s="12"/>
      <c r="M6814" s="13"/>
    </row>
    <row r="6815" spans="12:13" x14ac:dyDescent="0.2">
      <c r="L6815" s="12"/>
      <c r="M6815" s="13"/>
    </row>
    <row r="6816" spans="12:13" x14ac:dyDescent="0.2">
      <c r="L6816" s="12"/>
      <c r="M6816" s="13"/>
    </row>
    <row r="6817" spans="12:13" x14ac:dyDescent="0.2">
      <c r="L6817" s="12"/>
      <c r="M6817" s="13"/>
    </row>
    <row r="6818" spans="12:13" x14ac:dyDescent="0.2">
      <c r="L6818" s="12"/>
      <c r="M6818" s="13"/>
    </row>
    <row r="6819" spans="12:13" x14ac:dyDescent="0.2">
      <c r="L6819" s="12"/>
      <c r="M6819" s="13"/>
    </row>
    <row r="6820" spans="12:13" x14ac:dyDescent="0.2">
      <c r="L6820" s="12"/>
      <c r="M6820" s="13"/>
    </row>
    <row r="6821" spans="12:13" x14ac:dyDescent="0.2">
      <c r="L6821" s="12"/>
      <c r="M6821" s="13"/>
    </row>
    <row r="6822" spans="12:13" x14ac:dyDescent="0.2">
      <c r="L6822" s="12"/>
      <c r="M6822" s="13"/>
    </row>
    <row r="6823" spans="12:13" x14ac:dyDescent="0.2">
      <c r="L6823" s="12"/>
      <c r="M6823" s="13"/>
    </row>
    <row r="6824" spans="12:13" x14ac:dyDescent="0.2">
      <c r="L6824" s="12"/>
      <c r="M6824" s="13"/>
    </row>
    <row r="6825" spans="12:13" x14ac:dyDescent="0.2">
      <c r="L6825" s="12"/>
      <c r="M6825" s="13"/>
    </row>
    <row r="6826" spans="12:13" x14ac:dyDescent="0.2">
      <c r="L6826" s="12"/>
      <c r="M6826" s="13"/>
    </row>
    <row r="6827" spans="12:13" x14ac:dyDescent="0.2">
      <c r="L6827" s="12"/>
      <c r="M6827" s="13"/>
    </row>
    <row r="6828" spans="12:13" x14ac:dyDescent="0.2">
      <c r="L6828" s="12"/>
      <c r="M6828" s="13"/>
    </row>
    <row r="6829" spans="12:13" x14ac:dyDescent="0.2">
      <c r="L6829" s="12"/>
      <c r="M6829" s="13"/>
    </row>
    <row r="6830" spans="12:13" x14ac:dyDescent="0.2">
      <c r="L6830" s="12"/>
      <c r="M6830" s="13"/>
    </row>
    <row r="6831" spans="12:13" x14ac:dyDescent="0.2">
      <c r="L6831" s="12"/>
      <c r="M6831" s="13"/>
    </row>
    <row r="6832" spans="12:13" x14ac:dyDescent="0.2">
      <c r="L6832" s="12"/>
      <c r="M6832" s="13"/>
    </row>
    <row r="6833" spans="12:13" x14ac:dyDescent="0.2">
      <c r="L6833" s="12"/>
      <c r="M6833" s="13"/>
    </row>
    <row r="6834" spans="12:13" x14ac:dyDescent="0.2">
      <c r="L6834" s="12"/>
      <c r="M6834" s="13"/>
    </row>
    <row r="6835" spans="12:13" x14ac:dyDescent="0.2">
      <c r="L6835" s="12"/>
      <c r="M6835" s="13"/>
    </row>
    <row r="6836" spans="12:13" x14ac:dyDescent="0.2">
      <c r="L6836" s="12"/>
      <c r="M6836" s="13"/>
    </row>
    <row r="6837" spans="12:13" x14ac:dyDescent="0.2">
      <c r="L6837" s="12"/>
      <c r="M6837" s="13"/>
    </row>
    <row r="6838" spans="12:13" x14ac:dyDescent="0.2">
      <c r="L6838" s="12"/>
      <c r="M6838" s="13"/>
    </row>
    <row r="6839" spans="12:13" x14ac:dyDescent="0.2">
      <c r="L6839" s="12"/>
      <c r="M6839" s="13"/>
    </row>
    <row r="6840" spans="12:13" x14ac:dyDescent="0.2">
      <c r="L6840" s="12"/>
      <c r="M6840" s="13"/>
    </row>
    <row r="6841" spans="12:13" x14ac:dyDescent="0.2">
      <c r="L6841" s="12"/>
      <c r="M6841" s="13"/>
    </row>
    <row r="6842" spans="12:13" x14ac:dyDescent="0.2">
      <c r="L6842" s="12"/>
      <c r="M6842" s="13"/>
    </row>
    <row r="6843" spans="12:13" x14ac:dyDescent="0.2">
      <c r="L6843" s="12"/>
      <c r="M6843" s="13"/>
    </row>
    <row r="6844" spans="12:13" x14ac:dyDescent="0.2">
      <c r="L6844" s="12"/>
      <c r="M6844" s="13"/>
    </row>
    <row r="6845" spans="12:13" x14ac:dyDescent="0.2">
      <c r="L6845" s="12"/>
      <c r="M6845" s="13"/>
    </row>
    <row r="6846" spans="12:13" x14ac:dyDescent="0.2">
      <c r="L6846" s="12"/>
      <c r="M6846" s="13"/>
    </row>
    <row r="6847" spans="12:13" x14ac:dyDescent="0.2">
      <c r="L6847" s="12"/>
      <c r="M6847" s="13"/>
    </row>
    <row r="6848" spans="12:13" x14ac:dyDescent="0.2">
      <c r="L6848" s="12"/>
      <c r="M6848" s="13"/>
    </row>
    <row r="6849" spans="12:13" x14ac:dyDescent="0.2">
      <c r="L6849" s="12"/>
      <c r="M6849" s="13"/>
    </row>
    <row r="6850" spans="12:13" x14ac:dyDescent="0.2">
      <c r="L6850" s="12"/>
      <c r="M6850" s="13"/>
    </row>
    <row r="6851" spans="12:13" x14ac:dyDescent="0.2">
      <c r="L6851" s="12"/>
      <c r="M6851" s="13"/>
    </row>
    <row r="6852" spans="12:13" x14ac:dyDescent="0.2">
      <c r="L6852" s="12"/>
      <c r="M6852" s="13"/>
    </row>
    <row r="6853" spans="12:13" x14ac:dyDescent="0.2">
      <c r="L6853" s="12"/>
      <c r="M6853" s="13"/>
    </row>
    <row r="6854" spans="12:13" x14ac:dyDescent="0.2">
      <c r="L6854" s="12"/>
      <c r="M6854" s="13"/>
    </row>
    <row r="6855" spans="12:13" x14ac:dyDescent="0.2">
      <c r="L6855" s="12"/>
      <c r="M6855" s="13"/>
    </row>
    <row r="6856" spans="12:13" x14ac:dyDescent="0.2">
      <c r="L6856" s="12"/>
      <c r="M6856" s="13"/>
    </row>
    <row r="6857" spans="12:13" x14ac:dyDescent="0.2">
      <c r="L6857" s="12"/>
      <c r="M6857" s="13"/>
    </row>
    <row r="6858" spans="12:13" x14ac:dyDescent="0.2">
      <c r="L6858" s="12"/>
      <c r="M6858" s="13"/>
    </row>
    <row r="6859" spans="12:13" x14ac:dyDescent="0.2">
      <c r="L6859" s="12"/>
      <c r="M6859" s="13"/>
    </row>
    <row r="6860" spans="12:13" x14ac:dyDescent="0.2">
      <c r="L6860" s="12"/>
      <c r="M6860" s="13"/>
    </row>
    <row r="6861" spans="12:13" x14ac:dyDescent="0.2">
      <c r="L6861" s="12"/>
      <c r="M6861" s="13"/>
    </row>
    <row r="6862" spans="12:13" x14ac:dyDescent="0.2">
      <c r="L6862" s="12"/>
      <c r="M6862" s="13"/>
    </row>
    <row r="6863" spans="12:13" x14ac:dyDescent="0.2">
      <c r="L6863" s="12"/>
      <c r="M6863" s="13"/>
    </row>
    <row r="6864" spans="12:13" x14ac:dyDescent="0.2">
      <c r="L6864" s="12"/>
      <c r="M6864" s="13"/>
    </row>
    <row r="6865" spans="12:13" x14ac:dyDescent="0.2">
      <c r="L6865" s="12"/>
      <c r="M6865" s="13"/>
    </row>
    <row r="6866" spans="12:13" x14ac:dyDescent="0.2">
      <c r="L6866" s="12"/>
      <c r="M6866" s="13"/>
    </row>
    <row r="6867" spans="12:13" x14ac:dyDescent="0.2">
      <c r="L6867" s="12"/>
      <c r="M6867" s="13"/>
    </row>
    <row r="6868" spans="12:13" x14ac:dyDescent="0.2">
      <c r="L6868" s="12"/>
      <c r="M6868" s="13"/>
    </row>
    <row r="6869" spans="12:13" x14ac:dyDescent="0.2">
      <c r="L6869" s="12"/>
      <c r="M6869" s="13"/>
    </row>
    <row r="6870" spans="12:13" x14ac:dyDescent="0.2">
      <c r="L6870" s="12"/>
      <c r="M6870" s="13"/>
    </row>
    <row r="6871" spans="12:13" x14ac:dyDescent="0.2">
      <c r="L6871" s="12"/>
      <c r="M6871" s="13"/>
    </row>
    <row r="6872" spans="12:13" x14ac:dyDescent="0.2">
      <c r="L6872" s="12"/>
      <c r="M6872" s="13"/>
    </row>
    <row r="6873" spans="12:13" x14ac:dyDescent="0.2">
      <c r="L6873" s="12"/>
      <c r="M6873" s="13"/>
    </row>
    <row r="6874" spans="12:13" x14ac:dyDescent="0.2">
      <c r="L6874" s="12"/>
      <c r="M6874" s="13"/>
    </row>
    <row r="6875" spans="12:13" x14ac:dyDescent="0.2">
      <c r="L6875" s="12"/>
      <c r="M6875" s="13"/>
    </row>
    <row r="6876" spans="12:13" x14ac:dyDescent="0.2">
      <c r="L6876" s="12"/>
      <c r="M6876" s="13"/>
    </row>
    <row r="6877" spans="12:13" x14ac:dyDescent="0.2">
      <c r="L6877" s="12"/>
      <c r="M6877" s="13"/>
    </row>
    <row r="6878" spans="12:13" x14ac:dyDescent="0.2">
      <c r="L6878" s="12"/>
      <c r="M6878" s="13"/>
    </row>
    <row r="6879" spans="12:13" x14ac:dyDescent="0.2">
      <c r="L6879" s="12"/>
      <c r="M6879" s="13"/>
    </row>
    <row r="6880" spans="12:13" x14ac:dyDescent="0.2">
      <c r="L6880" s="12"/>
      <c r="M6880" s="13"/>
    </row>
    <row r="6881" spans="12:13" x14ac:dyDescent="0.2">
      <c r="L6881" s="12"/>
      <c r="M6881" s="13"/>
    </row>
    <row r="6882" spans="12:13" x14ac:dyDescent="0.2">
      <c r="L6882" s="12"/>
      <c r="M6882" s="13"/>
    </row>
    <row r="6883" spans="12:13" x14ac:dyDescent="0.2">
      <c r="L6883" s="12"/>
      <c r="M6883" s="13"/>
    </row>
    <row r="6884" spans="12:13" x14ac:dyDescent="0.2">
      <c r="L6884" s="12"/>
      <c r="M6884" s="13"/>
    </row>
    <row r="6885" spans="12:13" x14ac:dyDescent="0.2">
      <c r="L6885" s="12"/>
      <c r="M6885" s="13"/>
    </row>
    <row r="6886" spans="12:13" x14ac:dyDescent="0.2">
      <c r="L6886" s="12"/>
      <c r="M6886" s="13"/>
    </row>
    <row r="6887" spans="12:13" x14ac:dyDescent="0.2">
      <c r="L6887" s="12"/>
      <c r="M6887" s="13"/>
    </row>
    <row r="6888" spans="12:13" x14ac:dyDescent="0.2">
      <c r="L6888" s="12"/>
      <c r="M6888" s="13"/>
    </row>
    <row r="6889" spans="12:13" x14ac:dyDescent="0.2">
      <c r="L6889" s="12"/>
      <c r="M6889" s="13"/>
    </row>
    <row r="6890" spans="12:13" x14ac:dyDescent="0.2">
      <c r="L6890" s="12"/>
      <c r="M6890" s="13"/>
    </row>
    <row r="6891" spans="12:13" x14ac:dyDescent="0.2">
      <c r="L6891" s="12"/>
      <c r="M6891" s="13"/>
    </row>
    <row r="6892" spans="12:13" x14ac:dyDescent="0.2">
      <c r="L6892" s="12"/>
      <c r="M6892" s="13"/>
    </row>
    <row r="6893" spans="12:13" x14ac:dyDescent="0.2">
      <c r="L6893" s="12"/>
      <c r="M6893" s="13"/>
    </row>
    <row r="6894" spans="12:13" x14ac:dyDescent="0.2">
      <c r="L6894" s="12"/>
      <c r="M6894" s="13"/>
    </row>
    <row r="6895" spans="12:13" x14ac:dyDescent="0.2">
      <c r="L6895" s="12"/>
      <c r="M6895" s="13"/>
    </row>
    <row r="6896" spans="12:13" x14ac:dyDescent="0.2">
      <c r="L6896" s="12"/>
      <c r="M6896" s="13"/>
    </row>
    <row r="6897" spans="12:13" x14ac:dyDescent="0.2">
      <c r="L6897" s="12"/>
      <c r="M6897" s="13"/>
    </row>
    <row r="6898" spans="12:13" x14ac:dyDescent="0.2">
      <c r="L6898" s="12"/>
      <c r="M6898" s="13"/>
    </row>
    <row r="6899" spans="12:13" x14ac:dyDescent="0.2">
      <c r="L6899" s="12"/>
      <c r="M6899" s="13"/>
    </row>
    <row r="6900" spans="12:13" x14ac:dyDescent="0.2">
      <c r="L6900" s="12"/>
      <c r="M6900" s="13"/>
    </row>
    <row r="6901" spans="12:13" x14ac:dyDescent="0.2">
      <c r="L6901" s="12"/>
      <c r="M6901" s="13"/>
    </row>
    <row r="6902" spans="12:13" x14ac:dyDescent="0.2">
      <c r="L6902" s="12"/>
      <c r="M6902" s="13"/>
    </row>
    <row r="6903" spans="12:13" x14ac:dyDescent="0.2">
      <c r="L6903" s="12"/>
      <c r="M6903" s="13"/>
    </row>
    <row r="6904" spans="12:13" x14ac:dyDescent="0.2">
      <c r="L6904" s="12"/>
      <c r="M6904" s="13"/>
    </row>
    <row r="6905" spans="12:13" x14ac:dyDescent="0.2">
      <c r="L6905" s="12"/>
      <c r="M6905" s="13"/>
    </row>
    <row r="6906" spans="12:13" x14ac:dyDescent="0.2">
      <c r="L6906" s="12"/>
      <c r="M6906" s="13"/>
    </row>
    <row r="6907" spans="12:13" x14ac:dyDescent="0.2">
      <c r="L6907" s="12"/>
      <c r="M6907" s="13"/>
    </row>
    <row r="6908" spans="12:13" x14ac:dyDescent="0.2">
      <c r="L6908" s="12"/>
      <c r="M6908" s="13"/>
    </row>
    <row r="6909" spans="12:13" x14ac:dyDescent="0.2">
      <c r="L6909" s="12"/>
      <c r="M6909" s="13"/>
    </row>
    <row r="6910" spans="12:13" x14ac:dyDescent="0.2">
      <c r="L6910" s="12"/>
      <c r="M6910" s="13"/>
    </row>
    <row r="6911" spans="12:13" x14ac:dyDescent="0.2">
      <c r="L6911" s="12"/>
      <c r="M6911" s="13"/>
    </row>
    <row r="6912" spans="12:13" x14ac:dyDescent="0.2">
      <c r="L6912" s="12"/>
      <c r="M6912" s="13"/>
    </row>
    <row r="6913" spans="12:13" x14ac:dyDescent="0.2">
      <c r="L6913" s="12"/>
      <c r="M6913" s="13"/>
    </row>
    <row r="6914" spans="12:13" x14ac:dyDescent="0.2">
      <c r="L6914" s="17"/>
      <c r="M6914" s="18"/>
    </row>
    <row r="6915" spans="12:13" x14ac:dyDescent="0.2">
      <c r="L6915" s="12"/>
      <c r="M6915" s="13"/>
    </row>
    <row r="6916" spans="12:13" x14ac:dyDescent="0.2">
      <c r="L6916" s="12"/>
      <c r="M6916" s="13"/>
    </row>
    <row r="6917" spans="12:13" x14ac:dyDescent="0.2">
      <c r="L6917" s="12"/>
      <c r="M6917" s="13"/>
    </row>
    <row r="6918" spans="12:13" x14ac:dyDescent="0.2">
      <c r="L6918" s="12"/>
      <c r="M6918" s="13"/>
    </row>
    <row r="6919" spans="12:13" x14ac:dyDescent="0.2">
      <c r="L6919" s="12"/>
      <c r="M6919" s="13"/>
    </row>
    <row r="6920" spans="12:13" x14ac:dyDescent="0.2">
      <c r="L6920" s="12"/>
      <c r="M6920" s="13"/>
    </row>
    <row r="6921" spans="12:13" x14ac:dyDescent="0.2">
      <c r="L6921" s="12"/>
      <c r="M6921" s="13"/>
    </row>
    <row r="6922" spans="12:13" x14ac:dyDescent="0.2">
      <c r="L6922" s="12"/>
      <c r="M6922" s="13"/>
    </row>
    <row r="6923" spans="12:13" x14ac:dyDescent="0.2">
      <c r="L6923" s="12"/>
      <c r="M6923" s="13"/>
    </row>
    <row r="6924" spans="12:13" x14ac:dyDescent="0.2">
      <c r="L6924" s="12"/>
      <c r="M6924" s="13"/>
    </row>
    <row r="6925" spans="12:13" x14ac:dyDescent="0.2">
      <c r="L6925" s="12"/>
      <c r="M6925" s="13"/>
    </row>
    <row r="6926" spans="12:13" x14ac:dyDescent="0.2">
      <c r="L6926" s="12"/>
      <c r="M6926" s="13"/>
    </row>
    <row r="6927" spans="12:13" x14ac:dyDescent="0.2">
      <c r="L6927" s="12"/>
      <c r="M6927" s="13"/>
    </row>
    <row r="6928" spans="12:13" x14ac:dyDescent="0.2">
      <c r="L6928" s="12"/>
      <c r="M6928" s="13"/>
    </row>
    <row r="6929" spans="12:13" x14ac:dyDescent="0.2">
      <c r="L6929" s="12"/>
      <c r="M6929" s="13"/>
    </row>
    <row r="6930" spans="12:13" x14ac:dyDescent="0.2">
      <c r="L6930" s="12"/>
      <c r="M6930" s="13"/>
    </row>
    <row r="6931" spans="12:13" x14ac:dyDescent="0.2">
      <c r="L6931" s="12"/>
      <c r="M6931" s="13"/>
    </row>
    <row r="6932" spans="12:13" x14ac:dyDescent="0.2">
      <c r="L6932" s="12"/>
      <c r="M6932" s="13"/>
    </row>
    <row r="6933" spans="12:13" x14ac:dyDescent="0.2">
      <c r="L6933" s="12"/>
      <c r="M6933" s="13"/>
    </row>
    <row r="6934" spans="12:13" x14ac:dyDescent="0.2">
      <c r="L6934" s="12"/>
      <c r="M6934" s="13"/>
    </row>
    <row r="6935" spans="12:13" x14ac:dyDescent="0.2">
      <c r="L6935" s="12"/>
      <c r="M6935" s="13"/>
    </row>
    <row r="6936" spans="12:13" x14ac:dyDescent="0.2">
      <c r="L6936" s="12"/>
      <c r="M6936" s="13"/>
    </row>
    <row r="6937" spans="12:13" x14ac:dyDescent="0.2">
      <c r="L6937" s="12"/>
      <c r="M6937" s="13"/>
    </row>
    <row r="6938" spans="12:13" x14ac:dyDescent="0.2">
      <c r="L6938" s="12"/>
      <c r="M6938" s="13"/>
    </row>
    <row r="6939" spans="12:13" x14ac:dyDescent="0.2">
      <c r="L6939" s="12"/>
      <c r="M6939" s="13"/>
    </row>
    <row r="6940" spans="12:13" x14ac:dyDescent="0.2">
      <c r="L6940" s="12"/>
      <c r="M6940" s="13"/>
    </row>
    <row r="6941" spans="12:13" x14ac:dyDescent="0.2">
      <c r="L6941" s="12"/>
      <c r="M6941" s="13"/>
    </row>
    <row r="6942" spans="12:13" x14ac:dyDescent="0.2">
      <c r="L6942" s="12"/>
      <c r="M6942" s="13"/>
    </row>
    <row r="6943" spans="12:13" x14ac:dyDescent="0.2">
      <c r="L6943" s="12"/>
      <c r="M6943" s="13"/>
    </row>
    <row r="6944" spans="12:13" x14ac:dyDescent="0.2">
      <c r="L6944" s="12"/>
      <c r="M6944" s="13"/>
    </row>
    <row r="6945" spans="12:13" x14ac:dyDescent="0.2">
      <c r="L6945" s="12"/>
      <c r="M6945" s="13"/>
    </row>
    <row r="6946" spans="12:13" x14ac:dyDescent="0.2">
      <c r="L6946" s="12"/>
      <c r="M6946" s="13"/>
    </row>
    <row r="6947" spans="12:13" x14ac:dyDescent="0.2">
      <c r="L6947" s="12"/>
      <c r="M6947" s="13"/>
    </row>
    <row r="6948" spans="12:13" x14ac:dyDescent="0.2">
      <c r="L6948" s="12"/>
      <c r="M6948" s="13"/>
    </row>
    <row r="6949" spans="12:13" x14ac:dyDescent="0.2">
      <c r="L6949" s="12"/>
      <c r="M6949" s="13"/>
    </row>
    <row r="6950" spans="12:13" x14ac:dyDescent="0.2">
      <c r="L6950" s="12"/>
      <c r="M6950" s="13"/>
    </row>
    <row r="6951" spans="12:13" x14ac:dyDescent="0.2">
      <c r="L6951" s="12"/>
      <c r="M6951" s="13"/>
    </row>
    <row r="6952" spans="12:13" x14ac:dyDescent="0.2">
      <c r="L6952" s="12"/>
      <c r="M6952" s="13"/>
    </row>
    <row r="6953" spans="12:13" x14ac:dyDescent="0.2">
      <c r="L6953" s="12"/>
      <c r="M6953" s="13"/>
    </row>
    <row r="6954" spans="12:13" x14ac:dyDescent="0.2">
      <c r="L6954" s="12"/>
      <c r="M6954" s="13"/>
    </row>
    <row r="6955" spans="12:13" x14ac:dyDescent="0.2">
      <c r="L6955" s="12"/>
      <c r="M6955" s="13"/>
    </row>
    <row r="6956" spans="12:13" x14ac:dyDescent="0.2">
      <c r="L6956" s="12"/>
      <c r="M6956" s="13"/>
    </row>
    <row r="6957" spans="12:13" x14ac:dyDescent="0.2">
      <c r="L6957" s="12"/>
      <c r="M6957" s="13"/>
    </row>
    <row r="6958" spans="12:13" x14ac:dyDescent="0.2">
      <c r="L6958" s="12"/>
      <c r="M6958" s="13"/>
    </row>
    <row r="6959" spans="12:13" x14ac:dyDescent="0.2">
      <c r="L6959" s="12"/>
      <c r="M6959" s="13"/>
    </row>
    <row r="6960" spans="12:13" x14ac:dyDescent="0.2">
      <c r="L6960" s="12"/>
      <c r="M6960" s="13"/>
    </row>
    <row r="6961" spans="12:13" x14ac:dyDescent="0.2">
      <c r="L6961" s="12"/>
      <c r="M6961" s="13"/>
    </row>
    <row r="6962" spans="12:13" x14ac:dyDescent="0.2">
      <c r="L6962" s="12"/>
      <c r="M6962" s="13"/>
    </row>
    <row r="6963" spans="12:13" x14ac:dyDescent="0.2">
      <c r="L6963" s="12"/>
      <c r="M6963" s="13"/>
    </row>
    <row r="6964" spans="12:13" x14ac:dyDescent="0.2">
      <c r="L6964" s="12"/>
      <c r="M6964" s="13"/>
    </row>
    <row r="6965" spans="12:13" x14ac:dyDescent="0.2">
      <c r="L6965" s="12"/>
      <c r="M6965" s="13"/>
    </row>
    <row r="6966" spans="12:13" x14ac:dyDescent="0.2">
      <c r="L6966" s="12"/>
      <c r="M6966" s="13"/>
    </row>
    <row r="6967" spans="12:13" x14ac:dyDescent="0.2">
      <c r="L6967" s="12"/>
      <c r="M6967" s="13"/>
    </row>
    <row r="6968" spans="12:13" x14ac:dyDescent="0.2">
      <c r="L6968" s="12"/>
      <c r="M6968" s="13"/>
    </row>
    <row r="6969" spans="12:13" x14ac:dyDescent="0.2">
      <c r="L6969" s="12"/>
      <c r="M6969" s="13"/>
    </row>
    <row r="6970" spans="12:13" x14ac:dyDescent="0.2">
      <c r="L6970" s="12"/>
      <c r="M6970" s="13"/>
    </row>
    <row r="6971" spans="12:13" x14ac:dyDescent="0.2">
      <c r="L6971" s="12"/>
      <c r="M6971" s="13"/>
    </row>
    <row r="6972" spans="12:13" x14ac:dyDescent="0.2">
      <c r="L6972" s="12"/>
      <c r="M6972" s="13"/>
    </row>
    <row r="6973" spans="12:13" x14ac:dyDescent="0.2">
      <c r="L6973" s="12"/>
      <c r="M6973" s="13"/>
    </row>
    <row r="6974" spans="12:13" x14ac:dyDescent="0.2">
      <c r="L6974" s="12"/>
      <c r="M6974" s="13"/>
    </row>
    <row r="6975" spans="12:13" x14ac:dyDescent="0.2">
      <c r="L6975" s="12"/>
      <c r="M6975" s="13"/>
    </row>
    <row r="6976" spans="12:13" x14ac:dyDescent="0.2">
      <c r="L6976" s="12"/>
      <c r="M6976" s="13"/>
    </row>
    <row r="6977" spans="12:13" x14ac:dyDescent="0.2">
      <c r="L6977" s="12"/>
      <c r="M6977" s="13"/>
    </row>
    <row r="6978" spans="12:13" x14ac:dyDescent="0.2">
      <c r="L6978" s="12"/>
      <c r="M6978" s="13"/>
    </row>
    <row r="6979" spans="12:13" x14ac:dyDescent="0.2">
      <c r="L6979" s="12"/>
      <c r="M6979" s="13"/>
    </row>
    <row r="6980" spans="12:13" x14ac:dyDescent="0.2">
      <c r="L6980" s="12"/>
      <c r="M6980" s="13"/>
    </row>
    <row r="6981" spans="12:13" x14ac:dyDescent="0.2">
      <c r="L6981" s="12"/>
      <c r="M6981" s="13"/>
    </row>
    <row r="6982" spans="12:13" x14ac:dyDescent="0.2">
      <c r="L6982" s="12"/>
      <c r="M6982" s="13"/>
    </row>
    <row r="6983" spans="12:13" x14ac:dyDescent="0.2">
      <c r="L6983" s="12"/>
      <c r="M6983" s="13"/>
    </row>
    <row r="6984" spans="12:13" x14ac:dyDescent="0.2">
      <c r="L6984" s="12"/>
      <c r="M6984" s="13"/>
    </row>
    <row r="6985" spans="12:13" x14ac:dyDescent="0.2">
      <c r="L6985" s="12"/>
      <c r="M6985" s="13"/>
    </row>
    <row r="6986" spans="12:13" x14ac:dyDescent="0.2">
      <c r="L6986" s="12"/>
      <c r="M6986" s="13"/>
    </row>
    <row r="6987" spans="12:13" x14ac:dyDescent="0.2">
      <c r="L6987" s="12"/>
      <c r="M6987" s="13"/>
    </row>
    <row r="6988" spans="12:13" x14ac:dyDescent="0.2">
      <c r="L6988" s="12"/>
      <c r="M6988" s="13"/>
    </row>
    <row r="6989" spans="12:13" x14ac:dyDescent="0.2">
      <c r="L6989" s="12"/>
      <c r="M6989" s="13"/>
    </row>
    <row r="6990" spans="12:13" x14ac:dyDescent="0.2">
      <c r="L6990" s="12"/>
      <c r="M6990" s="13"/>
    </row>
    <row r="6991" spans="12:13" x14ac:dyDescent="0.2">
      <c r="L6991" s="12"/>
      <c r="M6991" s="13"/>
    </row>
    <row r="6992" spans="12:13" x14ac:dyDescent="0.2">
      <c r="L6992" s="12"/>
      <c r="M6992" s="13"/>
    </row>
    <row r="6993" spans="12:13" x14ac:dyDescent="0.2">
      <c r="L6993" s="12"/>
      <c r="M6993" s="13"/>
    </row>
    <row r="6994" spans="12:13" x14ac:dyDescent="0.2">
      <c r="L6994" s="12"/>
      <c r="M6994" s="13"/>
    </row>
    <row r="6995" spans="12:13" x14ac:dyDescent="0.2">
      <c r="L6995" s="12"/>
      <c r="M6995" s="13"/>
    </row>
    <row r="6996" spans="12:13" x14ac:dyDescent="0.2">
      <c r="L6996" s="12"/>
      <c r="M6996" s="13"/>
    </row>
    <row r="6997" spans="12:13" x14ac:dyDescent="0.2">
      <c r="L6997" s="12"/>
      <c r="M6997" s="13"/>
    </row>
    <row r="6998" spans="12:13" x14ac:dyDescent="0.2">
      <c r="L6998" s="12"/>
      <c r="M6998" s="13"/>
    </row>
    <row r="6999" spans="12:13" x14ac:dyDescent="0.2">
      <c r="L6999" s="12"/>
      <c r="M6999" s="13"/>
    </row>
    <row r="7000" spans="12:13" x14ac:dyDescent="0.2">
      <c r="L7000" s="12"/>
      <c r="M7000" s="13"/>
    </row>
    <row r="7001" spans="12:13" x14ac:dyDescent="0.2">
      <c r="L7001" s="12"/>
      <c r="M7001" s="13"/>
    </row>
    <row r="7002" spans="12:13" x14ac:dyDescent="0.2">
      <c r="L7002" s="12"/>
      <c r="M7002" s="13"/>
    </row>
    <row r="7003" spans="12:13" x14ac:dyDescent="0.2">
      <c r="L7003" s="12"/>
      <c r="M7003" s="13"/>
    </row>
    <row r="7004" spans="12:13" x14ac:dyDescent="0.2">
      <c r="L7004" s="12"/>
      <c r="M7004" s="13"/>
    </row>
    <row r="7005" spans="12:13" x14ac:dyDescent="0.2">
      <c r="L7005" s="12"/>
      <c r="M7005" s="13"/>
    </row>
    <row r="7006" spans="12:13" x14ac:dyDescent="0.2">
      <c r="L7006" s="12"/>
      <c r="M7006" s="13"/>
    </row>
    <row r="7007" spans="12:13" x14ac:dyDescent="0.2">
      <c r="L7007" s="12"/>
      <c r="M7007" s="13"/>
    </row>
    <row r="7008" spans="12:13" x14ac:dyDescent="0.2">
      <c r="L7008" s="12"/>
      <c r="M7008" s="13"/>
    </row>
    <row r="7009" spans="12:13" x14ac:dyDescent="0.2">
      <c r="L7009" s="12"/>
      <c r="M7009" s="13"/>
    </row>
    <row r="7010" spans="12:13" x14ac:dyDescent="0.2">
      <c r="L7010" s="12"/>
      <c r="M7010" s="13"/>
    </row>
    <row r="7011" spans="12:13" x14ac:dyDescent="0.2">
      <c r="L7011" s="12"/>
      <c r="M7011" s="13"/>
    </row>
    <row r="7012" spans="12:13" x14ac:dyDescent="0.2">
      <c r="L7012" s="12"/>
      <c r="M7012" s="13"/>
    </row>
    <row r="7013" spans="12:13" x14ac:dyDescent="0.2">
      <c r="L7013" s="12"/>
      <c r="M7013" s="13"/>
    </row>
    <row r="7014" spans="12:13" x14ac:dyDescent="0.2">
      <c r="L7014" s="12"/>
      <c r="M7014" s="13"/>
    </row>
    <row r="7015" spans="12:13" x14ac:dyDescent="0.2">
      <c r="L7015" s="12"/>
      <c r="M7015" s="13"/>
    </row>
    <row r="7016" spans="12:13" x14ac:dyDescent="0.2">
      <c r="L7016" s="12"/>
      <c r="M7016" s="13"/>
    </row>
    <row r="7017" spans="12:13" x14ac:dyDescent="0.2">
      <c r="L7017" s="12"/>
      <c r="M7017" s="13"/>
    </row>
    <row r="7018" spans="12:13" x14ac:dyDescent="0.2">
      <c r="L7018" s="12"/>
      <c r="M7018" s="13"/>
    </row>
    <row r="7019" spans="12:13" x14ac:dyDescent="0.2">
      <c r="L7019" s="12"/>
      <c r="M7019" s="13"/>
    </row>
    <row r="7020" spans="12:13" x14ac:dyDescent="0.2">
      <c r="L7020" s="12"/>
      <c r="M7020" s="13"/>
    </row>
    <row r="7021" spans="12:13" x14ac:dyDescent="0.2">
      <c r="L7021" s="12"/>
      <c r="M7021" s="13"/>
    </row>
    <row r="7022" spans="12:13" x14ac:dyDescent="0.2">
      <c r="L7022" s="12"/>
      <c r="M7022" s="13"/>
    </row>
    <row r="7023" spans="12:13" x14ac:dyDescent="0.2">
      <c r="L7023" s="12"/>
      <c r="M7023" s="13"/>
    </row>
    <row r="7024" spans="12:13" x14ac:dyDescent="0.2">
      <c r="L7024" s="12"/>
      <c r="M7024" s="13"/>
    </row>
    <row r="7025" spans="12:13" x14ac:dyDescent="0.2">
      <c r="L7025" s="12"/>
      <c r="M7025" s="13"/>
    </row>
    <row r="7026" spans="12:13" x14ac:dyDescent="0.2">
      <c r="L7026" s="12"/>
      <c r="M7026" s="13"/>
    </row>
    <row r="7027" spans="12:13" x14ac:dyDescent="0.2">
      <c r="L7027" s="12"/>
      <c r="M7027" s="13"/>
    </row>
    <row r="7028" spans="12:13" x14ac:dyDescent="0.2">
      <c r="L7028" s="12"/>
      <c r="M7028" s="13"/>
    </row>
    <row r="7029" spans="12:13" x14ac:dyDescent="0.2">
      <c r="L7029" s="12"/>
      <c r="M7029" s="13"/>
    </row>
    <row r="7030" spans="12:13" x14ac:dyDescent="0.2">
      <c r="L7030" s="12"/>
      <c r="M7030" s="13"/>
    </row>
    <row r="7031" spans="12:13" x14ac:dyDescent="0.2">
      <c r="L7031" s="12"/>
      <c r="M7031" s="13"/>
    </row>
    <row r="7032" spans="12:13" x14ac:dyDescent="0.2">
      <c r="L7032" s="12"/>
      <c r="M7032" s="13"/>
    </row>
    <row r="7033" spans="12:13" x14ac:dyDescent="0.2">
      <c r="L7033" s="12"/>
      <c r="M7033" s="13"/>
    </row>
    <row r="7034" spans="12:13" x14ac:dyDescent="0.2">
      <c r="L7034" s="12"/>
      <c r="M7034" s="13"/>
    </row>
    <row r="7035" spans="12:13" x14ac:dyDescent="0.2">
      <c r="L7035" s="12"/>
      <c r="M7035" s="13"/>
    </row>
    <row r="7036" spans="12:13" x14ac:dyDescent="0.2">
      <c r="L7036" s="12"/>
      <c r="M7036" s="13"/>
    </row>
    <row r="7037" spans="12:13" x14ac:dyDescent="0.2">
      <c r="L7037" s="12"/>
      <c r="M7037" s="13"/>
    </row>
    <row r="7038" spans="12:13" x14ac:dyDescent="0.2">
      <c r="L7038" s="12"/>
      <c r="M7038" s="13"/>
    </row>
    <row r="7039" spans="12:13" x14ac:dyDescent="0.2">
      <c r="L7039" s="12"/>
      <c r="M7039" s="13"/>
    </row>
    <row r="7040" spans="12:13" x14ac:dyDescent="0.2">
      <c r="L7040" s="12"/>
      <c r="M7040" s="13"/>
    </row>
    <row r="7041" spans="12:13" x14ac:dyDescent="0.2">
      <c r="L7041" s="12"/>
      <c r="M7041" s="13"/>
    </row>
    <row r="7042" spans="12:13" x14ac:dyDescent="0.2">
      <c r="L7042" s="12"/>
      <c r="M7042" s="13"/>
    </row>
    <row r="7043" spans="12:13" x14ac:dyDescent="0.2">
      <c r="L7043" s="12"/>
      <c r="M7043" s="13"/>
    </row>
    <row r="7044" spans="12:13" x14ac:dyDescent="0.2">
      <c r="L7044" s="12"/>
      <c r="M7044" s="13"/>
    </row>
    <row r="7045" spans="12:13" x14ac:dyDescent="0.2">
      <c r="L7045" s="12"/>
      <c r="M7045" s="13"/>
    </row>
    <row r="7046" spans="12:13" x14ac:dyDescent="0.2">
      <c r="L7046" s="12"/>
      <c r="M7046" s="13"/>
    </row>
    <row r="7047" spans="12:13" x14ac:dyDescent="0.2">
      <c r="L7047" s="12"/>
      <c r="M7047" s="13"/>
    </row>
    <row r="7048" spans="12:13" x14ac:dyDescent="0.2">
      <c r="L7048" s="12"/>
      <c r="M7048" s="13"/>
    </row>
    <row r="7049" spans="12:13" x14ac:dyDescent="0.2">
      <c r="L7049" s="12"/>
      <c r="M7049" s="13"/>
    </row>
    <row r="7050" spans="12:13" x14ac:dyDescent="0.2">
      <c r="L7050" s="12"/>
      <c r="M7050" s="13"/>
    </row>
    <row r="7051" spans="12:13" x14ac:dyDescent="0.2">
      <c r="L7051" s="12"/>
      <c r="M7051" s="13"/>
    </row>
    <row r="7052" spans="12:13" x14ac:dyDescent="0.2">
      <c r="L7052" s="12"/>
      <c r="M7052" s="13"/>
    </row>
    <row r="7053" spans="12:13" x14ac:dyDescent="0.2">
      <c r="L7053" s="12"/>
      <c r="M7053" s="13"/>
    </row>
    <row r="7054" spans="12:13" x14ac:dyDescent="0.2">
      <c r="L7054" s="12"/>
      <c r="M7054" s="13"/>
    </row>
    <row r="7055" spans="12:13" x14ac:dyDescent="0.2">
      <c r="L7055" s="12"/>
      <c r="M7055" s="13"/>
    </row>
    <row r="7056" spans="12:13" x14ac:dyDescent="0.2">
      <c r="L7056" s="12"/>
      <c r="M7056" s="13"/>
    </row>
    <row r="7057" spans="12:13" x14ac:dyDescent="0.2">
      <c r="L7057" s="12"/>
      <c r="M7057" s="13"/>
    </row>
    <row r="7058" spans="12:13" x14ac:dyDescent="0.2">
      <c r="L7058" s="12"/>
      <c r="M7058" s="13"/>
    </row>
    <row r="7059" spans="12:13" x14ac:dyDescent="0.2">
      <c r="L7059" s="12"/>
      <c r="M7059" s="13"/>
    </row>
    <row r="7060" spans="12:13" x14ac:dyDescent="0.2">
      <c r="L7060" s="12"/>
      <c r="M7060" s="13"/>
    </row>
    <row r="7061" spans="12:13" x14ac:dyDescent="0.2">
      <c r="L7061" s="12"/>
      <c r="M7061" s="13"/>
    </row>
    <row r="7062" spans="12:13" x14ac:dyDescent="0.2">
      <c r="L7062" s="12"/>
      <c r="M7062" s="13"/>
    </row>
    <row r="7063" spans="12:13" x14ac:dyDescent="0.2">
      <c r="L7063" s="12"/>
      <c r="M7063" s="13"/>
    </row>
    <row r="7064" spans="12:13" x14ac:dyDescent="0.2">
      <c r="L7064" s="12"/>
      <c r="M7064" s="13"/>
    </row>
    <row r="7065" spans="12:13" x14ac:dyDescent="0.2">
      <c r="L7065" s="12"/>
      <c r="M7065" s="13"/>
    </row>
    <row r="7066" spans="12:13" x14ac:dyDescent="0.2">
      <c r="L7066" s="12"/>
      <c r="M7066" s="13"/>
    </row>
    <row r="7067" spans="12:13" x14ac:dyDescent="0.2">
      <c r="L7067" s="12"/>
      <c r="M7067" s="13"/>
    </row>
    <row r="7068" spans="12:13" x14ac:dyDescent="0.2">
      <c r="L7068" s="12"/>
      <c r="M7068" s="13"/>
    </row>
    <row r="7069" spans="12:13" x14ac:dyDescent="0.2">
      <c r="L7069" s="12"/>
      <c r="M7069" s="13"/>
    </row>
    <row r="7070" spans="12:13" x14ac:dyDescent="0.2">
      <c r="L7070" s="12"/>
      <c r="M7070" s="13"/>
    </row>
    <row r="7071" spans="12:13" x14ac:dyDescent="0.2">
      <c r="L7071" s="12"/>
      <c r="M7071" s="13"/>
    </row>
    <row r="7072" spans="12:13" x14ac:dyDescent="0.2">
      <c r="L7072" s="12"/>
      <c r="M7072" s="13"/>
    </row>
    <row r="7073" spans="12:13" x14ac:dyDescent="0.2">
      <c r="L7073" s="12"/>
      <c r="M7073" s="13"/>
    </row>
    <row r="7074" spans="12:13" x14ac:dyDescent="0.2">
      <c r="L7074" s="12"/>
      <c r="M7074" s="13"/>
    </row>
    <row r="7075" spans="12:13" x14ac:dyDescent="0.2">
      <c r="L7075" s="12"/>
      <c r="M7075" s="13"/>
    </row>
    <row r="7076" spans="12:13" x14ac:dyDescent="0.2">
      <c r="L7076" s="12"/>
      <c r="M7076" s="13"/>
    </row>
    <row r="7077" spans="12:13" x14ac:dyDescent="0.2">
      <c r="L7077" s="12"/>
      <c r="M7077" s="13"/>
    </row>
    <row r="7078" spans="12:13" x14ac:dyDescent="0.2">
      <c r="L7078" s="12"/>
      <c r="M7078" s="13"/>
    </row>
    <row r="7079" spans="12:13" x14ac:dyDescent="0.2">
      <c r="L7079" s="12"/>
      <c r="M7079" s="13"/>
    </row>
    <row r="7080" spans="12:13" x14ac:dyDescent="0.2">
      <c r="L7080" s="12"/>
      <c r="M7080" s="13"/>
    </row>
    <row r="7081" spans="12:13" x14ac:dyDescent="0.2">
      <c r="L7081" s="12"/>
      <c r="M7081" s="13"/>
    </row>
    <row r="7082" spans="12:13" x14ac:dyDescent="0.2">
      <c r="L7082" s="12"/>
      <c r="M7082" s="13"/>
    </row>
    <row r="7083" spans="12:13" x14ac:dyDescent="0.2">
      <c r="L7083" s="12"/>
      <c r="M7083" s="13"/>
    </row>
    <row r="7084" spans="12:13" x14ac:dyDescent="0.2">
      <c r="L7084" s="12"/>
      <c r="M7084" s="13"/>
    </row>
    <row r="7085" spans="12:13" x14ac:dyDescent="0.2">
      <c r="L7085" s="12"/>
      <c r="M7085" s="13"/>
    </row>
    <row r="7086" spans="12:13" x14ac:dyDescent="0.2">
      <c r="L7086" s="12"/>
      <c r="M7086" s="13"/>
    </row>
    <row r="7087" spans="12:13" x14ac:dyDescent="0.2">
      <c r="L7087" s="12"/>
      <c r="M7087" s="13"/>
    </row>
    <row r="7088" spans="12:13" x14ac:dyDescent="0.2">
      <c r="L7088" s="12"/>
      <c r="M7088" s="13"/>
    </row>
    <row r="7089" spans="12:13" x14ac:dyDescent="0.2">
      <c r="L7089" s="12"/>
      <c r="M7089" s="13"/>
    </row>
    <row r="7090" spans="12:13" x14ac:dyDescent="0.2">
      <c r="L7090" s="12"/>
      <c r="M7090" s="13"/>
    </row>
    <row r="7091" spans="12:13" x14ac:dyDescent="0.2">
      <c r="L7091" s="12"/>
      <c r="M7091" s="13"/>
    </row>
    <row r="7092" spans="12:13" x14ac:dyDescent="0.2">
      <c r="L7092" s="12"/>
      <c r="M7092" s="13"/>
    </row>
    <row r="7093" spans="12:13" x14ac:dyDescent="0.2">
      <c r="L7093" s="12"/>
      <c r="M7093" s="13"/>
    </row>
    <row r="7094" spans="12:13" x14ac:dyDescent="0.2">
      <c r="L7094" s="12"/>
      <c r="M7094" s="13"/>
    </row>
    <row r="7095" spans="12:13" x14ac:dyDescent="0.2">
      <c r="L7095" s="12"/>
      <c r="M7095" s="13"/>
    </row>
    <row r="7096" spans="12:13" x14ac:dyDescent="0.2">
      <c r="L7096" s="12"/>
      <c r="M7096" s="13"/>
    </row>
    <row r="7097" spans="12:13" x14ac:dyDescent="0.2">
      <c r="L7097" s="12"/>
      <c r="M7097" s="13"/>
    </row>
    <row r="7098" spans="12:13" x14ac:dyDescent="0.2">
      <c r="L7098" s="12"/>
      <c r="M7098" s="13"/>
    </row>
    <row r="7099" spans="12:13" x14ac:dyDescent="0.2">
      <c r="L7099" s="12"/>
      <c r="M7099" s="13"/>
    </row>
    <row r="7100" spans="12:13" x14ac:dyDescent="0.2">
      <c r="L7100" s="12"/>
      <c r="M7100" s="13"/>
    </row>
    <row r="7101" spans="12:13" x14ac:dyDescent="0.2">
      <c r="L7101" s="12"/>
      <c r="M7101" s="13"/>
    </row>
    <row r="7102" spans="12:13" x14ac:dyDescent="0.2">
      <c r="L7102" s="12"/>
      <c r="M7102" s="13"/>
    </row>
    <row r="7103" spans="12:13" x14ac:dyDescent="0.2">
      <c r="L7103" s="12"/>
      <c r="M7103" s="13"/>
    </row>
    <row r="7104" spans="12:13" x14ac:dyDescent="0.2">
      <c r="L7104" s="12"/>
      <c r="M7104" s="13"/>
    </row>
    <row r="7105" spans="12:13" x14ac:dyDescent="0.2">
      <c r="L7105" s="12"/>
      <c r="M7105" s="13"/>
    </row>
    <row r="7106" spans="12:13" x14ac:dyDescent="0.2">
      <c r="L7106" s="12"/>
      <c r="M7106" s="13"/>
    </row>
    <row r="7107" spans="12:13" x14ac:dyDescent="0.2">
      <c r="L7107" s="12"/>
      <c r="M7107" s="13"/>
    </row>
    <row r="7108" spans="12:13" x14ac:dyDescent="0.2">
      <c r="L7108" s="12"/>
      <c r="M7108" s="13"/>
    </row>
    <row r="7109" spans="12:13" x14ac:dyDescent="0.2">
      <c r="L7109" s="12"/>
      <c r="M7109" s="13"/>
    </row>
    <row r="7110" spans="12:13" x14ac:dyDescent="0.2">
      <c r="L7110" s="12"/>
      <c r="M7110" s="13"/>
    </row>
    <row r="7111" spans="12:13" x14ac:dyDescent="0.2">
      <c r="L7111" s="12"/>
      <c r="M7111" s="13"/>
    </row>
    <row r="7112" spans="12:13" x14ac:dyDescent="0.2">
      <c r="L7112" s="12"/>
      <c r="M7112" s="13"/>
    </row>
    <row r="7113" spans="12:13" x14ac:dyDescent="0.2">
      <c r="L7113" s="12"/>
      <c r="M7113" s="13"/>
    </row>
    <row r="7114" spans="12:13" x14ac:dyDescent="0.2">
      <c r="L7114" s="12"/>
      <c r="M7114" s="13"/>
    </row>
    <row r="7115" spans="12:13" x14ac:dyDescent="0.2">
      <c r="L7115" s="12"/>
      <c r="M7115" s="13"/>
    </row>
    <row r="7116" spans="12:13" x14ac:dyDescent="0.2">
      <c r="L7116" s="12"/>
      <c r="M7116" s="13"/>
    </row>
    <row r="7117" spans="12:13" x14ac:dyDescent="0.2">
      <c r="L7117" s="12"/>
      <c r="M7117" s="13"/>
    </row>
    <row r="7118" spans="12:13" x14ac:dyDescent="0.2">
      <c r="L7118" s="12"/>
      <c r="M7118" s="13"/>
    </row>
    <row r="7119" spans="12:13" x14ac:dyDescent="0.2">
      <c r="L7119" s="12"/>
      <c r="M7119" s="13"/>
    </row>
    <row r="7120" spans="12:13" x14ac:dyDescent="0.2">
      <c r="L7120" s="12"/>
      <c r="M7120" s="13"/>
    </row>
    <row r="7121" spans="12:13" x14ac:dyDescent="0.2">
      <c r="L7121" s="12"/>
      <c r="M7121" s="13"/>
    </row>
    <row r="7122" spans="12:13" x14ac:dyDescent="0.2">
      <c r="L7122" s="12"/>
      <c r="M7122" s="13"/>
    </row>
    <row r="7123" spans="12:13" x14ac:dyDescent="0.2">
      <c r="L7123" s="12"/>
      <c r="M7123" s="13"/>
    </row>
    <row r="7124" spans="12:13" x14ac:dyDescent="0.2">
      <c r="L7124" s="12"/>
      <c r="M7124" s="13"/>
    </row>
    <row r="7125" spans="12:13" x14ac:dyDescent="0.2">
      <c r="L7125" s="12"/>
      <c r="M7125" s="13"/>
    </row>
    <row r="7126" spans="12:13" x14ac:dyDescent="0.2">
      <c r="L7126" s="12"/>
      <c r="M7126" s="13"/>
    </row>
    <row r="7127" spans="12:13" x14ac:dyDescent="0.2">
      <c r="L7127" s="12"/>
      <c r="M7127" s="13"/>
    </row>
    <row r="7128" spans="12:13" x14ac:dyDescent="0.2">
      <c r="L7128" s="12"/>
      <c r="M7128" s="13"/>
    </row>
    <row r="7129" spans="12:13" x14ac:dyDescent="0.2">
      <c r="L7129" s="12"/>
      <c r="M7129" s="13"/>
    </row>
    <row r="7130" spans="12:13" x14ac:dyDescent="0.2">
      <c r="L7130" s="12"/>
      <c r="M7130" s="13"/>
    </row>
    <row r="7131" spans="12:13" x14ac:dyDescent="0.2">
      <c r="L7131" s="12"/>
      <c r="M7131" s="13"/>
    </row>
    <row r="7132" spans="12:13" x14ac:dyDescent="0.2">
      <c r="L7132" s="12"/>
      <c r="M7132" s="13"/>
    </row>
    <row r="7133" spans="12:13" x14ac:dyDescent="0.2">
      <c r="L7133" s="12"/>
      <c r="M7133" s="13"/>
    </row>
    <row r="7134" spans="12:13" x14ac:dyDescent="0.2">
      <c r="L7134" s="12"/>
      <c r="M7134" s="13"/>
    </row>
    <row r="7135" spans="12:13" x14ac:dyDescent="0.2">
      <c r="L7135" s="12"/>
      <c r="M7135" s="13"/>
    </row>
    <row r="7136" spans="12:13" x14ac:dyDescent="0.2">
      <c r="L7136" s="12"/>
      <c r="M7136" s="13"/>
    </row>
    <row r="7137" spans="12:13" x14ac:dyDescent="0.2">
      <c r="L7137" s="12"/>
      <c r="M7137" s="13"/>
    </row>
    <row r="7138" spans="12:13" x14ac:dyDescent="0.2">
      <c r="L7138" s="12"/>
      <c r="M7138" s="13"/>
    </row>
    <row r="7139" spans="12:13" x14ac:dyDescent="0.2">
      <c r="L7139" s="12"/>
      <c r="M7139" s="13"/>
    </row>
    <row r="7140" spans="12:13" x14ac:dyDescent="0.2">
      <c r="L7140" s="12"/>
      <c r="M7140" s="13"/>
    </row>
    <row r="7141" spans="12:13" x14ac:dyDescent="0.2">
      <c r="L7141" s="12"/>
      <c r="M7141" s="13"/>
    </row>
    <row r="7142" spans="12:13" x14ac:dyDescent="0.2">
      <c r="L7142" s="12"/>
      <c r="M7142" s="13"/>
    </row>
    <row r="7143" spans="12:13" x14ac:dyDescent="0.2">
      <c r="L7143" s="12"/>
      <c r="M7143" s="13"/>
    </row>
    <row r="7144" spans="12:13" x14ac:dyDescent="0.2">
      <c r="L7144" s="12"/>
      <c r="M7144" s="13"/>
    </row>
    <row r="7145" spans="12:13" x14ac:dyDescent="0.2">
      <c r="L7145" s="12"/>
      <c r="M7145" s="13"/>
    </row>
    <row r="7146" spans="12:13" x14ac:dyDescent="0.2">
      <c r="L7146" s="12"/>
      <c r="M7146" s="13"/>
    </row>
    <row r="7147" spans="12:13" x14ac:dyDescent="0.2">
      <c r="L7147" s="12"/>
      <c r="M7147" s="13"/>
    </row>
    <row r="7148" spans="12:13" x14ac:dyDescent="0.2">
      <c r="L7148" s="12"/>
      <c r="M7148" s="13"/>
    </row>
    <row r="7149" spans="12:13" x14ac:dyDescent="0.2">
      <c r="L7149" s="12"/>
      <c r="M7149" s="13"/>
    </row>
    <row r="7150" spans="12:13" x14ac:dyDescent="0.2">
      <c r="L7150" s="12"/>
      <c r="M7150" s="13"/>
    </row>
    <row r="7151" spans="12:13" x14ac:dyDescent="0.2">
      <c r="L7151" s="12"/>
      <c r="M7151" s="13"/>
    </row>
    <row r="7152" spans="12:13" x14ac:dyDescent="0.2">
      <c r="L7152" s="12"/>
      <c r="M7152" s="13"/>
    </row>
    <row r="7153" spans="12:13" x14ac:dyDescent="0.2">
      <c r="L7153" s="12"/>
      <c r="M7153" s="13"/>
    </row>
    <row r="7154" spans="12:13" x14ac:dyDescent="0.2">
      <c r="L7154" s="12"/>
      <c r="M7154" s="13"/>
    </row>
    <row r="7155" spans="12:13" x14ac:dyDescent="0.2">
      <c r="L7155" s="12"/>
      <c r="M7155" s="13"/>
    </row>
    <row r="7156" spans="12:13" x14ac:dyDescent="0.2">
      <c r="L7156" s="12"/>
      <c r="M7156" s="13"/>
    </row>
    <row r="7157" spans="12:13" x14ac:dyDescent="0.2">
      <c r="L7157" s="12"/>
      <c r="M7157" s="13"/>
    </row>
    <row r="7158" spans="12:13" x14ac:dyDescent="0.2">
      <c r="L7158" s="12"/>
      <c r="M7158" s="13"/>
    </row>
    <row r="7159" spans="12:13" x14ac:dyDescent="0.2">
      <c r="L7159" s="12"/>
      <c r="M7159" s="13"/>
    </row>
    <row r="7160" spans="12:13" x14ac:dyDescent="0.2">
      <c r="L7160" s="12"/>
      <c r="M7160" s="13"/>
    </row>
    <row r="7161" spans="12:13" x14ac:dyDescent="0.2">
      <c r="L7161" s="12"/>
      <c r="M7161" s="13"/>
    </row>
    <row r="7162" spans="12:13" x14ac:dyDescent="0.2">
      <c r="L7162" s="12"/>
      <c r="M7162" s="13"/>
    </row>
    <row r="7163" spans="12:13" x14ac:dyDescent="0.2">
      <c r="L7163" s="12"/>
      <c r="M7163" s="13"/>
    </row>
    <row r="7164" spans="12:13" x14ac:dyDescent="0.2">
      <c r="L7164" s="12"/>
      <c r="M7164" s="13"/>
    </row>
    <row r="7165" spans="12:13" x14ac:dyDescent="0.2">
      <c r="L7165" s="12"/>
      <c r="M7165" s="13"/>
    </row>
    <row r="7166" spans="12:13" x14ac:dyDescent="0.2">
      <c r="L7166" s="12"/>
      <c r="M7166" s="13"/>
    </row>
    <row r="7167" spans="12:13" x14ac:dyDescent="0.2">
      <c r="L7167" s="12"/>
      <c r="M7167" s="13"/>
    </row>
    <row r="7168" spans="12:13" x14ac:dyDescent="0.2">
      <c r="L7168" s="12"/>
      <c r="M7168" s="13"/>
    </row>
    <row r="7169" spans="12:13" x14ac:dyDescent="0.2">
      <c r="L7169" s="12"/>
      <c r="M7169" s="13"/>
    </row>
    <row r="7170" spans="12:13" x14ac:dyDescent="0.2">
      <c r="L7170" s="17"/>
      <c r="M7170" s="18"/>
    </row>
    <row r="7171" spans="12:13" x14ac:dyDescent="0.2">
      <c r="L7171" s="12"/>
      <c r="M7171" s="13"/>
    </row>
    <row r="7172" spans="12:13" x14ac:dyDescent="0.2">
      <c r="L7172" s="12"/>
      <c r="M7172" s="13"/>
    </row>
    <row r="7173" spans="12:13" x14ac:dyDescent="0.2">
      <c r="L7173" s="12"/>
      <c r="M7173" s="13"/>
    </row>
    <row r="7174" spans="12:13" x14ac:dyDescent="0.2">
      <c r="L7174" s="12"/>
      <c r="M7174" s="13"/>
    </row>
    <row r="7175" spans="12:13" x14ac:dyDescent="0.2">
      <c r="L7175" s="12"/>
      <c r="M7175" s="13"/>
    </row>
    <row r="7176" spans="12:13" x14ac:dyDescent="0.2">
      <c r="L7176" s="12"/>
      <c r="M7176" s="13"/>
    </row>
    <row r="7177" spans="12:13" x14ac:dyDescent="0.2">
      <c r="L7177" s="12"/>
      <c r="M7177" s="13"/>
    </row>
    <row r="7178" spans="12:13" x14ac:dyDescent="0.2">
      <c r="L7178" s="12"/>
      <c r="M7178" s="13"/>
    </row>
    <row r="7179" spans="12:13" x14ac:dyDescent="0.2">
      <c r="L7179" s="12"/>
      <c r="M7179" s="13"/>
    </row>
    <row r="7180" spans="12:13" x14ac:dyDescent="0.2">
      <c r="L7180" s="12"/>
      <c r="M7180" s="13"/>
    </row>
    <row r="7181" spans="12:13" x14ac:dyDescent="0.2">
      <c r="L7181" s="12"/>
      <c r="M7181" s="13"/>
    </row>
    <row r="7182" spans="12:13" x14ac:dyDescent="0.2">
      <c r="L7182" s="12"/>
      <c r="M7182" s="13"/>
    </row>
    <row r="7183" spans="12:13" x14ac:dyDescent="0.2">
      <c r="L7183" s="12"/>
      <c r="M7183" s="13"/>
    </row>
    <row r="7184" spans="12:13" x14ac:dyDescent="0.2">
      <c r="L7184" s="12"/>
      <c r="M7184" s="13"/>
    </row>
    <row r="7185" spans="12:13" x14ac:dyDescent="0.2">
      <c r="L7185" s="12"/>
      <c r="M7185" s="13"/>
    </row>
    <row r="7186" spans="12:13" x14ac:dyDescent="0.2">
      <c r="L7186" s="12"/>
      <c r="M7186" s="13"/>
    </row>
    <row r="7187" spans="12:13" x14ac:dyDescent="0.2">
      <c r="L7187" s="12"/>
      <c r="M7187" s="13"/>
    </row>
    <row r="7188" spans="12:13" x14ac:dyDescent="0.2">
      <c r="L7188" s="12"/>
      <c r="M7188" s="13"/>
    </row>
    <row r="7189" spans="12:13" x14ac:dyDescent="0.2">
      <c r="L7189" s="12"/>
      <c r="M7189" s="13"/>
    </row>
    <row r="7190" spans="12:13" x14ac:dyDescent="0.2">
      <c r="L7190" s="12"/>
      <c r="M7190" s="13"/>
    </row>
    <row r="7191" spans="12:13" x14ac:dyDescent="0.2">
      <c r="L7191" s="12"/>
      <c r="M7191" s="13"/>
    </row>
    <row r="7192" spans="12:13" x14ac:dyDescent="0.2">
      <c r="L7192" s="12"/>
      <c r="M7192" s="13"/>
    </row>
    <row r="7193" spans="12:13" x14ac:dyDescent="0.2">
      <c r="L7193" s="12"/>
      <c r="M7193" s="13"/>
    </row>
    <row r="7194" spans="12:13" x14ac:dyDescent="0.2">
      <c r="L7194" s="12"/>
      <c r="M7194" s="13"/>
    </row>
    <row r="7195" spans="12:13" x14ac:dyDescent="0.2">
      <c r="L7195" s="12"/>
      <c r="M7195" s="13"/>
    </row>
    <row r="7196" spans="12:13" x14ac:dyDescent="0.2">
      <c r="L7196" s="12"/>
      <c r="M7196" s="13"/>
    </row>
    <row r="7197" spans="12:13" x14ac:dyDescent="0.2">
      <c r="L7197" s="12"/>
      <c r="M7197" s="13"/>
    </row>
    <row r="7198" spans="12:13" x14ac:dyDescent="0.2">
      <c r="L7198" s="12"/>
      <c r="M7198" s="13"/>
    </row>
    <row r="7199" spans="12:13" x14ac:dyDescent="0.2">
      <c r="L7199" s="12"/>
      <c r="M7199" s="13"/>
    </row>
    <row r="7200" spans="12:13" x14ac:dyDescent="0.2">
      <c r="L7200" s="12"/>
      <c r="M7200" s="13"/>
    </row>
    <row r="7201" spans="12:13" x14ac:dyDescent="0.2">
      <c r="L7201" s="12"/>
      <c r="M7201" s="13"/>
    </row>
    <row r="7202" spans="12:13" x14ac:dyDescent="0.2">
      <c r="L7202" s="12"/>
      <c r="M7202" s="13"/>
    </row>
    <row r="7203" spans="12:13" x14ac:dyDescent="0.2">
      <c r="L7203" s="12"/>
      <c r="M7203" s="13"/>
    </row>
    <row r="7204" spans="12:13" x14ac:dyDescent="0.2">
      <c r="L7204" s="12"/>
      <c r="M7204" s="13"/>
    </row>
    <row r="7205" spans="12:13" x14ac:dyDescent="0.2">
      <c r="L7205" s="12"/>
      <c r="M7205" s="13"/>
    </row>
    <row r="7206" spans="12:13" x14ac:dyDescent="0.2">
      <c r="L7206" s="12"/>
      <c r="M7206" s="13"/>
    </row>
    <row r="7207" spans="12:13" x14ac:dyDescent="0.2">
      <c r="L7207" s="12"/>
      <c r="M7207" s="13"/>
    </row>
    <row r="7208" spans="12:13" x14ac:dyDescent="0.2">
      <c r="L7208" s="12"/>
      <c r="M7208" s="13"/>
    </row>
    <row r="7209" spans="12:13" x14ac:dyDescent="0.2">
      <c r="L7209" s="12"/>
      <c r="M7209" s="13"/>
    </row>
    <row r="7210" spans="12:13" x14ac:dyDescent="0.2">
      <c r="L7210" s="12"/>
      <c r="M7210" s="13"/>
    </row>
    <row r="7211" spans="12:13" x14ac:dyDescent="0.2">
      <c r="L7211" s="12"/>
      <c r="M7211" s="13"/>
    </row>
    <row r="7212" spans="12:13" x14ac:dyDescent="0.2">
      <c r="L7212" s="12"/>
      <c r="M7212" s="13"/>
    </row>
    <row r="7213" spans="12:13" x14ac:dyDescent="0.2">
      <c r="L7213" s="12"/>
      <c r="M7213" s="13"/>
    </row>
    <row r="7214" spans="12:13" x14ac:dyDescent="0.2">
      <c r="L7214" s="12"/>
      <c r="M7214" s="13"/>
    </row>
    <row r="7215" spans="12:13" x14ac:dyDescent="0.2">
      <c r="L7215" s="12"/>
      <c r="M7215" s="13"/>
    </row>
    <row r="7216" spans="12:13" x14ac:dyDescent="0.2">
      <c r="L7216" s="12"/>
      <c r="M7216" s="13"/>
    </row>
    <row r="7217" spans="12:13" x14ac:dyDescent="0.2">
      <c r="L7217" s="12"/>
      <c r="M7217" s="13"/>
    </row>
    <row r="7218" spans="12:13" x14ac:dyDescent="0.2">
      <c r="L7218" s="12"/>
      <c r="M7218" s="13"/>
    </row>
    <row r="7219" spans="12:13" x14ac:dyDescent="0.2">
      <c r="L7219" s="12"/>
      <c r="M7219" s="13"/>
    </row>
    <row r="7220" spans="12:13" x14ac:dyDescent="0.2">
      <c r="L7220" s="12"/>
      <c r="M7220" s="13"/>
    </row>
    <row r="7221" spans="12:13" x14ac:dyDescent="0.2">
      <c r="L7221" s="12"/>
      <c r="M7221" s="13"/>
    </row>
    <row r="7222" spans="12:13" x14ac:dyDescent="0.2">
      <c r="L7222" s="12"/>
      <c r="M7222" s="13"/>
    </row>
    <row r="7223" spans="12:13" x14ac:dyDescent="0.2">
      <c r="L7223" s="12"/>
      <c r="M7223" s="13"/>
    </row>
    <row r="7224" spans="12:13" x14ac:dyDescent="0.2">
      <c r="L7224" s="12"/>
      <c r="M7224" s="13"/>
    </row>
    <row r="7225" spans="12:13" x14ac:dyDescent="0.2">
      <c r="L7225" s="12"/>
      <c r="M7225" s="13"/>
    </row>
    <row r="7226" spans="12:13" x14ac:dyDescent="0.2">
      <c r="L7226" s="12"/>
      <c r="M7226" s="13"/>
    </row>
    <row r="7227" spans="12:13" x14ac:dyDescent="0.2">
      <c r="L7227" s="12"/>
      <c r="M7227" s="13"/>
    </row>
    <row r="7228" spans="12:13" x14ac:dyDescent="0.2">
      <c r="L7228" s="12"/>
      <c r="M7228" s="13"/>
    </row>
    <row r="7229" spans="12:13" x14ac:dyDescent="0.2">
      <c r="L7229" s="12"/>
      <c r="M7229" s="13"/>
    </row>
    <row r="7230" spans="12:13" x14ac:dyDescent="0.2">
      <c r="L7230" s="12"/>
      <c r="M7230" s="13"/>
    </row>
    <row r="7231" spans="12:13" x14ac:dyDescent="0.2">
      <c r="L7231" s="12"/>
      <c r="M7231" s="13"/>
    </row>
    <row r="7232" spans="12:13" x14ac:dyDescent="0.2">
      <c r="L7232" s="12"/>
      <c r="M7232" s="13"/>
    </row>
    <row r="7233" spans="12:13" x14ac:dyDescent="0.2">
      <c r="L7233" s="12"/>
      <c r="M7233" s="13"/>
    </row>
    <row r="7234" spans="12:13" x14ac:dyDescent="0.2">
      <c r="L7234" s="12"/>
      <c r="M7234" s="13"/>
    </row>
    <row r="7235" spans="12:13" x14ac:dyDescent="0.2">
      <c r="L7235" s="12"/>
      <c r="M7235" s="13"/>
    </row>
    <row r="7236" spans="12:13" x14ac:dyDescent="0.2">
      <c r="L7236" s="12"/>
      <c r="M7236" s="13"/>
    </row>
    <row r="7237" spans="12:13" x14ac:dyDescent="0.2">
      <c r="L7237" s="12"/>
      <c r="M7237" s="13"/>
    </row>
    <row r="7238" spans="12:13" x14ac:dyDescent="0.2">
      <c r="L7238" s="12"/>
      <c r="M7238" s="13"/>
    </row>
    <row r="7239" spans="12:13" x14ac:dyDescent="0.2">
      <c r="L7239" s="12"/>
      <c r="M7239" s="13"/>
    </row>
    <row r="7240" spans="12:13" x14ac:dyDescent="0.2">
      <c r="L7240" s="12"/>
      <c r="M7240" s="13"/>
    </row>
    <row r="7241" spans="12:13" x14ac:dyDescent="0.2">
      <c r="L7241" s="12"/>
      <c r="M7241" s="13"/>
    </row>
    <row r="7242" spans="12:13" x14ac:dyDescent="0.2">
      <c r="L7242" s="12"/>
      <c r="M7242" s="13"/>
    </row>
    <row r="7243" spans="12:13" x14ac:dyDescent="0.2">
      <c r="L7243" s="12"/>
      <c r="M7243" s="13"/>
    </row>
    <row r="7244" spans="12:13" x14ac:dyDescent="0.2">
      <c r="L7244" s="12"/>
      <c r="M7244" s="13"/>
    </row>
    <row r="7245" spans="12:13" x14ac:dyDescent="0.2">
      <c r="L7245" s="12"/>
      <c r="M7245" s="13"/>
    </row>
    <row r="7246" spans="12:13" x14ac:dyDescent="0.2">
      <c r="L7246" s="12"/>
      <c r="M7246" s="13"/>
    </row>
    <row r="7247" spans="12:13" x14ac:dyDescent="0.2">
      <c r="L7247" s="12"/>
      <c r="M7247" s="13"/>
    </row>
    <row r="7248" spans="12:13" x14ac:dyDescent="0.2">
      <c r="L7248" s="12"/>
      <c r="M7248" s="13"/>
    </row>
    <row r="7249" spans="12:13" x14ac:dyDescent="0.2">
      <c r="L7249" s="12"/>
      <c r="M7249" s="13"/>
    </row>
    <row r="7250" spans="12:13" x14ac:dyDescent="0.2">
      <c r="L7250" s="12"/>
      <c r="M7250" s="13"/>
    </row>
    <row r="7251" spans="12:13" x14ac:dyDescent="0.2">
      <c r="L7251" s="12"/>
      <c r="M7251" s="13"/>
    </row>
    <row r="7252" spans="12:13" x14ac:dyDescent="0.2">
      <c r="L7252" s="12"/>
      <c r="M7252" s="13"/>
    </row>
    <row r="7253" spans="12:13" x14ac:dyDescent="0.2">
      <c r="L7253" s="12"/>
      <c r="M7253" s="13"/>
    </row>
    <row r="7254" spans="12:13" x14ac:dyDescent="0.2">
      <c r="L7254" s="12"/>
      <c r="M7254" s="13"/>
    </row>
    <row r="7255" spans="12:13" x14ac:dyDescent="0.2">
      <c r="L7255" s="12"/>
      <c r="M7255" s="13"/>
    </row>
    <row r="7256" spans="12:13" x14ac:dyDescent="0.2">
      <c r="L7256" s="12"/>
      <c r="M7256" s="13"/>
    </row>
    <row r="7257" spans="12:13" x14ac:dyDescent="0.2">
      <c r="L7257" s="12"/>
      <c r="M7257" s="13"/>
    </row>
    <row r="7258" spans="12:13" x14ac:dyDescent="0.2">
      <c r="L7258" s="12"/>
      <c r="M7258" s="13"/>
    </row>
    <row r="7259" spans="12:13" x14ac:dyDescent="0.2">
      <c r="L7259" s="12"/>
      <c r="M7259" s="13"/>
    </row>
    <row r="7260" spans="12:13" x14ac:dyDescent="0.2">
      <c r="L7260" s="12"/>
      <c r="M7260" s="13"/>
    </row>
    <row r="7261" spans="12:13" x14ac:dyDescent="0.2">
      <c r="L7261" s="12"/>
      <c r="M7261" s="13"/>
    </row>
    <row r="7262" spans="12:13" x14ac:dyDescent="0.2">
      <c r="L7262" s="12"/>
      <c r="M7262" s="13"/>
    </row>
    <row r="7263" spans="12:13" x14ac:dyDescent="0.2">
      <c r="L7263" s="12"/>
      <c r="M7263" s="13"/>
    </row>
    <row r="7264" spans="12:13" x14ac:dyDescent="0.2">
      <c r="L7264" s="12"/>
      <c r="M7264" s="13"/>
    </row>
    <row r="7265" spans="12:13" x14ac:dyDescent="0.2">
      <c r="L7265" s="12"/>
      <c r="M7265" s="13"/>
    </row>
    <row r="7266" spans="12:13" x14ac:dyDescent="0.2">
      <c r="L7266" s="12"/>
      <c r="M7266" s="13"/>
    </row>
    <row r="7267" spans="12:13" x14ac:dyDescent="0.2">
      <c r="L7267" s="12"/>
      <c r="M7267" s="13"/>
    </row>
    <row r="7268" spans="12:13" x14ac:dyDescent="0.2">
      <c r="L7268" s="12"/>
      <c r="M7268" s="13"/>
    </row>
    <row r="7269" spans="12:13" x14ac:dyDescent="0.2">
      <c r="L7269" s="12"/>
      <c r="M7269" s="13"/>
    </row>
    <row r="7270" spans="12:13" x14ac:dyDescent="0.2">
      <c r="L7270" s="12"/>
      <c r="M7270" s="13"/>
    </row>
    <row r="7271" spans="12:13" x14ac:dyDescent="0.2">
      <c r="L7271" s="12"/>
      <c r="M7271" s="13"/>
    </row>
    <row r="7272" spans="12:13" x14ac:dyDescent="0.2">
      <c r="L7272" s="12"/>
      <c r="M7272" s="13"/>
    </row>
    <row r="7273" spans="12:13" x14ac:dyDescent="0.2">
      <c r="L7273" s="12"/>
      <c r="M7273" s="13"/>
    </row>
    <row r="7274" spans="12:13" x14ac:dyDescent="0.2">
      <c r="L7274" s="12"/>
      <c r="M7274" s="13"/>
    </row>
    <row r="7275" spans="12:13" x14ac:dyDescent="0.2">
      <c r="L7275" s="12"/>
      <c r="M7275" s="13"/>
    </row>
    <row r="7276" spans="12:13" x14ac:dyDescent="0.2">
      <c r="L7276" s="12"/>
      <c r="M7276" s="13"/>
    </row>
    <row r="7277" spans="12:13" x14ac:dyDescent="0.2">
      <c r="L7277" s="12"/>
      <c r="M7277" s="13"/>
    </row>
    <row r="7278" spans="12:13" x14ac:dyDescent="0.2">
      <c r="L7278" s="12"/>
      <c r="M7278" s="13"/>
    </row>
    <row r="7279" spans="12:13" x14ac:dyDescent="0.2">
      <c r="L7279" s="12"/>
      <c r="M7279" s="13"/>
    </row>
    <row r="7280" spans="12:13" x14ac:dyDescent="0.2">
      <c r="L7280" s="12"/>
      <c r="M7280" s="13"/>
    </row>
    <row r="7281" spans="12:13" x14ac:dyDescent="0.2">
      <c r="L7281" s="12"/>
      <c r="M7281" s="13"/>
    </row>
    <row r="7282" spans="12:13" x14ac:dyDescent="0.2">
      <c r="L7282" s="12"/>
      <c r="M7282" s="13"/>
    </row>
    <row r="7283" spans="12:13" x14ac:dyDescent="0.2">
      <c r="L7283" s="12"/>
      <c r="M7283" s="13"/>
    </row>
    <row r="7284" spans="12:13" x14ac:dyDescent="0.2">
      <c r="L7284" s="12"/>
      <c r="M7284" s="13"/>
    </row>
    <row r="7285" spans="12:13" x14ac:dyDescent="0.2">
      <c r="L7285" s="12"/>
      <c r="M7285" s="13"/>
    </row>
    <row r="7286" spans="12:13" x14ac:dyDescent="0.2">
      <c r="L7286" s="12"/>
      <c r="M7286" s="13"/>
    </row>
    <row r="7287" spans="12:13" x14ac:dyDescent="0.2">
      <c r="L7287" s="12"/>
      <c r="M7287" s="13"/>
    </row>
    <row r="7288" spans="12:13" x14ac:dyDescent="0.2">
      <c r="L7288" s="12"/>
      <c r="M7288" s="13"/>
    </row>
    <row r="7289" spans="12:13" x14ac:dyDescent="0.2">
      <c r="L7289" s="12"/>
      <c r="M7289" s="13"/>
    </row>
    <row r="7290" spans="12:13" x14ac:dyDescent="0.2">
      <c r="L7290" s="12"/>
      <c r="M7290" s="13"/>
    </row>
    <row r="7291" spans="12:13" x14ac:dyDescent="0.2">
      <c r="L7291" s="12"/>
      <c r="M7291" s="13"/>
    </row>
    <row r="7292" spans="12:13" x14ac:dyDescent="0.2">
      <c r="L7292" s="12"/>
      <c r="M7292" s="13"/>
    </row>
    <row r="7293" spans="12:13" x14ac:dyDescent="0.2">
      <c r="L7293" s="12"/>
      <c r="M7293" s="13"/>
    </row>
    <row r="7294" spans="12:13" x14ac:dyDescent="0.2">
      <c r="L7294" s="12"/>
      <c r="M7294" s="13"/>
    </row>
    <row r="7295" spans="12:13" x14ac:dyDescent="0.2">
      <c r="L7295" s="12"/>
      <c r="M7295" s="13"/>
    </row>
    <row r="7296" spans="12:13" x14ac:dyDescent="0.2">
      <c r="L7296" s="12"/>
      <c r="M7296" s="13"/>
    </row>
    <row r="7297" spans="12:13" x14ac:dyDescent="0.2">
      <c r="L7297" s="12"/>
      <c r="M7297" s="13"/>
    </row>
    <row r="7298" spans="12:13" x14ac:dyDescent="0.2">
      <c r="L7298" s="12"/>
      <c r="M7298" s="13"/>
    </row>
    <row r="7299" spans="12:13" x14ac:dyDescent="0.2">
      <c r="L7299" s="12"/>
      <c r="M7299" s="13"/>
    </row>
    <row r="7300" spans="12:13" x14ac:dyDescent="0.2">
      <c r="L7300" s="12"/>
      <c r="M7300" s="13"/>
    </row>
    <row r="7301" spans="12:13" x14ac:dyDescent="0.2">
      <c r="L7301" s="12"/>
      <c r="M7301" s="13"/>
    </row>
    <row r="7302" spans="12:13" x14ac:dyDescent="0.2">
      <c r="L7302" s="12"/>
      <c r="M7302" s="13"/>
    </row>
    <row r="7303" spans="12:13" x14ac:dyDescent="0.2">
      <c r="L7303" s="12"/>
      <c r="M7303" s="13"/>
    </row>
    <row r="7304" spans="12:13" x14ac:dyDescent="0.2">
      <c r="L7304" s="12"/>
      <c r="M7304" s="13"/>
    </row>
    <row r="7305" spans="12:13" x14ac:dyDescent="0.2">
      <c r="L7305" s="12"/>
      <c r="M7305" s="13"/>
    </row>
    <row r="7306" spans="12:13" x14ac:dyDescent="0.2">
      <c r="L7306" s="12"/>
      <c r="M7306" s="13"/>
    </row>
    <row r="7307" spans="12:13" x14ac:dyDescent="0.2">
      <c r="L7307" s="12"/>
      <c r="M7307" s="13"/>
    </row>
    <row r="7308" spans="12:13" x14ac:dyDescent="0.2">
      <c r="L7308" s="12"/>
      <c r="M7308" s="13"/>
    </row>
    <row r="7309" spans="12:13" x14ac:dyDescent="0.2">
      <c r="L7309" s="12"/>
      <c r="M7309" s="13"/>
    </row>
    <row r="7310" spans="12:13" x14ac:dyDescent="0.2">
      <c r="L7310" s="12"/>
      <c r="M7310" s="13"/>
    </row>
    <row r="7311" spans="12:13" x14ac:dyDescent="0.2">
      <c r="L7311" s="12"/>
      <c r="M7311" s="13"/>
    </row>
    <row r="7312" spans="12:13" x14ac:dyDescent="0.2">
      <c r="L7312" s="12"/>
      <c r="M7312" s="13"/>
    </row>
    <row r="7313" spans="12:13" x14ac:dyDescent="0.2">
      <c r="L7313" s="12"/>
      <c r="M7313" s="13"/>
    </row>
    <row r="7314" spans="12:13" x14ac:dyDescent="0.2">
      <c r="L7314" s="12"/>
      <c r="M7314" s="13"/>
    </row>
    <row r="7315" spans="12:13" x14ac:dyDescent="0.2">
      <c r="L7315" s="12"/>
      <c r="M7315" s="13"/>
    </row>
    <row r="7316" spans="12:13" x14ac:dyDescent="0.2">
      <c r="L7316" s="12"/>
      <c r="M7316" s="13"/>
    </row>
    <row r="7317" spans="12:13" x14ac:dyDescent="0.2">
      <c r="L7317" s="12"/>
      <c r="M7317" s="13"/>
    </row>
    <row r="7318" spans="12:13" x14ac:dyDescent="0.2">
      <c r="L7318" s="12"/>
      <c r="M7318" s="13"/>
    </row>
    <row r="7319" spans="12:13" x14ac:dyDescent="0.2">
      <c r="L7319" s="12"/>
      <c r="M7319" s="13"/>
    </row>
    <row r="7320" spans="12:13" x14ac:dyDescent="0.2">
      <c r="L7320" s="12"/>
      <c r="M7320" s="13"/>
    </row>
    <row r="7321" spans="12:13" x14ac:dyDescent="0.2">
      <c r="L7321" s="12"/>
      <c r="M7321" s="13"/>
    </row>
    <row r="7322" spans="12:13" x14ac:dyDescent="0.2">
      <c r="L7322" s="12"/>
      <c r="M7322" s="13"/>
    </row>
    <row r="7323" spans="12:13" x14ac:dyDescent="0.2">
      <c r="L7323" s="12"/>
      <c r="M7323" s="13"/>
    </row>
    <row r="7324" spans="12:13" x14ac:dyDescent="0.2">
      <c r="L7324" s="12"/>
      <c r="M7324" s="13"/>
    </row>
    <row r="7325" spans="12:13" x14ac:dyDescent="0.2">
      <c r="L7325" s="12"/>
      <c r="M7325" s="13"/>
    </row>
    <row r="7326" spans="12:13" x14ac:dyDescent="0.2">
      <c r="L7326" s="12"/>
      <c r="M7326" s="13"/>
    </row>
    <row r="7327" spans="12:13" x14ac:dyDescent="0.2">
      <c r="L7327" s="12"/>
      <c r="M7327" s="13"/>
    </row>
    <row r="7328" spans="12:13" x14ac:dyDescent="0.2">
      <c r="L7328" s="12"/>
      <c r="M7328" s="13"/>
    </row>
    <row r="7329" spans="12:13" x14ac:dyDescent="0.2">
      <c r="L7329" s="12"/>
      <c r="M7329" s="13"/>
    </row>
    <row r="7330" spans="12:13" x14ac:dyDescent="0.2">
      <c r="L7330" s="12"/>
      <c r="M7330" s="13"/>
    </row>
    <row r="7331" spans="12:13" x14ac:dyDescent="0.2">
      <c r="L7331" s="12"/>
      <c r="M7331" s="13"/>
    </row>
    <row r="7332" spans="12:13" x14ac:dyDescent="0.2">
      <c r="L7332" s="12"/>
      <c r="M7332" s="13"/>
    </row>
    <row r="7333" spans="12:13" x14ac:dyDescent="0.2">
      <c r="L7333" s="12"/>
      <c r="M7333" s="13"/>
    </row>
    <row r="7334" spans="12:13" x14ac:dyDescent="0.2">
      <c r="L7334" s="12"/>
      <c r="M7334" s="13"/>
    </row>
    <row r="7335" spans="12:13" x14ac:dyDescent="0.2">
      <c r="L7335" s="12"/>
      <c r="M7335" s="13"/>
    </row>
    <row r="7336" spans="12:13" x14ac:dyDescent="0.2">
      <c r="L7336" s="12"/>
      <c r="M7336" s="13"/>
    </row>
    <row r="7337" spans="12:13" x14ac:dyDescent="0.2">
      <c r="L7337" s="12"/>
      <c r="M7337" s="13"/>
    </row>
    <row r="7338" spans="12:13" x14ac:dyDescent="0.2">
      <c r="L7338" s="12"/>
      <c r="M7338" s="13"/>
    </row>
    <row r="7339" spans="12:13" x14ac:dyDescent="0.2">
      <c r="L7339" s="12"/>
      <c r="M7339" s="13"/>
    </row>
    <row r="7340" spans="12:13" x14ac:dyDescent="0.2">
      <c r="L7340" s="12"/>
      <c r="M7340" s="13"/>
    </row>
    <row r="7341" spans="12:13" x14ac:dyDescent="0.2">
      <c r="L7341" s="12"/>
      <c r="M7341" s="13"/>
    </row>
    <row r="7342" spans="12:13" x14ac:dyDescent="0.2">
      <c r="L7342" s="12"/>
      <c r="M7342" s="13"/>
    </row>
    <row r="7343" spans="12:13" x14ac:dyDescent="0.2">
      <c r="L7343" s="12"/>
      <c r="M7343" s="13"/>
    </row>
    <row r="7344" spans="12:13" x14ac:dyDescent="0.2">
      <c r="L7344" s="12"/>
      <c r="M7344" s="13"/>
    </row>
    <row r="7345" spans="12:13" x14ac:dyDescent="0.2">
      <c r="L7345" s="12"/>
      <c r="M7345" s="13"/>
    </row>
    <row r="7346" spans="12:13" x14ac:dyDescent="0.2">
      <c r="L7346" s="12"/>
      <c r="M7346" s="13"/>
    </row>
    <row r="7347" spans="12:13" x14ac:dyDescent="0.2">
      <c r="L7347" s="12"/>
      <c r="M7347" s="13"/>
    </row>
    <row r="7348" spans="12:13" x14ac:dyDescent="0.2">
      <c r="L7348" s="12"/>
      <c r="M7348" s="13"/>
    </row>
    <row r="7349" spans="12:13" x14ac:dyDescent="0.2">
      <c r="L7349" s="12"/>
      <c r="M7349" s="13"/>
    </row>
    <row r="7350" spans="12:13" x14ac:dyDescent="0.2">
      <c r="L7350" s="12"/>
      <c r="M7350" s="13"/>
    </row>
    <row r="7351" spans="12:13" x14ac:dyDescent="0.2">
      <c r="L7351" s="12"/>
      <c r="M7351" s="13"/>
    </row>
    <row r="7352" spans="12:13" x14ac:dyDescent="0.2">
      <c r="L7352" s="12"/>
      <c r="M7352" s="13"/>
    </row>
    <row r="7353" spans="12:13" x14ac:dyDescent="0.2">
      <c r="L7353" s="12"/>
      <c r="M7353" s="13"/>
    </row>
    <row r="7354" spans="12:13" x14ac:dyDescent="0.2">
      <c r="L7354" s="12"/>
      <c r="M7354" s="13"/>
    </row>
    <row r="7355" spans="12:13" x14ac:dyDescent="0.2">
      <c r="L7355" s="12"/>
      <c r="M7355" s="13"/>
    </row>
    <row r="7356" spans="12:13" x14ac:dyDescent="0.2">
      <c r="L7356" s="12"/>
      <c r="M7356" s="13"/>
    </row>
    <row r="7357" spans="12:13" x14ac:dyDescent="0.2">
      <c r="L7357" s="12"/>
      <c r="M7357" s="13"/>
    </row>
    <row r="7358" spans="12:13" x14ac:dyDescent="0.2">
      <c r="L7358" s="12"/>
      <c r="M7358" s="13"/>
    </row>
    <row r="7359" spans="12:13" x14ac:dyDescent="0.2">
      <c r="L7359" s="12"/>
      <c r="M7359" s="13"/>
    </row>
    <row r="7360" spans="12:13" x14ac:dyDescent="0.2">
      <c r="L7360" s="12"/>
      <c r="M7360" s="13"/>
    </row>
    <row r="7361" spans="12:13" x14ac:dyDescent="0.2">
      <c r="L7361" s="12"/>
      <c r="M7361" s="13"/>
    </row>
    <row r="7362" spans="12:13" x14ac:dyDescent="0.2">
      <c r="L7362" s="12"/>
      <c r="M7362" s="13"/>
    </row>
    <row r="7363" spans="12:13" x14ac:dyDescent="0.2">
      <c r="L7363" s="12"/>
      <c r="M7363" s="13"/>
    </row>
    <row r="7364" spans="12:13" x14ac:dyDescent="0.2">
      <c r="L7364" s="12"/>
      <c r="M7364" s="13"/>
    </row>
    <row r="7365" spans="12:13" x14ac:dyDescent="0.2">
      <c r="L7365" s="12"/>
      <c r="M7365" s="13"/>
    </row>
    <row r="7366" spans="12:13" x14ac:dyDescent="0.2">
      <c r="L7366" s="12"/>
      <c r="M7366" s="13"/>
    </row>
    <row r="7367" spans="12:13" x14ac:dyDescent="0.2">
      <c r="L7367" s="12"/>
      <c r="M7367" s="13"/>
    </row>
    <row r="7368" spans="12:13" x14ac:dyDescent="0.2">
      <c r="L7368" s="12"/>
      <c r="M7368" s="13"/>
    </row>
    <row r="7369" spans="12:13" x14ac:dyDescent="0.2">
      <c r="L7369" s="12"/>
      <c r="M7369" s="13"/>
    </row>
    <row r="7370" spans="12:13" x14ac:dyDescent="0.2">
      <c r="L7370" s="12"/>
      <c r="M7370" s="13"/>
    </row>
    <row r="7371" spans="12:13" x14ac:dyDescent="0.2">
      <c r="L7371" s="12"/>
      <c r="M7371" s="13"/>
    </row>
    <row r="7372" spans="12:13" x14ac:dyDescent="0.2">
      <c r="L7372" s="12"/>
      <c r="M7372" s="13"/>
    </row>
    <row r="7373" spans="12:13" x14ac:dyDescent="0.2">
      <c r="L7373" s="12"/>
      <c r="M7373" s="13"/>
    </row>
    <row r="7374" spans="12:13" x14ac:dyDescent="0.2">
      <c r="L7374" s="12"/>
      <c r="M7374" s="13"/>
    </row>
    <row r="7375" spans="12:13" x14ac:dyDescent="0.2">
      <c r="L7375" s="12"/>
      <c r="M7375" s="13"/>
    </row>
    <row r="7376" spans="12:13" x14ac:dyDescent="0.2">
      <c r="L7376" s="12"/>
      <c r="M7376" s="13"/>
    </row>
    <row r="7377" spans="12:13" x14ac:dyDescent="0.2">
      <c r="L7377" s="12"/>
      <c r="M7377" s="13"/>
    </row>
    <row r="7378" spans="12:13" x14ac:dyDescent="0.2">
      <c r="L7378" s="12"/>
      <c r="M7378" s="13"/>
    </row>
    <row r="7379" spans="12:13" x14ac:dyDescent="0.2">
      <c r="L7379" s="12"/>
      <c r="M7379" s="13"/>
    </row>
    <row r="7380" spans="12:13" x14ac:dyDescent="0.2">
      <c r="L7380" s="12"/>
      <c r="M7380" s="13"/>
    </row>
    <row r="7381" spans="12:13" x14ac:dyDescent="0.2">
      <c r="L7381" s="12"/>
      <c r="M7381" s="13"/>
    </row>
    <row r="7382" spans="12:13" x14ac:dyDescent="0.2">
      <c r="L7382" s="12"/>
      <c r="M7382" s="13"/>
    </row>
    <row r="7383" spans="12:13" x14ac:dyDescent="0.2">
      <c r="L7383" s="12"/>
      <c r="M7383" s="13"/>
    </row>
    <row r="7384" spans="12:13" x14ac:dyDescent="0.2">
      <c r="L7384" s="12"/>
      <c r="M7384" s="13"/>
    </row>
    <row r="7385" spans="12:13" x14ac:dyDescent="0.2">
      <c r="L7385" s="12"/>
      <c r="M7385" s="13"/>
    </row>
    <row r="7386" spans="12:13" x14ac:dyDescent="0.2">
      <c r="L7386" s="12"/>
      <c r="M7386" s="13"/>
    </row>
    <row r="7387" spans="12:13" x14ac:dyDescent="0.2">
      <c r="L7387" s="12"/>
      <c r="M7387" s="13"/>
    </row>
    <row r="7388" spans="12:13" x14ac:dyDescent="0.2">
      <c r="L7388" s="12"/>
      <c r="M7388" s="13"/>
    </row>
    <row r="7389" spans="12:13" x14ac:dyDescent="0.2">
      <c r="L7389" s="12"/>
      <c r="M7389" s="13"/>
    </row>
    <row r="7390" spans="12:13" x14ac:dyDescent="0.2">
      <c r="L7390" s="12"/>
      <c r="M7390" s="13"/>
    </row>
    <row r="7391" spans="12:13" x14ac:dyDescent="0.2">
      <c r="L7391" s="12"/>
      <c r="M7391" s="13"/>
    </row>
    <row r="7392" spans="12:13" x14ac:dyDescent="0.2">
      <c r="L7392" s="12"/>
      <c r="M7392" s="13"/>
    </row>
    <row r="7393" spans="12:13" x14ac:dyDescent="0.2">
      <c r="L7393" s="12"/>
      <c r="M7393" s="13"/>
    </row>
    <row r="7394" spans="12:13" x14ac:dyDescent="0.2">
      <c r="L7394" s="12"/>
      <c r="M7394" s="13"/>
    </row>
    <row r="7395" spans="12:13" x14ac:dyDescent="0.2">
      <c r="L7395" s="12"/>
      <c r="M7395" s="13"/>
    </row>
    <row r="7396" spans="12:13" x14ac:dyDescent="0.2">
      <c r="L7396" s="12"/>
      <c r="M7396" s="13"/>
    </row>
    <row r="7397" spans="12:13" x14ac:dyDescent="0.2">
      <c r="L7397" s="12"/>
      <c r="M7397" s="13"/>
    </row>
    <row r="7398" spans="12:13" x14ac:dyDescent="0.2">
      <c r="L7398" s="12"/>
      <c r="M7398" s="13"/>
    </row>
    <row r="7399" spans="12:13" x14ac:dyDescent="0.2">
      <c r="L7399" s="12"/>
      <c r="M7399" s="13"/>
    </row>
    <row r="7400" spans="12:13" x14ac:dyDescent="0.2">
      <c r="L7400" s="12"/>
      <c r="M7400" s="13"/>
    </row>
    <row r="7401" spans="12:13" x14ac:dyDescent="0.2">
      <c r="L7401" s="12"/>
      <c r="M7401" s="13"/>
    </row>
    <row r="7402" spans="12:13" x14ac:dyDescent="0.2">
      <c r="L7402" s="12"/>
      <c r="M7402" s="13"/>
    </row>
    <row r="7403" spans="12:13" x14ac:dyDescent="0.2">
      <c r="L7403" s="12"/>
      <c r="M7403" s="13"/>
    </row>
    <row r="7404" spans="12:13" x14ac:dyDescent="0.2">
      <c r="L7404" s="12"/>
      <c r="M7404" s="13"/>
    </row>
    <row r="7405" spans="12:13" x14ac:dyDescent="0.2">
      <c r="L7405" s="12"/>
      <c r="M7405" s="13"/>
    </row>
    <row r="7406" spans="12:13" x14ac:dyDescent="0.2">
      <c r="L7406" s="12"/>
      <c r="M7406" s="13"/>
    </row>
    <row r="7407" spans="12:13" x14ac:dyDescent="0.2">
      <c r="L7407" s="12"/>
      <c r="M7407" s="13"/>
    </row>
    <row r="7408" spans="12:13" x14ac:dyDescent="0.2">
      <c r="L7408" s="12"/>
      <c r="M7408" s="13"/>
    </row>
    <row r="7409" spans="12:13" x14ac:dyDescent="0.2">
      <c r="L7409" s="12"/>
      <c r="M7409" s="13"/>
    </row>
    <row r="7410" spans="12:13" x14ac:dyDescent="0.2">
      <c r="L7410" s="12"/>
      <c r="M7410" s="13"/>
    </row>
    <row r="7411" spans="12:13" x14ac:dyDescent="0.2">
      <c r="L7411" s="12"/>
      <c r="M7411" s="13"/>
    </row>
    <row r="7412" spans="12:13" x14ac:dyDescent="0.2">
      <c r="L7412" s="12"/>
      <c r="M7412" s="13"/>
    </row>
    <row r="7413" spans="12:13" x14ac:dyDescent="0.2">
      <c r="L7413" s="12"/>
      <c r="M7413" s="13"/>
    </row>
    <row r="7414" spans="12:13" x14ac:dyDescent="0.2">
      <c r="L7414" s="12"/>
      <c r="M7414" s="13"/>
    </row>
    <row r="7415" spans="12:13" x14ac:dyDescent="0.2">
      <c r="L7415" s="12"/>
      <c r="M7415" s="13"/>
    </row>
    <row r="7416" spans="12:13" x14ac:dyDescent="0.2">
      <c r="L7416" s="12"/>
      <c r="M7416" s="13"/>
    </row>
    <row r="7417" spans="12:13" x14ac:dyDescent="0.2">
      <c r="L7417" s="12"/>
      <c r="M7417" s="13"/>
    </row>
    <row r="7418" spans="12:13" x14ac:dyDescent="0.2">
      <c r="L7418" s="12"/>
      <c r="M7418" s="13"/>
    </row>
    <row r="7419" spans="12:13" x14ac:dyDescent="0.2">
      <c r="L7419" s="12"/>
      <c r="M7419" s="13"/>
    </row>
    <row r="7420" spans="12:13" x14ac:dyDescent="0.2">
      <c r="L7420" s="12"/>
      <c r="M7420" s="13"/>
    </row>
    <row r="7421" spans="12:13" x14ac:dyDescent="0.2">
      <c r="L7421" s="12"/>
      <c r="M7421" s="13"/>
    </row>
    <row r="7422" spans="12:13" x14ac:dyDescent="0.2">
      <c r="L7422" s="12"/>
      <c r="M7422" s="13"/>
    </row>
    <row r="7423" spans="12:13" x14ac:dyDescent="0.2">
      <c r="L7423" s="12"/>
      <c r="M7423" s="13"/>
    </row>
    <row r="7424" spans="12:13" x14ac:dyDescent="0.2">
      <c r="L7424" s="12"/>
      <c r="M7424" s="13"/>
    </row>
    <row r="7425" spans="12:13" x14ac:dyDescent="0.2">
      <c r="L7425" s="12"/>
      <c r="M7425" s="13"/>
    </row>
    <row r="7426" spans="12:13" x14ac:dyDescent="0.2">
      <c r="L7426" s="17"/>
      <c r="M7426" s="18"/>
    </row>
    <row r="7427" spans="12:13" x14ac:dyDescent="0.2">
      <c r="L7427" s="12"/>
      <c r="M7427" s="13"/>
    </row>
    <row r="7428" spans="12:13" x14ac:dyDescent="0.2">
      <c r="L7428" s="12"/>
      <c r="M7428" s="13"/>
    </row>
    <row r="7429" spans="12:13" x14ac:dyDescent="0.2">
      <c r="L7429" s="12"/>
      <c r="M7429" s="13"/>
    </row>
    <row r="7430" spans="12:13" x14ac:dyDescent="0.2">
      <c r="L7430" s="12"/>
      <c r="M7430" s="13"/>
    </row>
    <row r="7431" spans="12:13" x14ac:dyDescent="0.2">
      <c r="L7431" s="12"/>
      <c r="M7431" s="13"/>
    </row>
    <row r="7432" spans="12:13" x14ac:dyDescent="0.2">
      <c r="L7432" s="12"/>
      <c r="M7432" s="13"/>
    </row>
    <row r="7433" spans="12:13" x14ac:dyDescent="0.2">
      <c r="L7433" s="12"/>
      <c r="M7433" s="13"/>
    </row>
    <row r="7434" spans="12:13" x14ac:dyDescent="0.2">
      <c r="L7434" s="12"/>
      <c r="M7434" s="13"/>
    </row>
    <row r="7435" spans="12:13" x14ac:dyDescent="0.2">
      <c r="L7435" s="12"/>
      <c r="M7435" s="13"/>
    </row>
    <row r="7436" spans="12:13" x14ac:dyDescent="0.2">
      <c r="L7436" s="12"/>
      <c r="M7436" s="13"/>
    </row>
    <row r="7437" spans="12:13" x14ac:dyDescent="0.2">
      <c r="L7437" s="12"/>
      <c r="M7437" s="13"/>
    </row>
    <row r="7438" spans="12:13" x14ac:dyDescent="0.2">
      <c r="L7438" s="12"/>
      <c r="M7438" s="13"/>
    </row>
    <row r="7439" spans="12:13" x14ac:dyDescent="0.2">
      <c r="L7439" s="12"/>
      <c r="M7439" s="13"/>
    </row>
    <row r="7440" spans="12:13" x14ac:dyDescent="0.2">
      <c r="L7440" s="12"/>
      <c r="M7440" s="13"/>
    </row>
    <row r="7441" spans="12:13" x14ac:dyDescent="0.2">
      <c r="L7441" s="12"/>
      <c r="M7441" s="13"/>
    </row>
    <row r="7442" spans="12:13" x14ac:dyDescent="0.2">
      <c r="L7442" s="12"/>
      <c r="M7442" s="13"/>
    </row>
    <row r="7443" spans="12:13" x14ac:dyDescent="0.2">
      <c r="L7443" s="12"/>
      <c r="M7443" s="13"/>
    </row>
    <row r="7444" spans="12:13" x14ac:dyDescent="0.2">
      <c r="L7444" s="12"/>
      <c r="M7444" s="13"/>
    </row>
    <row r="7445" spans="12:13" x14ac:dyDescent="0.2">
      <c r="L7445" s="12"/>
      <c r="M7445" s="13"/>
    </row>
    <row r="7446" spans="12:13" x14ac:dyDescent="0.2">
      <c r="L7446" s="12"/>
      <c r="M7446" s="13"/>
    </row>
    <row r="7447" spans="12:13" x14ac:dyDescent="0.2">
      <c r="L7447" s="12"/>
      <c r="M7447" s="13"/>
    </row>
    <row r="7448" spans="12:13" x14ac:dyDescent="0.2">
      <c r="L7448" s="12"/>
      <c r="M7448" s="13"/>
    </row>
    <row r="7449" spans="12:13" x14ac:dyDescent="0.2">
      <c r="L7449" s="12"/>
      <c r="M7449" s="13"/>
    </row>
    <row r="7450" spans="12:13" x14ac:dyDescent="0.2">
      <c r="L7450" s="12"/>
      <c r="M7450" s="13"/>
    </row>
    <row r="7451" spans="12:13" x14ac:dyDescent="0.2">
      <c r="L7451" s="12"/>
      <c r="M7451" s="13"/>
    </row>
    <row r="7452" spans="12:13" x14ac:dyDescent="0.2">
      <c r="L7452" s="12"/>
      <c r="M7452" s="13"/>
    </row>
    <row r="7453" spans="12:13" x14ac:dyDescent="0.2">
      <c r="L7453" s="12"/>
      <c r="M7453" s="13"/>
    </row>
    <row r="7454" spans="12:13" x14ac:dyDescent="0.2">
      <c r="L7454" s="12"/>
      <c r="M7454" s="13"/>
    </row>
    <row r="7455" spans="12:13" x14ac:dyDescent="0.2">
      <c r="L7455" s="12"/>
      <c r="M7455" s="13"/>
    </row>
    <row r="7456" spans="12:13" x14ac:dyDescent="0.2">
      <c r="L7456" s="12"/>
      <c r="M7456" s="13"/>
    </row>
    <row r="7457" spans="12:13" x14ac:dyDescent="0.2">
      <c r="L7457" s="12"/>
      <c r="M7457" s="13"/>
    </row>
    <row r="7458" spans="12:13" x14ac:dyDescent="0.2">
      <c r="L7458" s="12"/>
      <c r="M7458" s="13"/>
    </row>
    <row r="7459" spans="12:13" x14ac:dyDescent="0.2">
      <c r="L7459" s="12"/>
      <c r="M7459" s="13"/>
    </row>
    <row r="7460" spans="12:13" x14ac:dyDescent="0.2">
      <c r="L7460" s="12"/>
      <c r="M7460" s="13"/>
    </row>
    <row r="7461" spans="12:13" x14ac:dyDescent="0.2">
      <c r="L7461" s="12"/>
      <c r="M7461" s="13"/>
    </row>
    <row r="7462" spans="12:13" x14ac:dyDescent="0.2">
      <c r="L7462" s="12"/>
      <c r="M7462" s="13"/>
    </row>
    <row r="7463" spans="12:13" x14ac:dyDescent="0.2">
      <c r="L7463" s="12"/>
      <c r="M7463" s="13"/>
    </row>
    <row r="7464" spans="12:13" x14ac:dyDescent="0.2">
      <c r="L7464" s="12"/>
      <c r="M7464" s="13"/>
    </row>
    <row r="7465" spans="12:13" x14ac:dyDescent="0.2">
      <c r="L7465" s="12"/>
      <c r="M7465" s="13"/>
    </row>
    <row r="7466" spans="12:13" x14ac:dyDescent="0.2">
      <c r="L7466" s="12"/>
      <c r="M7466" s="13"/>
    </row>
    <row r="7467" spans="12:13" x14ac:dyDescent="0.2">
      <c r="L7467" s="12"/>
      <c r="M7467" s="13"/>
    </row>
    <row r="7468" spans="12:13" x14ac:dyDescent="0.2">
      <c r="L7468" s="12"/>
      <c r="M7468" s="13"/>
    </row>
    <row r="7469" spans="12:13" x14ac:dyDescent="0.2">
      <c r="L7469" s="12"/>
      <c r="M7469" s="13"/>
    </row>
    <row r="7470" spans="12:13" x14ac:dyDescent="0.2">
      <c r="L7470" s="12"/>
      <c r="M7470" s="13"/>
    </row>
    <row r="7471" spans="12:13" x14ac:dyDescent="0.2">
      <c r="L7471" s="12"/>
      <c r="M7471" s="13"/>
    </row>
    <row r="7472" spans="12:13" x14ac:dyDescent="0.2">
      <c r="L7472" s="12"/>
      <c r="M7472" s="13"/>
    </row>
    <row r="7473" spans="12:13" x14ac:dyDescent="0.2">
      <c r="L7473" s="12"/>
      <c r="M7473" s="13"/>
    </row>
    <row r="7474" spans="12:13" x14ac:dyDescent="0.2">
      <c r="L7474" s="12"/>
      <c r="M7474" s="13"/>
    </row>
    <row r="7475" spans="12:13" x14ac:dyDescent="0.2">
      <c r="L7475" s="12"/>
      <c r="M7475" s="13"/>
    </row>
    <row r="7476" spans="12:13" x14ac:dyDescent="0.2">
      <c r="L7476" s="12"/>
      <c r="M7476" s="13"/>
    </row>
    <row r="7477" spans="12:13" x14ac:dyDescent="0.2">
      <c r="L7477" s="12"/>
      <c r="M7477" s="13"/>
    </row>
    <row r="7478" spans="12:13" x14ac:dyDescent="0.2">
      <c r="L7478" s="12"/>
      <c r="M7478" s="13"/>
    </row>
    <row r="7479" spans="12:13" x14ac:dyDescent="0.2">
      <c r="L7479" s="12"/>
      <c r="M7479" s="13"/>
    </row>
    <row r="7480" spans="12:13" x14ac:dyDescent="0.2">
      <c r="L7480" s="12"/>
      <c r="M7480" s="13"/>
    </row>
    <row r="7481" spans="12:13" x14ac:dyDescent="0.2">
      <c r="L7481" s="12"/>
      <c r="M7481" s="13"/>
    </row>
    <row r="7482" spans="12:13" x14ac:dyDescent="0.2">
      <c r="L7482" s="12"/>
      <c r="M7482" s="13"/>
    </row>
    <row r="7483" spans="12:13" x14ac:dyDescent="0.2">
      <c r="L7483" s="12"/>
      <c r="M7483" s="13"/>
    </row>
    <row r="7484" spans="12:13" x14ac:dyDescent="0.2">
      <c r="L7484" s="12"/>
      <c r="M7484" s="13"/>
    </row>
    <row r="7485" spans="12:13" x14ac:dyDescent="0.2">
      <c r="L7485" s="12"/>
      <c r="M7485" s="13"/>
    </row>
    <row r="7486" spans="12:13" x14ac:dyDescent="0.2">
      <c r="L7486" s="12"/>
      <c r="M7486" s="13"/>
    </row>
    <row r="7487" spans="12:13" x14ac:dyDescent="0.2">
      <c r="L7487" s="12"/>
      <c r="M7487" s="13"/>
    </row>
    <row r="7488" spans="12:13" x14ac:dyDescent="0.2">
      <c r="L7488" s="12"/>
      <c r="M7488" s="13"/>
    </row>
    <row r="7489" spans="12:13" x14ac:dyDescent="0.2">
      <c r="L7489" s="12"/>
      <c r="M7489" s="13"/>
    </row>
    <row r="7490" spans="12:13" x14ac:dyDescent="0.2">
      <c r="L7490" s="12"/>
      <c r="M7490" s="13"/>
    </row>
    <row r="7491" spans="12:13" x14ac:dyDescent="0.2">
      <c r="L7491" s="12"/>
      <c r="M7491" s="13"/>
    </row>
    <row r="7492" spans="12:13" x14ac:dyDescent="0.2">
      <c r="L7492" s="12"/>
      <c r="M7492" s="13"/>
    </row>
    <row r="7493" spans="12:13" x14ac:dyDescent="0.2">
      <c r="L7493" s="12"/>
      <c r="M7493" s="13"/>
    </row>
    <row r="7494" spans="12:13" x14ac:dyDescent="0.2">
      <c r="L7494" s="12"/>
      <c r="M7494" s="13"/>
    </row>
    <row r="7495" spans="12:13" x14ac:dyDescent="0.2">
      <c r="L7495" s="12"/>
      <c r="M7495" s="13"/>
    </row>
    <row r="7496" spans="12:13" x14ac:dyDescent="0.2">
      <c r="L7496" s="12"/>
      <c r="M7496" s="13"/>
    </row>
    <row r="7497" spans="12:13" x14ac:dyDescent="0.2">
      <c r="L7497" s="12"/>
      <c r="M7497" s="13"/>
    </row>
    <row r="7498" spans="12:13" x14ac:dyDescent="0.2">
      <c r="L7498" s="12"/>
      <c r="M7498" s="13"/>
    </row>
    <row r="7499" spans="12:13" x14ac:dyDescent="0.2">
      <c r="L7499" s="12"/>
      <c r="M7499" s="13"/>
    </row>
    <row r="7500" spans="12:13" x14ac:dyDescent="0.2">
      <c r="L7500" s="12"/>
      <c r="M7500" s="13"/>
    </row>
    <row r="7501" spans="12:13" x14ac:dyDescent="0.2">
      <c r="L7501" s="12"/>
      <c r="M7501" s="13"/>
    </row>
    <row r="7502" spans="12:13" x14ac:dyDescent="0.2">
      <c r="L7502" s="12"/>
      <c r="M7502" s="13"/>
    </row>
    <row r="7503" spans="12:13" x14ac:dyDescent="0.2">
      <c r="L7503" s="12"/>
      <c r="M7503" s="13"/>
    </row>
    <row r="7504" spans="12:13" x14ac:dyDescent="0.2">
      <c r="L7504" s="12"/>
      <c r="M7504" s="13"/>
    </row>
    <row r="7505" spans="12:13" x14ac:dyDescent="0.2">
      <c r="L7505" s="12"/>
      <c r="M7505" s="13"/>
    </row>
    <row r="7506" spans="12:13" x14ac:dyDescent="0.2">
      <c r="L7506" s="12"/>
      <c r="M7506" s="13"/>
    </row>
    <row r="7507" spans="12:13" x14ac:dyDescent="0.2">
      <c r="L7507" s="12"/>
      <c r="M7507" s="13"/>
    </row>
    <row r="7508" spans="12:13" x14ac:dyDescent="0.2">
      <c r="L7508" s="12"/>
      <c r="M7508" s="13"/>
    </row>
    <row r="7509" spans="12:13" x14ac:dyDescent="0.2">
      <c r="L7509" s="12"/>
      <c r="M7509" s="13"/>
    </row>
    <row r="7510" spans="12:13" x14ac:dyDescent="0.2">
      <c r="L7510" s="12"/>
      <c r="M7510" s="13"/>
    </row>
    <row r="7511" spans="12:13" x14ac:dyDescent="0.2">
      <c r="L7511" s="12"/>
      <c r="M7511" s="13"/>
    </row>
    <row r="7512" spans="12:13" x14ac:dyDescent="0.2">
      <c r="L7512" s="12"/>
      <c r="M7512" s="13"/>
    </row>
    <row r="7513" spans="12:13" x14ac:dyDescent="0.2">
      <c r="L7513" s="12"/>
      <c r="M7513" s="13"/>
    </row>
    <row r="7514" spans="12:13" x14ac:dyDescent="0.2">
      <c r="L7514" s="12"/>
      <c r="M7514" s="13"/>
    </row>
    <row r="7515" spans="12:13" x14ac:dyDescent="0.2">
      <c r="L7515" s="12"/>
      <c r="M7515" s="13"/>
    </row>
    <row r="7516" spans="12:13" x14ac:dyDescent="0.2">
      <c r="L7516" s="12"/>
      <c r="M7516" s="13"/>
    </row>
    <row r="7517" spans="12:13" x14ac:dyDescent="0.2">
      <c r="L7517" s="12"/>
      <c r="M7517" s="13"/>
    </row>
    <row r="7518" spans="12:13" x14ac:dyDescent="0.2">
      <c r="L7518" s="12"/>
      <c r="M7518" s="13"/>
    </row>
    <row r="7519" spans="12:13" x14ac:dyDescent="0.2">
      <c r="L7519" s="12"/>
      <c r="M7519" s="13"/>
    </row>
    <row r="7520" spans="12:13" x14ac:dyDescent="0.2">
      <c r="L7520" s="12"/>
      <c r="M7520" s="13"/>
    </row>
    <row r="7521" spans="12:13" x14ac:dyDescent="0.2">
      <c r="L7521" s="12"/>
      <c r="M7521" s="13"/>
    </row>
    <row r="7522" spans="12:13" x14ac:dyDescent="0.2">
      <c r="L7522" s="12"/>
      <c r="M7522" s="13"/>
    </row>
    <row r="7523" spans="12:13" x14ac:dyDescent="0.2">
      <c r="L7523" s="12"/>
      <c r="M7523" s="13"/>
    </row>
    <row r="7524" spans="12:13" x14ac:dyDescent="0.2">
      <c r="L7524" s="12"/>
      <c r="M7524" s="13"/>
    </row>
    <row r="7525" spans="12:13" x14ac:dyDescent="0.2">
      <c r="L7525" s="12"/>
      <c r="M7525" s="13"/>
    </row>
    <row r="7526" spans="12:13" x14ac:dyDescent="0.2">
      <c r="L7526" s="12"/>
      <c r="M7526" s="13"/>
    </row>
    <row r="7527" spans="12:13" x14ac:dyDescent="0.2">
      <c r="L7527" s="12"/>
      <c r="M7527" s="13"/>
    </row>
    <row r="7528" spans="12:13" x14ac:dyDescent="0.2">
      <c r="L7528" s="12"/>
      <c r="M7528" s="13"/>
    </row>
    <row r="7529" spans="12:13" x14ac:dyDescent="0.2">
      <c r="L7529" s="12"/>
      <c r="M7529" s="13"/>
    </row>
    <row r="7530" spans="12:13" x14ac:dyDescent="0.2">
      <c r="L7530" s="12"/>
      <c r="M7530" s="13"/>
    </row>
    <row r="7531" spans="12:13" x14ac:dyDescent="0.2">
      <c r="L7531" s="12"/>
      <c r="M7531" s="13"/>
    </row>
    <row r="7532" spans="12:13" x14ac:dyDescent="0.2">
      <c r="L7532" s="12"/>
      <c r="M7532" s="13"/>
    </row>
    <row r="7533" spans="12:13" x14ac:dyDescent="0.2">
      <c r="L7533" s="12"/>
      <c r="M7533" s="13"/>
    </row>
    <row r="7534" spans="12:13" x14ac:dyDescent="0.2">
      <c r="L7534" s="12"/>
      <c r="M7534" s="13"/>
    </row>
    <row r="7535" spans="12:13" x14ac:dyDescent="0.2">
      <c r="L7535" s="12"/>
      <c r="M7535" s="13"/>
    </row>
    <row r="7536" spans="12:13" x14ac:dyDescent="0.2">
      <c r="L7536" s="12"/>
      <c r="M7536" s="13"/>
    </row>
    <row r="7537" spans="12:13" x14ac:dyDescent="0.2">
      <c r="L7537" s="12"/>
      <c r="M7537" s="13"/>
    </row>
    <row r="7538" spans="12:13" x14ac:dyDescent="0.2">
      <c r="L7538" s="12"/>
      <c r="M7538" s="13"/>
    </row>
    <row r="7539" spans="12:13" x14ac:dyDescent="0.2">
      <c r="L7539" s="12"/>
      <c r="M7539" s="13"/>
    </row>
    <row r="7540" spans="12:13" x14ac:dyDescent="0.2">
      <c r="L7540" s="12"/>
      <c r="M7540" s="13"/>
    </row>
    <row r="7541" spans="12:13" x14ac:dyDescent="0.2">
      <c r="L7541" s="12"/>
      <c r="M7541" s="13"/>
    </row>
    <row r="7542" spans="12:13" x14ac:dyDescent="0.2">
      <c r="L7542" s="12"/>
      <c r="M7542" s="13"/>
    </row>
    <row r="7543" spans="12:13" x14ac:dyDescent="0.2">
      <c r="L7543" s="12"/>
      <c r="M7543" s="13"/>
    </row>
    <row r="7544" spans="12:13" x14ac:dyDescent="0.2">
      <c r="L7544" s="12"/>
      <c r="M7544" s="13"/>
    </row>
    <row r="7545" spans="12:13" x14ac:dyDescent="0.2">
      <c r="L7545" s="12"/>
      <c r="M7545" s="13"/>
    </row>
    <row r="7546" spans="12:13" x14ac:dyDescent="0.2">
      <c r="L7546" s="12"/>
      <c r="M7546" s="13"/>
    </row>
    <row r="7547" spans="12:13" x14ac:dyDescent="0.2">
      <c r="L7547" s="12"/>
      <c r="M7547" s="13"/>
    </row>
    <row r="7548" spans="12:13" x14ac:dyDescent="0.2">
      <c r="L7548" s="12"/>
      <c r="M7548" s="13"/>
    </row>
    <row r="7549" spans="12:13" x14ac:dyDescent="0.2">
      <c r="L7549" s="12"/>
      <c r="M7549" s="13"/>
    </row>
    <row r="7550" spans="12:13" x14ac:dyDescent="0.2">
      <c r="L7550" s="12"/>
      <c r="M7550" s="13"/>
    </row>
    <row r="7551" spans="12:13" x14ac:dyDescent="0.2">
      <c r="L7551" s="12"/>
      <c r="M7551" s="13"/>
    </row>
    <row r="7552" spans="12:13" x14ac:dyDescent="0.2">
      <c r="L7552" s="12"/>
      <c r="M7552" s="13"/>
    </row>
    <row r="7553" spans="12:13" x14ac:dyDescent="0.2">
      <c r="L7553" s="12"/>
      <c r="M7553" s="13"/>
    </row>
    <row r="7554" spans="12:13" x14ac:dyDescent="0.2">
      <c r="L7554" s="12"/>
      <c r="M7554" s="13"/>
    </row>
    <row r="7555" spans="12:13" x14ac:dyDescent="0.2">
      <c r="L7555" s="12"/>
      <c r="M7555" s="13"/>
    </row>
    <row r="7556" spans="12:13" x14ac:dyDescent="0.2">
      <c r="L7556" s="12"/>
      <c r="M7556" s="13"/>
    </row>
    <row r="7557" spans="12:13" x14ac:dyDescent="0.2">
      <c r="L7557" s="12"/>
      <c r="M7557" s="13"/>
    </row>
    <row r="7558" spans="12:13" x14ac:dyDescent="0.2">
      <c r="L7558" s="12"/>
      <c r="M7558" s="13"/>
    </row>
    <row r="7559" spans="12:13" x14ac:dyDescent="0.2">
      <c r="L7559" s="12"/>
      <c r="M7559" s="13"/>
    </row>
    <row r="7560" spans="12:13" x14ac:dyDescent="0.2">
      <c r="L7560" s="12"/>
      <c r="M7560" s="13"/>
    </row>
    <row r="7561" spans="12:13" x14ac:dyDescent="0.2">
      <c r="L7561" s="12"/>
      <c r="M7561" s="13"/>
    </row>
    <row r="7562" spans="12:13" x14ac:dyDescent="0.2">
      <c r="L7562" s="12"/>
      <c r="M7562" s="13"/>
    </row>
    <row r="7563" spans="12:13" x14ac:dyDescent="0.2">
      <c r="L7563" s="12"/>
      <c r="M7563" s="13"/>
    </row>
    <row r="7564" spans="12:13" x14ac:dyDescent="0.2">
      <c r="L7564" s="12"/>
      <c r="M7564" s="13"/>
    </row>
    <row r="7565" spans="12:13" x14ac:dyDescent="0.2">
      <c r="L7565" s="12"/>
      <c r="M7565" s="13"/>
    </row>
    <row r="7566" spans="12:13" x14ac:dyDescent="0.2">
      <c r="L7566" s="12"/>
      <c r="M7566" s="13"/>
    </row>
    <row r="7567" spans="12:13" x14ac:dyDescent="0.2">
      <c r="L7567" s="12"/>
      <c r="M7567" s="13"/>
    </row>
    <row r="7568" spans="12:13" x14ac:dyDescent="0.2">
      <c r="L7568" s="12"/>
      <c r="M7568" s="13"/>
    </row>
    <row r="7569" spans="12:13" x14ac:dyDescent="0.2">
      <c r="L7569" s="12"/>
      <c r="M7569" s="13"/>
    </row>
    <row r="7570" spans="12:13" x14ac:dyDescent="0.2">
      <c r="L7570" s="12"/>
      <c r="M7570" s="13"/>
    </row>
    <row r="7571" spans="12:13" x14ac:dyDescent="0.2">
      <c r="L7571" s="12"/>
      <c r="M7571" s="13"/>
    </row>
    <row r="7572" spans="12:13" x14ac:dyDescent="0.2">
      <c r="L7572" s="12"/>
      <c r="M7572" s="13"/>
    </row>
    <row r="7573" spans="12:13" x14ac:dyDescent="0.2">
      <c r="L7573" s="12"/>
      <c r="M7573" s="13"/>
    </row>
    <row r="7574" spans="12:13" x14ac:dyDescent="0.2">
      <c r="L7574" s="12"/>
      <c r="M7574" s="13"/>
    </row>
    <row r="7575" spans="12:13" x14ac:dyDescent="0.2">
      <c r="L7575" s="12"/>
      <c r="M7575" s="13"/>
    </row>
    <row r="7576" spans="12:13" x14ac:dyDescent="0.2">
      <c r="L7576" s="12"/>
      <c r="M7576" s="13"/>
    </row>
    <row r="7577" spans="12:13" x14ac:dyDescent="0.2">
      <c r="L7577" s="12"/>
      <c r="M7577" s="13"/>
    </row>
    <row r="7578" spans="12:13" x14ac:dyDescent="0.2">
      <c r="L7578" s="12"/>
      <c r="M7578" s="13"/>
    </row>
    <row r="7579" spans="12:13" x14ac:dyDescent="0.2">
      <c r="L7579" s="12"/>
      <c r="M7579" s="13"/>
    </row>
    <row r="7580" spans="12:13" x14ac:dyDescent="0.2">
      <c r="L7580" s="12"/>
      <c r="M7580" s="13"/>
    </row>
    <row r="7581" spans="12:13" x14ac:dyDescent="0.2">
      <c r="L7581" s="12"/>
      <c r="M7581" s="13"/>
    </row>
    <row r="7582" spans="12:13" x14ac:dyDescent="0.2">
      <c r="L7582" s="12"/>
      <c r="M7582" s="13"/>
    </row>
    <row r="7583" spans="12:13" x14ac:dyDescent="0.2">
      <c r="L7583" s="12"/>
      <c r="M7583" s="13"/>
    </row>
    <row r="7584" spans="12:13" x14ac:dyDescent="0.2">
      <c r="L7584" s="12"/>
      <c r="M7584" s="13"/>
    </row>
    <row r="7585" spans="12:13" x14ac:dyDescent="0.2">
      <c r="L7585" s="12"/>
      <c r="M7585" s="13"/>
    </row>
    <row r="7586" spans="12:13" x14ac:dyDescent="0.2">
      <c r="L7586" s="12"/>
      <c r="M7586" s="13"/>
    </row>
    <row r="7587" spans="12:13" x14ac:dyDescent="0.2">
      <c r="L7587" s="12"/>
      <c r="M7587" s="13"/>
    </row>
    <row r="7588" spans="12:13" x14ac:dyDescent="0.2">
      <c r="L7588" s="12"/>
      <c r="M7588" s="13"/>
    </row>
    <row r="7589" spans="12:13" x14ac:dyDescent="0.2">
      <c r="L7589" s="12"/>
      <c r="M7589" s="13"/>
    </row>
    <row r="7590" spans="12:13" x14ac:dyDescent="0.2">
      <c r="L7590" s="12"/>
      <c r="M7590" s="13"/>
    </row>
    <row r="7591" spans="12:13" x14ac:dyDescent="0.2">
      <c r="L7591" s="12"/>
      <c r="M7591" s="13"/>
    </row>
    <row r="7592" spans="12:13" x14ac:dyDescent="0.2">
      <c r="L7592" s="12"/>
      <c r="M7592" s="13"/>
    </row>
    <row r="7593" spans="12:13" x14ac:dyDescent="0.2">
      <c r="L7593" s="12"/>
      <c r="M7593" s="13"/>
    </row>
    <row r="7594" spans="12:13" x14ac:dyDescent="0.2">
      <c r="L7594" s="12"/>
      <c r="M7594" s="13"/>
    </row>
    <row r="7595" spans="12:13" x14ac:dyDescent="0.2">
      <c r="L7595" s="12"/>
      <c r="M7595" s="13"/>
    </row>
    <row r="7596" spans="12:13" x14ac:dyDescent="0.2">
      <c r="L7596" s="12"/>
      <c r="M7596" s="13"/>
    </row>
    <row r="7597" spans="12:13" x14ac:dyDescent="0.2">
      <c r="L7597" s="12"/>
      <c r="M7597" s="13"/>
    </row>
    <row r="7598" spans="12:13" x14ac:dyDescent="0.2">
      <c r="L7598" s="12"/>
      <c r="M7598" s="13"/>
    </row>
    <row r="7599" spans="12:13" x14ac:dyDescent="0.2">
      <c r="L7599" s="12"/>
      <c r="M7599" s="13"/>
    </row>
    <row r="7600" spans="12:13" x14ac:dyDescent="0.2">
      <c r="L7600" s="12"/>
      <c r="M7600" s="13"/>
    </row>
    <row r="7601" spans="12:13" x14ac:dyDescent="0.2">
      <c r="L7601" s="12"/>
      <c r="M7601" s="13"/>
    </row>
    <row r="7602" spans="12:13" x14ac:dyDescent="0.2">
      <c r="L7602" s="12"/>
      <c r="M7602" s="13"/>
    </row>
    <row r="7603" spans="12:13" x14ac:dyDescent="0.2">
      <c r="L7603" s="12"/>
      <c r="M7603" s="13"/>
    </row>
    <row r="7604" spans="12:13" x14ac:dyDescent="0.2">
      <c r="L7604" s="12"/>
      <c r="M7604" s="13"/>
    </row>
    <row r="7605" spans="12:13" x14ac:dyDescent="0.2">
      <c r="L7605" s="12"/>
      <c r="M7605" s="13"/>
    </row>
    <row r="7606" spans="12:13" x14ac:dyDescent="0.2">
      <c r="L7606" s="12"/>
      <c r="M7606" s="13"/>
    </row>
    <row r="7607" spans="12:13" x14ac:dyDescent="0.2">
      <c r="L7607" s="12"/>
      <c r="M7607" s="13"/>
    </row>
    <row r="7608" spans="12:13" x14ac:dyDescent="0.2">
      <c r="L7608" s="12"/>
      <c r="M7608" s="13"/>
    </row>
    <row r="7609" spans="12:13" x14ac:dyDescent="0.2">
      <c r="L7609" s="12"/>
      <c r="M7609" s="13"/>
    </row>
    <row r="7610" spans="12:13" x14ac:dyDescent="0.2">
      <c r="L7610" s="12"/>
      <c r="M7610" s="13"/>
    </row>
    <row r="7611" spans="12:13" x14ac:dyDescent="0.2">
      <c r="L7611" s="12"/>
      <c r="M7611" s="13"/>
    </row>
    <row r="7612" spans="12:13" x14ac:dyDescent="0.2">
      <c r="L7612" s="12"/>
      <c r="M7612" s="13"/>
    </row>
    <row r="7613" spans="12:13" x14ac:dyDescent="0.2">
      <c r="L7613" s="12"/>
      <c r="M7613" s="13"/>
    </row>
    <row r="7614" spans="12:13" x14ac:dyDescent="0.2">
      <c r="L7614" s="12"/>
      <c r="M7614" s="13"/>
    </row>
    <row r="7615" spans="12:13" x14ac:dyDescent="0.2">
      <c r="L7615" s="12"/>
      <c r="M7615" s="13"/>
    </row>
    <row r="7616" spans="12:13" x14ac:dyDescent="0.2">
      <c r="L7616" s="12"/>
      <c r="M7616" s="13"/>
    </row>
    <row r="7617" spans="12:13" x14ac:dyDescent="0.2">
      <c r="L7617" s="12"/>
      <c r="M7617" s="13"/>
    </row>
    <row r="7618" spans="12:13" x14ac:dyDescent="0.2">
      <c r="L7618" s="12"/>
      <c r="M7618" s="13"/>
    </row>
    <row r="7619" spans="12:13" x14ac:dyDescent="0.2">
      <c r="L7619" s="12"/>
      <c r="M7619" s="13"/>
    </row>
    <row r="7620" spans="12:13" x14ac:dyDescent="0.2">
      <c r="L7620" s="12"/>
      <c r="M7620" s="13"/>
    </row>
    <row r="7621" spans="12:13" x14ac:dyDescent="0.2">
      <c r="L7621" s="12"/>
      <c r="M7621" s="13"/>
    </row>
    <row r="7622" spans="12:13" x14ac:dyDescent="0.2">
      <c r="L7622" s="12"/>
      <c r="M7622" s="13"/>
    </row>
    <row r="7623" spans="12:13" x14ac:dyDescent="0.2">
      <c r="L7623" s="12"/>
      <c r="M7623" s="13"/>
    </row>
    <row r="7624" spans="12:13" x14ac:dyDescent="0.2">
      <c r="L7624" s="12"/>
      <c r="M7624" s="13"/>
    </row>
    <row r="7625" spans="12:13" x14ac:dyDescent="0.2">
      <c r="L7625" s="12"/>
      <c r="M7625" s="13"/>
    </row>
    <row r="7626" spans="12:13" x14ac:dyDescent="0.2">
      <c r="L7626" s="12"/>
      <c r="M7626" s="13"/>
    </row>
    <row r="7627" spans="12:13" x14ac:dyDescent="0.2">
      <c r="L7627" s="12"/>
      <c r="M7627" s="13"/>
    </row>
    <row r="7628" spans="12:13" x14ac:dyDescent="0.2">
      <c r="L7628" s="12"/>
      <c r="M7628" s="13"/>
    </row>
    <row r="7629" spans="12:13" x14ac:dyDescent="0.2">
      <c r="L7629" s="12"/>
      <c r="M7629" s="13"/>
    </row>
    <row r="7630" spans="12:13" x14ac:dyDescent="0.2">
      <c r="L7630" s="12"/>
      <c r="M7630" s="13"/>
    </row>
    <row r="7631" spans="12:13" x14ac:dyDescent="0.2">
      <c r="L7631" s="12"/>
      <c r="M7631" s="13"/>
    </row>
    <row r="7632" spans="12:13" x14ac:dyDescent="0.2">
      <c r="L7632" s="12"/>
      <c r="M7632" s="13"/>
    </row>
    <row r="7633" spans="12:13" x14ac:dyDescent="0.2">
      <c r="L7633" s="12"/>
      <c r="M7633" s="13"/>
    </row>
    <row r="7634" spans="12:13" x14ac:dyDescent="0.2">
      <c r="L7634" s="12"/>
      <c r="M7634" s="13"/>
    </row>
    <row r="7635" spans="12:13" x14ac:dyDescent="0.2">
      <c r="L7635" s="12"/>
      <c r="M7635" s="13"/>
    </row>
    <row r="7636" spans="12:13" x14ac:dyDescent="0.2">
      <c r="L7636" s="12"/>
      <c r="M7636" s="13"/>
    </row>
    <row r="7637" spans="12:13" x14ac:dyDescent="0.2">
      <c r="L7637" s="12"/>
      <c r="M7637" s="13"/>
    </row>
    <row r="7638" spans="12:13" x14ac:dyDescent="0.2">
      <c r="L7638" s="12"/>
      <c r="M7638" s="13"/>
    </row>
    <row r="7639" spans="12:13" x14ac:dyDescent="0.2">
      <c r="L7639" s="12"/>
      <c r="M7639" s="13"/>
    </row>
    <row r="7640" spans="12:13" x14ac:dyDescent="0.2">
      <c r="L7640" s="12"/>
      <c r="M7640" s="13"/>
    </row>
    <row r="7641" spans="12:13" x14ac:dyDescent="0.2">
      <c r="L7641" s="12"/>
      <c r="M7641" s="13"/>
    </row>
    <row r="7642" spans="12:13" x14ac:dyDescent="0.2">
      <c r="L7642" s="12"/>
      <c r="M7642" s="13"/>
    </row>
    <row r="7643" spans="12:13" x14ac:dyDescent="0.2">
      <c r="L7643" s="12"/>
      <c r="M7643" s="13"/>
    </row>
    <row r="7644" spans="12:13" x14ac:dyDescent="0.2">
      <c r="L7644" s="12"/>
      <c r="M7644" s="13"/>
    </row>
    <row r="7645" spans="12:13" x14ac:dyDescent="0.2">
      <c r="L7645" s="12"/>
      <c r="M7645" s="13"/>
    </row>
    <row r="7646" spans="12:13" x14ac:dyDescent="0.2">
      <c r="L7646" s="12"/>
      <c r="M7646" s="13"/>
    </row>
    <row r="7647" spans="12:13" x14ac:dyDescent="0.2">
      <c r="L7647" s="12"/>
      <c r="M7647" s="13"/>
    </row>
    <row r="7648" spans="12:13" x14ac:dyDescent="0.2">
      <c r="L7648" s="12"/>
      <c r="M7648" s="13"/>
    </row>
    <row r="7649" spans="12:13" x14ac:dyDescent="0.2">
      <c r="L7649" s="12"/>
      <c r="M7649" s="13"/>
    </row>
    <row r="7650" spans="12:13" x14ac:dyDescent="0.2">
      <c r="L7650" s="12"/>
      <c r="M7650" s="13"/>
    </row>
    <row r="7651" spans="12:13" x14ac:dyDescent="0.2">
      <c r="L7651" s="12"/>
      <c r="M7651" s="13"/>
    </row>
    <row r="7652" spans="12:13" x14ac:dyDescent="0.2">
      <c r="L7652" s="12"/>
      <c r="M7652" s="13"/>
    </row>
    <row r="7653" spans="12:13" x14ac:dyDescent="0.2">
      <c r="L7653" s="12"/>
      <c r="M7653" s="13"/>
    </row>
    <row r="7654" spans="12:13" x14ac:dyDescent="0.2">
      <c r="L7654" s="12"/>
      <c r="M7654" s="13"/>
    </row>
    <row r="7655" spans="12:13" x14ac:dyDescent="0.2">
      <c r="L7655" s="12"/>
      <c r="M7655" s="13"/>
    </row>
    <row r="7656" spans="12:13" x14ac:dyDescent="0.2">
      <c r="L7656" s="12"/>
      <c r="M7656" s="13"/>
    </row>
    <row r="7657" spans="12:13" x14ac:dyDescent="0.2">
      <c r="L7657" s="12"/>
      <c r="M7657" s="13"/>
    </row>
    <row r="7658" spans="12:13" x14ac:dyDescent="0.2">
      <c r="L7658" s="12"/>
      <c r="M7658" s="13"/>
    </row>
    <row r="7659" spans="12:13" x14ac:dyDescent="0.2">
      <c r="L7659" s="12"/>
      <c r="M7659" s="13"/>
    </row>
    <row r="7660" spans="12:13" x14ac:dyDescent="0.2">
      <c r="L7660" s="12"/>
      <c r="M7660" s="13"/>
    </row>
    <row r="7661" spans="12:13" x14ac:dyDescent="0.2">
      <c r="L7661" s="12"/>
      <c r="M7661" s="13"/>
    </row>
    <row r="7662" spans="12:13" x14ac:dyDescent="0.2">
      <c r="L7662" s="12"/>
      <c r="M7662" s="13"/>
    </row>
    <row r="7663" spans="12:13" x14ac:dyDescent="0.2">
      <c r="L7663" s="12"/>
      <c r="M7663" s="13"/>
    </row>
    <row r="7664" spans="12:13" x14ac:dyDescent="0.2">
      <c r="L7664" s="12"/>
      <c r="M7664" s="13"/>
    </row>
    <row r="7665" spans="12:13" x14ac:dyDescent="0.2">
      <c r="L7665" s="12"/>
      <c r="M7665" s="13"/>
    </row>
    <row r="7666" spans="12:13" x14ac:dyDescent="0.2">
      <c r="L7666" s="12"/>
      <c r="M7666" s="13"/>
    </row>
    <row r="7667" spans="12:13" x14ac:dyDescent="0.2">
      <c r="L7667" s="12"/>
      <c r="M7667" s="13"/>
    </row>
    <row r="7668" spans="12:13" x14ac:dyDescent="0.2">
      <c r="L7668" s="12"/>
      <c r="M7668" s="13"/>
    </row>
    <row r="7669" spans="12:13" x14ac:dyDescent="0.2">
      <c r="L7669" s="12"/>
      <c r="M7669" s="13"/>
    </row>
    <row r="7670" spans="12:13" x14ac:dyDescent="0.2">
      <c r="L7670" s="12"/>
      <c r="M7670" s="13"/>
    </row>
    <row r="7671" spans="12:13" x14ac:dyDescent="0.2">
      <c r="L7671" s="12"/>
      <c r="M7671" s="13"/>
    </row>
    <row r="7672" spans="12:13" x14ac:dyDescent="0.2">
      <c r="L7672" s="12"/>
      <c r="M7672" s="13"/>
    </row>
    <row r="7673" spans="12:13" x14ac:dyDescent="0.2">
      <c r="L7673" s="12"/>
      <c r="M7673" s="13"/>
    </row>
    <row r="7674" spans="12:13" x14ac:dyDescent="0.2">
      <c r="L7674" s="12"/>
      <c r="M7674" s="13"/>
    </row>
    <row r="7675" spans="12:13" x14ac:dyDescent="0.2">
      <c r="L7675" s="12"/>
      <c r="M7675" s="13"/>
    </row>
    <row r="7676" spans="12:13" x14ac:dyDescent="0.2">
      <c r="L7676" s="12"/>
      <c r="M7676" s="13"/>
    </row>
    <row r="7677" spans="12:13" x14ac:dyDescent="0.2">
      <c r="L7677" s="12"/>
      <c r="M7677" s="13"/>
    </row>
    <row r="7678" spans="12:13" x14ac:dyDescent="0.2">
      <c r="L7678" s="12"/>
      <c r="M7678" s="13"/>
    </row>
    <row r="7679" spans="12:13" x14ac:dyDescent="0.2">
      <c r="L7679" s="12"/>
      <c r="M7679" s="13"/>
    </row>
    <row r="7680" spans="12:13" x14ac:dyDescent="0.2">
      <c r="L7680" s="12"/>
      <c r="M7680" s="13"/>
    </row>
    <row r="7681" spans="12:13" x14ac:dyDescent="0.2">
      <c r="L7681" s="12"/>
      <c r="M7681" s="13"/>
    </row>
    <row r="7682" spans="12:13" x14ac:dyDescent="0.2">
      <c r="L7682" s="17"/>
      <c r="M7682" s="18"/>
    </row>
    <row r="7683" spans="12:13" x14ac:dyDescent="0.2">
      <c r="L7683" s="12"/>
      <c r="M7683" s="13"/>
    </row>
    <row r="7684" spans="12:13" x14ac:dyDescent="0.2">
      <c r="L7684" s="12"/>
      <c r="M7684" s="13"/>
    </row>
    <row r="7685" spans="12:13" x14ac:dyDescent="0.2">
      <c r="L7685" s="12"/>
      <c r="M7685" s="13"/>
    </row>
    <row r="7686" spans="12:13" x14ac:dyDescent="0.2">
      <c r="L7686" s="12"/>
      <c r="M7686" s="13"/>
    </row>
    <row r="7687" spans="12:13" x14ac:dyDescent="0.2">
      <c r="L7687" s="12"/>
      <c r="M7687" s="13"/>
    </row>
    <row r="7688" spans="12:13" x14ac:dyDescent="0.2">
      <c r="L7688" s="12"/>
      <c r="M7688" s="13"/>
    </row>
    <row r="7689" spans="12:13" x14ac:dyDescent="0.2">
      <c r="L7689" s="12"/>
      <c r="M7689" s="13"/>
    </row>
    <row r="7690" spans="12:13" x14ac:dyDescent="0.2">
      <c r="L7690" s="12"/>
      <c r="M7690" s="13"/>
    </row>
    <row r="7691" spans="12:13" x14ac:dyDescent="0.2">
      <c r="L7691" s="12"/>
      <c r="M7691" s="13"/>
    </row>
    <row r="7692" spans="12:13" x14ac:dyDescent="0.2">
      <c r="L7692" s="12"/>
      <c r="M7692" s="13"/>
    </row>
    <row r="7693" spans="12:13" x14ac:dyDescent="0.2">
      <c r="L7693" s="12"/>
      <c r="M7693" s="13"/>
    </row>
    <row r="7694" spans="12:13" x14ac:dyDescent="0.2">
      <c r="L7694" s="12"/>
      <c r="M7694" s="13"/>
    </row>
    <row r="7695" spans="12:13" x14ac:dyDescent="0.2">
      <c r="L7695" s="12"/>
      <c r="M7695" s="13"/>
    </row>
    <row r="7696" spans="12:13" x14ac:dyDescent="0.2">
      <c r="L7696" s="12"/>
      <c r="M7696" s="13"/>
    </row>
    <row r="7697" spans="12:13" x14ac:dyDescent="0.2">
      <c r="L7697" s="12"/>
      <c r="M7697" s="13"/>
    </row>
    <row r="7698" spans="12:13" x14ac:dyDescent="0.2">
      <c r="L7698" s="12"/>
      <c r="M7698" s="13"/>
    </row>
    <row r="7699" spans="12:13" x14ac:dyDescent="0.2">
      <c r="L7699" s="12"/>
      <c r="M7699" s="13"/>
    </row>
    <row r="7700" spans="12:13" x14ac:dyDescent="0.2">
      <c r="L7700" s="12"/>
      <c r="M7700" s="13"/>
    </row>
    <row r="7701" spans="12:13" x14ac:dyDescent="0.2">
      <c r="L7701" s="12"/>
      <c r="M7701" s="13"/>
    </row>
    <row r="7702" spans="12:13" x14ac:dyDescent="0.2">
      <c r="L7702" s="12"/>
      <c r="M7702" s="13"/>
    </row>
    <row r="7703" spans="12:13" x14ac:dyDescent="0.2">
      <c r="L7703" s="12"/>
      <c r="M7703" s="13"/>
    </row>
    <row r="7704" spans="12:13" x14ac:dyDescent="0.2">
      <c r="L7704" s="12"/>
      <c r="M7704" s="13"/>
    </row>
    <row r="7705" spans="12:13" x14ac:dyDescent="0.2">
      <c r="L7705" s="12"/>
      <c r="M7705" s="13"/>
    </row>
    <row r="7706" spans="12:13" x14ac:dyDescent="0.2">
      <c r="L7706" s="12"/>
      <c r="M7706" s="13"/>
    </row>
    <row r="7707" spans="12:13" x14ac:dyDescent="0.2">
      <c r="L7707" s="12"/>
      <c r="M7707" s="13"/>
    </row>
    <row r="7708" spans="12:13" x14ac:dyDescent="0.2">
      <c r="L7708" s="12"/>
      <c r="M7708" s="13"/>
    </row>
    <row r="7709" spans="12:13" x14ac:dyDescent="0.2">
      <c r="L7709" s="12"/>
      <c r="M7709" s="13"/>
    </row>
    <row r="7710" spans="12:13" x14ac:dyDescent="0.2">
      <c r="L7710" s="12"/>
      <c r="M7710" s="13"/>
    </row>
    <row r="7711" spans="12:13" x14ac:dyDescent="0.2">
      <c r="L7711" s="12"/>
      <c r="M7711" s="13"/>
    </row>
    <row r="7712" spans="12:13" x14ac:dyDescent="0.2">
      <c r="L7712" s="12"/>
      <c r="M7712" s="13"/>
    </row>
    <row r="7713" spans="12:13" x14ac:dyDescent="0.2">
      <c r="L7713" s="12"/>
      <c r="M7713" s="13"/>
    </row>
    <row r="7714" spans="12:13" x14ac:dyDescent="0.2">
      <c r="L7714" s="12"/>
      <c r="M7714" s="13"/>
    </row>
    <row r="7715" spans="12:13" x14ac:dyDescent="0.2">
      <c r="L7715" s="12"/>
      <c r="M7715" s="13"/>
    </row>
    <row r="7716" spans="12:13" x14ac:dyDescent="0.2">
      <c r="L7716" s="12"/>
      <c r="M7716" s="13"/>
    </row>
    <row r="7717" spans="12:13" x14ac:dyDescent="0.2">
      <c r="L7717" s="12"/>
      <c r="M7717" s="13"/>
    </row>
    <row r="7718" spans="12:13" x14ac:dyDescent="0.2">
      <c r="L7718" s="12"/>
      <c r="M7718" s="13"/>
    </row>
    <row r="7719" spans="12:13" x14ac:dyDescent="0.2">
      <c r="L7719" s="12"/>
      <c r="M7719" s="13"/>
    </row>
    <row r="7720" spans="12:13" x14ac:dyDescent="0.2">
      <c r="L7720" s="12"/>
      <c r="M7720" s="13"/>
    </row>
    <row r="7721" spans="12:13" x14ac:dyDescent="0.2">
      <c r="L7721" s="12"/>
      <c r="M7721" s="13"/>
    </row>
    <row r="7722" spans="12:13" x14ac:dyDescent="0.2">
      <c r="L7722" s="12"/>
      <c r="M7722" s="13"/>
    </row>
    <row r="7723" spans="12:13" x14ac:dyDescent="0.2">
      <c r="L7723" s="12"/>
      <c r="M7723" s="13"/>
    </row>
    <row r="7724" spans="12:13" x14ac:dyDescent="0.2">
      <c r="L7724" s="12"/>
      <c r="M7724" s="13"/>
    </row>
    <row r="7725" spans="12:13" x14ac:dyDescent="0.2">
      <c r="L7725" s="12"/>
      <c r="M7725" s="13"/>
    </row>
    <row r="7726" spans="12:13" x14ac:dyDescent="0.2">
      <c r="L7726" s="12"/>
      <c r="M7726" s="13"/>
    </row>
    <row r="7727" spans="12:13" x14ac:dyDescent="0.2">
      <c r="L7727" s="12"/>
      <c r="M7727" s="13"/>
    </row>
    <row r="7728" spans="12:13" x14ac:dyDescent="0.2">
      <c r="L7728" s="12"/>
      <c r="M7728" s="13"/>
    </row>
    <row r="7729" spans="12:13" x14ac:dyDescent="0.2">
      <c r="L7729" s="12"/>
      <c r="M7729" s="13"/>
    </row>
    <row r="7730" spans="12:13" x14ac:dyDescent="0.2">
      <c r="L7730" s="12"/>
      <c r="M7730" s="13"/>
    </row>
    <row r="7731" spans="12:13" x14ac:dyDescent="0.2">
      <c r="L7731" s="12"/>
      <c r="M7731" s="13"/>
    </row>
    <row r="7732" spans="12:13" x14ac:dyDescent="0.2">
      <c r="L7732" s="12"/>
      <c r="M7732" s="13"/>
    </row>
    <row r="7733" spans="12:13" x14ac:dyDescent="0.2">
      <c r="L7733" s="12"/>
      <c r="M7733" s="13"/>
    </row>
    <row r="7734" spans="12:13" x14ac:dyDescent="0.2">
      <c r="L7734" s="12"/>
      <c r="M7734" s="13"/>
    </row>
    <row r="7735" spans="12:13" x14ac:dyDescent="0.2">
      <c r="L7735" s="12"/>
      <c r="M7735" s="13"/>
    </row>
    <row r="7736" spans="12:13" x14ac:dyDescent="0.2">
      <c r="L7736" s="12"/>
      <c r="M7736" s="13"/>
    </row>
    <row r="7737" spans="12:13" x14ac:dyDescent="0.2">
      <c r="L7737" s="12"/>
      <c r="M7737" s="13"/>
    </row>
    <row r="7738" spans="12:13" x14ac:dyDescent="0.2">
      <c r="L7738" s="12"/>
      <c r="M7738" s="13"/>
    </row>
    <row r="7739" spans="12:13" x14ac:dyDescent="0.2">
      <c r="L7739" s="12"/>
      <c r="M7739" s="13"/>
    </row>
    <row r="7740" spans="12:13" x14ac:dyDescent="0.2">
      <c r="L7740" s="12"/>
      <c r="M7740" s="13"/>
    </row>
    <row r="7741" spans="12:13" x14ac:dyDescent="0.2">
      <c r="L7741" s="12"/>
      <c r="M7741" s="13"/>
    </row>
    <row r="7742" spans="12:13" x14ac:dyDescent="0.2">
      <c r="L7742" s="12"/>
      <c r="M7742" s="13"/>
    </row>
    <row r="7743" spans="12:13" x14ac:dyDescent="0.2">
      <c r="L7743" s="12"/>
      <c r="M7743" s="13"/>
    </row>
    <row r="7744" spans="12:13" x14ac:dyDescent="0.2">
      <c r="L7744" s="12"/>
      <c r="M7744" s="13"/>
    </row>
    <row r="7745" spans="12:13" x14ac:dyDescent="0.2">
      <c r="L7745" s="12"/>
      <c r="M7745" s="13"/>
    </row>
    <row r="7746" spans="12:13" x14ac:dyDescent="0.2">
      <c r="L7746" s="12"/>
      <c r="M7746" s="13"/>
    </row>
    <row r="7747" spans="12:13" x14ac:dyDescent="0.2">
      <c r="L7747" s="12"/>
      <c r="M7747" s="13"/>
    </row>
    <row r="7748" spans="12:13" x14ac:dyDescent="0.2">
      <c r="L7748" s="12"/>
      <c r="M7748" s="13"/>
    </row>
    <row r="7749" spans="12:13" x14ac:dyDescent="0.2">
      <c r="L7749" s="12"/>
      <c r="M7749" s="13"/>
    </row>
    <row r="7750" spans="12:13" x14ac:dyDescent="0.2">
      <c r="L7750" s="12"/>
      <c r="M7750" s="13"/>
    </row>
    <row r="7751" spans="12:13" x14ac:dyDescent="0.2">
      <c r="L7751" s="12"/>
      <c r="M7751" s="13"/>
    </row>
    <row r="7752" spans="12:13" x14ac:dyDescent="0.2">
      <c r="L7752" s="12"/>
      <c r="M7752" s="13"/>
    </row>
    <row r="7753" spans="12:13" x14ac:dyDescent="0.2">
      <c r="L7753" s="12"/>
      <c r="M7753" s="13"/>
    </row>
    <row r="7754" spans="12:13" x14ac:dyDescent="0.2">
      <c r="L7754" s="12"/>
      <c r="M7754" s="13"/>
    </row>
    <row r="7755" spans="12:13" x14ac:dyDescent="0.2">
      <c r="L7755" s="12"/>
      <c r="M7755" s="13"/>
    </row>
    <row r="7756" spans="12:13" x14ac:dyDescent="0.2">
      <c r="L7756" s="12"/>
      <c r="M7756" s="13"/>
    </row>
    <row r="7757" spans="12:13" x14ac:dyDescent="0.2">
      <c r="L7757" s="12"/>
      <c r="M7757" s="13"/>
    </row>
    <row r="7758" spans="12:13" x14ac:dyDescent="0.2">
      <c r="L7758" s="12"/>
      <c r="M7758" s="13"/>
    </row>
    <row r="7759" spans="12:13" x14ac:dyDescent="0.2">
      <c r="L7759" s="12"/>
      <c r="M7759" s="13"/>
    </row>
    <row r="7760" spans="12:13" x14ac:dyDescent="0.2">
      <c r="L7760" s="12"/>
      <c r="M7760" s="13"/>
    </row>
    <row r="7761" spans="12:13" x14ac:dyDescent="0.2">
      <c r="L7761" s="12"/>
      <c r="M7761" s="13"/>
    </row>
    <row r="7762" spans="12:13" x14ac:dyDescent="0.2">
      <c r="L7762" s="12"/>
      <c r="M7762" s="13"/>
    </row>
    <row r="7763" spans="12:13" x14ac:dyDescent="0.2">
      <c r="L7763" s="12"/>
      <c r="M7763" s="13"/>
    </row>
    <row r="7764" spans="12:13" x14ac:dyDescent="0.2">
      <c r="L7764" s="12"/>
      <c r="M7764" s="13"/>
    </row>
    <row r="7765" spans="12:13" x14ac:dyDescent="0.2">
      <c r="L7765" s="12"/>
      <c r="M7765" s="13"/>
    </row>
    <row r="7766" spans="12:13" x14ac:dyDescent="0.2">
      <c r="L7766" s="12"/>
      <c r="M7766" s="13"/>
    </row>
    <row r="7767" spans="12:13" x14ac:dyDescent="0.2">
      <c r="L7767" s="12"/>
      <c r="M7767" s="13"/>
    </row>
    <row r="7768" spans="12:13" x14ac:dyDescent="0.2">
      <c r="L7768" s="12"/>
      <c r="M7768" s="13"/>
    </row>
    <row r="7769" spans="12:13" x14ac:dyDescent="0.2">
      <c r="L7769" s="12"/>
      <c r="M7769" s="13"/>
    </row>
    <row r="7770" spans="12:13" x14ac:dyDescent="0.2">
      <c r="L7770" s="12"/>
      <c r="M7770" s="13"/>
    </row>
    <row r="7771" spans="12:13" x14ac:dyDescent="0.2">
      <c r="L7771" s="12"/>
      <c r="M7771" s="13"/>
    </row>
    <row r="7772" spans="12:13" x14ac:dyDescent="0.2">
      <c r="L7772" s="12"/>
      <c r="M7772" s="13"/>
    </row>
    <row r="7773" spans="12:13" x14ac:dyDescent="0.2">
      <c r="L7773" s="12"/>
      <c r="M7773" s="13"/>
    </row>
    <row r="7774" spans="12:13" x14ac:dyDescent="0.2">
      <c r="L7774" s="12"/>
      <c r="M7774" s="13"/>
    </row>
    <row r="7775" spans="12:13" x14ac:dyDescent="0.2">
      <c r="L7775" s="12"/>
      <c r="M7775" s="13"/>
    </row>
    <row r="7776" spans="12:13" x14ac:dyDescent="0.2">
      <c r="L7776" s="12"/>
      <c r="M7776" s="13"/>
    </row>
    <row r="7777" spans="12:13" x14ac:dyDescent="0.2">
      <c r="L7777" s="12"/>
      <c r="M7777" s="13"/>
    </row>
    <row r="7778" spans="12:13" x14ac:dyDescent="0.2">
      <c r="L7778" s="12"/>
      <c r="M7778" s="13"/>
    </row>
    <row r="7779" spans="12:13" x14ac:dyDescent="0.2">
      <c r="L7779" s="12"/>
      <c r="M7779" s="13"/>
    </row>
    <row r="7780" spans="12:13" x14ac:dyDescent="0.2">
      <c r="L7780" s="12"/>
      <c r="M7780" s="13"/>
    </row>
    <row r="7781" spans="12:13" x14ac:dyDescent="0.2">
      <c r="L7781" s="12"/>
      <c r="M7781" s="13"/>
    </row>
    <row r="7782" spans="12:13" x14ac:dyDescent="0.2">
      <c r="L7782" s="12"/>
      <c r="M7782" s="13"/>
    </row>
    <row r="7783" spans="12:13" x14ac:dyDescent="0.2">
      <c r="L7783" s="12"/>
      <c r="M7783" s="13"/>
    </row>
    <row r="7784" spans="12:13" x14ac:dyDescent="0.2">
      <c r="L7784" s="12"/>
      <c r="M7784" s="13"/>
    </row>
    <row r="7785" spans="12:13" x14ac:dyDescent="0.2">
      <c r="L7785" s="12"/>
      <c r="M7785" s="13"/>
    </row>
    <row r="7786" spans="12:13" x14ac:dyDescent="0.2">
      <c r="L7786" s="12"/>
      <c r="M7786" s="13"/>
    </row>
    <row r="7787" spans="12:13" x14ac:dyDescent="0.2">
      <c r="L7787" s="12"/>
      <c r="M7787" s="13"/>
    </row>
    <row r="7788" spans="12:13" x14ac:dyDescent="0.2">
      <c r="L7788" s="12"/>
      <c r="M7788" s="13"/>
    </row>
    <row r="7789" spans="12:13" x14ac:dyDescent="0.2">
      <c r="L7789" s="12"/>
      <c r="M7789" s="13"/>
    </row>
    <row r="7790" spans="12:13" x14ac:dyDescent="0.2">
      <c r="L7790" s="12"/>
      <c r="M7790" s="13"/>
    </row>
    <row r="7791" spans="12:13" x14ac:dyDescent="0.2">
      <c r="L7791" s="12"/>
      <c r="M7791" s="13"/>
    </row>
    <row r="7792" spans="12:13" x14ac:dyDescent="0.2">
      <c r="L7792" s="12"/>
      <c r="M7792" s="13"/>
    </row>
    <row r="7793" spans="12:13" x14ac:dyDescent="0.2">
      <c r="L7793" s="12"/>
      <c r="M7793" s="13"/>
    </row>
    <row r="7794" spans="12:13" x14ac:dyDescent="0.2">
      <c r="L7794" s="12"/>
      <c r="M7794" s="13"/>
    </row>
    <row r="7795" spans="12:13" x14ac:dyDescent="0.2">
      <c r="L7795" s="12"/>
      <c r="M7795" s="13"/>
    </row>
    <row r="7796" spans="12:13" x14ac:dyDescent="0.2">
      <c r="L7796" s="12"/>
      <c r="M7796" s="13"/>
    </row>
    <row r="7797" spans="12:13" x14ac:dyDescent="0.2">
      <c r="L7797" s="12"/>
      <c r="M7797" s="13"/>
    </row>
    <row r="7798" spans="12:13" x14ac:dyDescent="0.2">
      <c r="L7798" s="12"/>
      <c r="M7798" s="13"/>
    </row>
    <row r="7799" spans="12:13" x14ac:dyDescent="0.2">
      <c r="L7799" s="12"/>
      <c r="M7799" s="13"/>
    </row>
    <row r="7800" spans="12:13" x14ac:dyDescent="0.2">
      <c r="L7800" s="12"/>
      <c r="M7800" s="13"/>
    </row>
    <row r="7801" spans="12:13" x14ac:dyDescent="0.2">
      <c r="L7801" s="12"/>
      <c r="M7801" s="13"/>
    </row>
    <row r="7802" spans="12:13" x14ac:dyDescent="0.2">
      <c r="L7802" s="12"/>
      <c r="M7802" s="13"/>
    </row>
    <row r="7803" spans="12:13" x14ac:dyDescent="0.2">
      <c r="L7803" s="12"/>
      <c r="M7803" s="13"/>
    </row>
    <row r="7804" spans="12:13" x14ac:dyDescent="0.2">
      <c r="L7804" s="12"/>
      <c r="M7804" s="13"/>
    </row>
    <row r="7805" spans="12:13" x14ac:dyDescent="0.2">
      <c r="L7805" s="12"/>
      <c r="M7805" s="13"/>
    </row>
    <row r="7806" spans="12:13" x14ac:dyDescent="0.2">
      <c r="L7806" s="12"/>
      <c r="M7806" s="13"/>
    </row>
    <row r="7807" spans="12:13" x14ac:dyDescent="0.2">
      <c r="L7807" s="12"/>
      <c r="M7807" s="13"/>
    </row>
    <row r="7808" spans="12:13" x14ac:dyDescent="0.2">
      <c r="L7808" s="12"/>
      <c r="M7808" s="13"/>
    </row>
    <row r="7809" spans="12:13" x14ac:dyDescent="0.2">
      <c r="L7809" s="12"/>
      <c r="M7809" s="13"/>
    </row>
    <row r="7810" spans="12:13" x14ac:dyDescent="0.2">
      <c r="L7810" s="12"/>
      <c r="M7810" s="13"/>
    </row>
    <row r="7811" spans="12:13" x14ac:dyDescent="0.2">
      <c r="L7811" s="12"/>
      <c r="M7811" s="13"/>
    </row>
    <row r="7812" spans="12:13" x14ac:dyDescent="0.2">
      <c r="L7812" s="12"/>
      <c r="M7812" s="13"/>
    </row>
    <row r="7813" spans="12:13" x14ac:dyDescent="0.2">
      <c r="L7813" s="12"/>
      <c r="M7813" s="13"/>
    </row>
    <row r="7814" spans="12:13" x14ac:dyDescent="0.2">
      <c r="L7814" s="12"/>
      <c r="M7814" s="13"/>
    </row>
    <row r="7815" spans="12:13" x14ac:dyDescent="0.2">
      <c r="L7815" s="12"/>
      <c r="M7815" s="13"/>
    </row>
    <row r="7816" spans="12:13" x14ac:dyDescent="0.2">
      <c r="L7816" s="12"/>
      <c r="M7816" s="13"/>
    </row>
    <row r="7817" spans="12:13" x14ac:dyDescent="0.2">
      <c r="L7817" s="12"/>
      <c r="M7817" s="13"/>
    </row>
    <row r="7818" spans="12:13" x14ac:dyDescent="0.2">
      <c r="L7818" s="12"/>
      <c r="M7818" s="13"/>
    </row>
    <row r="7819" spans="12:13" x14ac:dyDescent="0.2">
      <c r="L7819" s="12"/>
      <c r="M7819" s="13"/>
    </row>
    <row r="7820" spans="12:13" x14ac:dyDescent="0.2">
      <c r="L7820" s="12"/>
      <c r="M7820" s="13"/>
    </row>
    <row r="7821" spans="12:13" x14ac:dyDescent="0.2">
      <c r="L7821" s="12"/>
      <c r="M7821" s="13"/>
    </row>
    <row r="7822" spans="12:13" x14ac:dyDescent="0.2">
      <c r="L7822" s="12"/>
      <c r="M7822" s="13"/>
    </row>
    <row r="7823" spans="12:13" x14ac:dyDescent="0.2">
      <c r="L7823" s="12"/>
      <c r="M7823" s="13"/>
    </row>
    <row r="7824" spans="12:13" x14ac:dyDescent="0.2">
      <c r="L7824" s="12"/>
      <c r="M7824" s="13"/>
    </row>
    <row r="7825" spans="12:13" x14ac:dyDescent="0.2">
      <c r="L7825" s="12"/>
      <c r="M7825" s="13"/>
    </row>
    <row r="7826" spans="12:13" x14ac:dyDescent="0.2">
      <c r="L7826" s="12"/>
      <c r="M7826" s="13"/>
    </row>
    <row r="7827" spans="12:13" x14ac:dyDescent="0.2">
      <c r="L7827" s="12"/>
      <c r="M7827" s="13"/>
    </row>
    <row r="7828" spans="12:13" x14ac:dyDescent="0.2">
      <c r="L7828" s="12"/>
      <c r="M7828" s="13"/>
    </row>
    <row r="7829" spans="12:13" x14ac:dyDescent="0.2">
      <c r="L7829" s="12"/>
      <c r="M7829" s="13"/>
    </row>
    <row r="7830" spans="12:13" x14ac:dyDescent="0.2">
      <c r="L7830" s="12"/>
      <c r="M7830" s="13"/>
    </row>
    <row r="7831" spans="12:13" x14ac:dyDescent="0.2">
      <c r="L7831" s="12"/>
      <c r="M7831" s="13"/>
    </row>
    <row r="7832" spans="12:13" x14ac:dyDescent="0.2">
      <c r="L7832" s="12"/>
      <c r="M7832" s="13"/>
    </row>
    <row r="7833" spans="12:13" x14ac:dyDescent="0.2">
      <c r="L7833" s="12"/>
      <c r="M7833" s="13"/>
    </row>
    <row r="7834" spans="12:13" x14ac:dyDescent="0.2">
      <c r="L7834" s="12"/>
      <c r="M7834" s="13"/>
    </row>
    <row r="7835" spans="12:13" x14ac:dyDescent="0.2">
      <c r="L7835" s="12"/>
      <c r="M7835" s="13"/>
    </row>
    <row r="7836" spans="12:13" x14ac:dyDescent="0.2">
      <c r="L7836" s="12"/>
      <c r="M7836" s="13"/>
    </row>
    <row r="7837" spans="12:13" x14ac:dyDescent="0.2">
      <c r="L7837" s="12"/>
      <c r="M7837" s="13"/>
    </row>
    <row r="7838" spans="12:13" x14ac:dyDescent="0.2">
      <c r="L7838" s="12"/>
      <c r="M7838" s="13"/>
    </row>
    <row r="7839" spans="12:13" x14ac:dyDescent="0.2">
      <c r="L7839" s="12"/>
      <c r="M7839" s="13"/>
    </row>
    <row r="7840" spans="12:13" x14ac:dyDescent="0.2">
      <c r="L7840" s="12"/>
      <c r="M7840" s="13"/>
    </row>
    <row r="7841" spans="12:13" x14ac:dyDescent="0.2">
      <c r="L7841" s="12"/>
      <c r="M7841" s="13"/>
    </row>
    <row r="7842" spans="12:13" x14ac:dyDescent="0.2">
      <c r="L7842" s="12"/>
      <c r="M7842" s="13"/>
    </row>
    <row r="7843" spans="12:13" x14ac:dyDescent="0.2">
      <c r="L7843" s="12"/>
      <c r="M7843" s="13"/>
    </row>
    <row r="7844" spans="12:13" x14ac:dyDescent="0.2">
      <c r="L7844" s="12"/>
      <c r="M7844" s="13"/>
    </row>
    <row r="7845" spans="12:13" x14ac:dyDescent="0.2">
      <c r="L7845" s="12"/>
      <c r="M7845" s="13"/>
    </row>
    <row r="7846" spans="12:13" x14ac:dyDescent="0.2">
      <c r="L7846" s="12"/>
      <c r="M7846" s="13"/>
    </row>
    <row r="7847" spans="12:13" x14ac:dyDescent="0.2">
      <c r="L7847" s="12"/>
      <c r="M7847" s="13"/>
    </row>
    <row r="7848" spans="12:13" x14ac:dyDescent="0.2">
      <c r="L7848" s="12"/>
      <c r="M7848" s="13"/>
    </row>
    <row r="7849" spans="12:13" x14ac:dyDescent="0.2">
      <c r="L7849" s="12"/>
      <c r="M7849" s="13"/>
    </row>
    <row r="7850" spans="12:13" x14ac:dyDescent="0.2">
      <c r="L7850" s="12"/>
      <c r="M7850" s="13"/>
    </row>
    <row r="7851" spans="12:13" x14ac:dyDescent="0.2">
      <c r="L7851" s="12"/>
      <c r="M7851" s="13"/>
    </row>
    <row r="7852" spans="12:13" x14ac:dyDescent="0.2">
      <c r="L7852" s="12"/>
      <c r="M7852" s="13"/>
    </row>
    <row r="7853" spans="12:13" x14ac:dyDescent="0.2">
      <c r="L7853" s="12"/>
      <c r="M7853" s="13"/>
    </row>
    <row r="7854" spans="12:13" x14ac:dyDescent="0.2">
      <c r="L7854" s="12"/>
      <c r="M7854" s="13"/>
    </row>
    <row r="7855" spans="12:13" x14ac:dyDescent="0.2">
      <c r="L7855" s="12"/>
      <c r="M7855" s="13"/>
    </row>
    <row r="7856" spans="12:13" x14ac:dyDescent="0.2">
      <c r="L7856" s="12"/>
      <c r="M7856" s="13"/>
    </row>
    <row r="7857" spans="12:13" x14ac:dyDescent="0.2">
      <c r="L7857" s="12"/>
      <c r="M7857" s="13"/>
    </row>
    <row r="7858" spans="12:13" x14ac:dyDescent="0.2">
      <c r="L7858" s="12"/>
      <c r="M7858" s="13"/>
    </row>
    <row r="7859" spans="12:13" x14ac:dyDescent="0.2">
      <c r="L7859" s="12"/>
      <c r="M7859" s="13"/>
    </row>
    <row r="7860" spans="12:13" x14ac:dyDescent="0.2">
      <c r="L7860" s="12"/>
      <c r="M7860" s="13"/>
    </row>
    <row r="7861" spans="12:13" x14ac:dyDescent="0.2">
      <c r="L7861" s="12"/>
      <c r="M7861" s="13"/>
    </row>
    <row r="7862" spans="12:13" x14ac:dyDescent="0.2">
      <c r="L7862" s="12"/>
      <c r="M7862" s="13"/>
    </row>
    <row r="7863" spans="12:13" x14ac:dyDescent="0.2">
      <c r="L7863" s="12"/>
      <c r="M7863" s="13"/>
    </row>
    <row r="7864" spans="12:13" x14ac:dyDescent="0.2">
      <c r="L7864" s="12"/>
      <c r="M7864" s="13"/>
    </row>
    <row r="7865" spans="12:13" x14ac:dyDescent="0.2">
      <c r="L7865" s="12"/>
      <c r="M7865" s="13"/>
    </row>
    <row r="7866" spans="12:13" x14ac:dyDescent="0.2">
      <c r="L7866" s="12"/>
      <c r="M7866" s="13"/>
    </row>
    <row r="7867" spans="12:13" x14ac:dyDescent="0.2">
      <c r="L7867" s="12"/>
      <c r="M7867" s="13"/>
    </row>
    <row r="7868" spans="12:13" x14ac:dyDescent="0.2">
      <c r="L7868" s="12"/>
      <c r="M7868" s="13"/>
    </row>
    <row r="7869" spans="12:13" x14ac:dyDescent="0.2">
      <c r="L7869" s="12"/>
      <c r="M7869" s="13"/>
    </row>
    <row r="7870" spans="12:13" x14ac:dyDescent="0.2">
      <c r="L7870" s="12"/>
      <c r="M7870" s="13"/>
    </row>
    <row r="7871" spans="12:13" x14ac:dyDescent="0.2">
      <c r="L7871" s="12"/>
      <c r="M7871" s="13"/>
    </row>
    <row r="7872" spans="12:13" x14ac:dyDescent="0.2">
      <c r="L7872" s="12"/>
      <c r="M7872" s="13"/>
    </row>
    <row r="7873" spans="12:13" x14ac:dyDescent="0.2">
      <c r="L7873" s="12"/>
      <c r="M7873" s="13"/>
    </row>
    <row r="7874" spans="12:13" x14ac:dyDescent="0.2">
      <c r="L7874" s="12"/>
      <c r="M7874" s="13"/>
    </row>
    <row r="7875" spans="12:13" x14ac:dyDescent="0.2">
      <c r="L7875" s="12"/>
      <c r="M7875" s="13"/>
    </row>
    <row r="7876" spans="12:13" x14ac:dyDescent="0.2">
      <c r="L7876" s="12"/>
      <c r="M7876" s="13"/>
    </row>
    <row r="7877" spans="12:13" x14ac:dyDescent="0.2">
      <c r="L7877" s="12"/>
      <c r="M7877" s="13"/>
    </row>
    <row r="7878" spans="12:13" x14ac:dyDescent="0.2">
      <c r="L7878" s="12"/>
      <c r="M7878" s="13"/>
    </row>
    <row r="7879" spans="12:13" x14ac:dyDescent="0.2">
      <c r="L7879" s="12"/>
      <c r="M7879" s="13"/>
    </row>
    <row r="7880" spans="12:13" x14ac:dyDescent="0.2">
      <c r="L7880" s="12"/>
      <c r="M7880" s="13"/>
    </row>
    <row r="7881" spans="12:13" x14ac:dyDescent="0.2">
      <c r="L7881" s="12"/>
      <c r="M7881" s="13"/>
    </row>
    <row r="7882" spans="12:13" x14ac:dyDescent="0.2">
      <c r="L7882" s="12"/>
      <c r="M7882" s="13"/>
    </row>
    <row r="7883" spans="12:13" x14ac:dyDescent="0.2">
      <c r="L7883" s="12"/>
      <c r="M7883" s="13"/>
    </row>
    <row r="7884" spans="12:13" x14ac:dyDescent="0.2">
      <c r="L7884" s="12"/>
      <c r="M7884" s="13"/>
    </row>
    <row r="7885" spans="12:13" x14ac:dyDescent="0.2">
      <c r="L7885" s="12"/>
      <c r="M7885" s="13"/>
    </row>
    <row r="7886" spans="12:13" x14ac:dyDescent="0.2">
      <c r="L7886" s="12"/>
      <c r="M7886" s="13"/>
    </row>
    <row r="7887" spans="12:13" x14ac:dyDescent="0.2">
      <c r="L7887" s="12"/>
      <c r="M7887" s="13"/>
    </row>
    <row r="7888" spans="12:13" x14ac:dyDescent="0.2">
      <c r="L7888" s="12"/>
      <c r="M7888" s="13"/>
    </row>
    <row r="7889" spans="12:13" x14ac:dyDescent="0.2">
      <c r="L7889" s="12"/>
      <c r="M7889" s="13"/>
    </row>
    <row r="7890" spans="12:13" x14ac:dyDescent="0.2">
      <c r="L7890" s="12"/>
      <c r="M7890" s="13"/>
    </row>
    <row r="7891" spans="12:13" x14ac:dyDescent="0.2">
      <c r="L7891" s="12"/>
      <c r="M7891" s="13"/>
    </row>
    <row r="7892" spans="12:13" x14ac:dyDescent="0.2">
      <c r="L7892" s="12"/>
      <c r="M7892" s="13"/>
    </row>
    <row r="7893" spans="12:13" x14ac:dyDescent="0.2">
      <c r="L7893" s="12"/>
      <c r="M7893" s="13"/>
    </row>
    <row r="7894" spans="12:13" x14ac:dyDescent="0.2">
      <c r="L7894" s="12"/>
      <c r="M7894" s="13"/>
    </row>
    <row r="7895" spans="12:13" x14ac:dyDescent="0.2">
      <c r="L7895" s="12"/>
      <c r="M7895" s="13"/>
    </row>
    <row r="7896" spans="12:13" x14ac:dyDescent="0.2">
      <c r="L7896" s="12"/>
      <c r="M7896" s="13"/>
    </row>
    <row r="7897" spans="12:13" x14ac:dyDescent="0.2">
      <c r="L7897" s="12"/>
      <c r="M7897" s="13"/>
    </row>
    <row r="7898" spans="12:13" x14ac:dyDescent="0.2">
      <c r="L7898" s="12"/>
      <c r="M7898" s="13"/>
    </row>
    <row r="7899" spans="12:13" x14ac:dyDescent="0.2">
      <c r="L7899" s="12"/>
      <c r="M7899" s="13"/>
    </row>
    <row r="7900" spans="12:13" x14ac:dyDescent="0.2">
      <c r="L7900" s="12"/>
      <c r="M7900" s="13"/>
    </row>
    <row r="7901" spans="12:13" x14ac:dyDescent="0.2">
      <c r="L7901" s="12"/>
      <c r="M7901" s="13"/>
    </row>
    <row r="7902" spans="12:13" x14ac:dyDescent="0.2">
      <c r="L7902" s="12"/>
      <c r="M7902" s="13"/>
    </row>
    <row r="7903" spans="12:13" x14ac:dyDescent="0.2">
      <c r="L7903" s="12"/>
      <c r="M7903" s="13"/>
    </row>
    <row r="7904" spans="12:13" x14ac:dyDescent="0.2">
      <c r="L7904" s="12"/>
      <c r="M7904" s="13"/>
    </row>
    <row r="7905" spans="12:13" x14ac:dyDescent="0.2">
      <c r="L7905" s="12"/>
      <c r="M7905" s="13"/>
    </row>
    <row r="7906" spans="12:13" x14ac:dyDescent="0.2">
      <c r="L7906" s="12"/>
      <c r="M7906" s="13"/>
    </row>
    <row r="7907" spans="12:13" x14ac:dyDescent="0.2">
      <c r="L7907" s="12"/>
      <c r="M7907" s="13"/>
    </row>
    <row r="7908" spans="12:13" x14ac:dyDescent="0.2">
      <c r="L7908" s="12"/>
      <c r="M7908" s="13"/>
    </row>
    <row r="7909" spans="12:13" x14ac:dyDescent="0.2">
      <c r="L7909" s="12"/>
      <c r="M7909" s="13"/>
    </row>
    <row r="7910" spans="12:13" x14ac:dyDescent="0.2">
      <c r="L7910" s="12"/>
      <c r="M7910" s="13"/>
    </row>
    <row r="7911" spans="12:13" x14ac:dyDescent="0.2">
      <c r="L7911" s="12"/>
      <c r="M7911" s="13"/>
    </row>
    <row r="7912" spans="12:13" x14ac:dyDescent="0.2">
      <c r="L7912" s="12"/>
      <c r="M7912" s="13"/>
    </row>
    <row r="7913" spans="12:13" x14ac:dyDescent="0.2">
      <c r="L7913" s="12"/>
      <c r="M7913" s="13"/>
    </row>
    <row r="7914" spans="12:13" x14ac:dyDescent="0.2">
      <c r="L7914" s="12"/>
      <c r="M7914" s="13"/>
    </row>
    <row r="7915" spans="12:13" x14ac:dyDescent="0.2">
      <c r="L7915" s="12"/>
      <c r="M7915" s="13"/>
    </row>
    <row r="7916" spans="12:13" x14ac:dyDescent="0.2">
      <c r="L7916" s="12"/>
      <c r="M7916" s="13"/>
    </row>
    <row r="7917" spans="12:13" x14ac:dyDescent="0.2">
      <c r="L7917" s="12"/>
      <c r="M7917" s="13"/>
    </row>
    <row r="7918" spans="12:13" x14ac:dyDescent="0.2">
      <c r="L7918" s="12"/>
      <c r="M7918" s="13"/>
    </row>
    <row r="7919" spans="12:13" x14ac:dyDescent="0.2">
      <c r="L7919" s="12"/>
      <c r="M7919" s="13"/>
    </row>
    <row r="7920" spans="12:13" x14ac:dyDescent="0.2">
      <c r="L7920" s="12"/>
      <c r="M7920" s="13"/>
    </row>
    <row r="7921" spans="12:13" x14ac:dyDescent="0.2">
      <c r="L7921" s="12"/>
      <c r="M7921" s="13"/>
    </row>
    <row r="7922" spans="12:13" x14ac:dyDescent="0.2">
      <c r="L7922" s="12"/>
      <c r="M7922" s="13"/>
    </row>
    <row r="7923" spans="12:13" x14ac:dyDescent="0.2">
      <c r="L7923" s="12"/>
      <c r="M7923" s="13"/>
    </row>
    <row r="7924" spans="12:13" x14ac:dyDescent="0.2">
      <c r="L7924" s="12"/>
      <c r="M7924" s="13"/>
    </row>
    <row r="7925" spans="12:13" x14ac:dyDescent="0.2">
      <c r="L7925" s="12"/>
      <c r="M7925" s="13"/>
    </row>
    <row r="7926" spans="12:13" x14ac:dyDescent="0.2">
      <c r="L7926" s="12"/>
      <c r="M7926" s="13"/>
    </row>
    <row r="7927" spans="12:13" x14ac:dyDescent="0.2">
      <c r="L7927" s="12"/>
      <c r="M7927" s="13"/>
    </row>
    <row r="7928" spans="12:13" x14ac:dyDescent="0.2">
      <c r="L7928" s="12"/>
      <c r="M7928" s="13"/>
    </row>
    <row r="7929" spans="12:13" x14ac:dyDescent="0.2">
      <c r="L7929" s="12"/>
      <c r="M7929" s="13"/>
    </row>
    <row r="7930" spans="12:13" x14ac:dyDescent="0.2">
      <c r="L7930" s="12"/>
      <c r="M7930" s="13"/>
    </row>
    <row r="7931" spans="12:13" x14ac:dyDescent="0.2">
      <c r="L7931" s="12"/>
      <c r="M7931" s="13"/>
    </row>
    <row r="7932" spans="12:13" x14ac:dyDescent="0.2">
      <c r="L7932" s="12"/>
      <c r="M7932" s="13"/>
    </row>
    <row r="7933" spans="12:13" x14ac:dyDescent="0.2">
      <c r="L7933" s="12"/>
      <c r="M7933" s="13"/>
    </row>
    <row r="7934" spans="12:13" x14ac:dyDescent="0.2">
      <c r="L7934" s="12"/>
      <c r="M7934" s="13"/>
    </row>
    <row r="7935" spans="12:13" x14ac:dyDescent="0.2">
      <c r="L7935" s="12"/>
      <c r="M7935" s="13"/>
    </row>
    <row r="7936" spans="12:13" x14ac:dyDescent="0.2">
      <c r="L7936" s="12"/>
      <c r="M7936" s="13"/>
    </row>
    <row r="7937" spans="12:13" x14ac:dyDescent="0.2">
      <c r="L7937" s="12"/>
      <c r="M7937" s="13"/>
    </row>
    <row r="7938" spans="12:13" x14ac:dyDescent="0.2">
      <c r="L7938" s="17"/>
      <c r="M7938" s="18"/>
    </row>
    <row r="7939" spans="12:13" x14ac:dyDescent="0.2">
      <c r="L7939" s="12"/>
      <c r="M7939" s="13"/>
    </row>
    <row r="7940" spans="12:13" x14ac:dyDescent="0.2">
      <c r="L7940" s="12"/>
      <c r="M7940" s="13"/>
    </row>
    <row r="7941" spans="12:13" x14ac:dyDescent="0.2">
      <c r="L7941" s="12"/>
      <c r="M7941" s="13"/>
    </row>
    <row r="7942" spans="12:13" x14ac:dyDescent="0.2">
      <c r="L7942" s="12"/>
      <c r="M7942" s="13"/>
    </row>
    <row r="7943" spans="12:13" x14ac:dyDescent="0.2">
      <c r="L7943" s="12"/>
      <c r="M7943" s="13"/>
    </row>
    <row r="7944" spans="12:13" x14ac:dyDescent="0.2">
      <c r="L7944" s="12"/>
      <c r="M7944" s="13"/>
    </row>
    <row r="7945" spans="12:13" x14ac:dyDescent="0.2">
      <c r="L7945" s="12"/>
      <c r="M7945" s="13"/>
    </row>
    <row r="7946" spans="12:13" x14ac:dyDescent="0.2">
      <c r="L7946" s="12"/>
      <c r="M7946" s="13"/>
    </row>
    <row r="7947" spans="12:13" x14ac:dyDescent="0.2">
      <c r="L7947" s="12"/>
      <c r="M7947" s="13"/>
    </row>
    <row r="7948" spans="12:13" x14ac:dyDescent="0.2">
      <c r="L7948" s="12"/>
      <c r="M7948" s="13"/>
    </row>
    <row r="7949" spans="12:13" x14ac:dyDescent="0.2">
      <c r="L7949" s="12"/>
      <c r="M7949" s="13"/>
    </row>
    <row r="7950" spans="12:13" x14ac:dyDescent="0.2">
      <c r="L7950" s="12"/>
      <c r="M7950" s="13"/>
    </row>
    <row r="7951" spans="12:13" x14ac:dyDescent="0.2">
      <c r="L7951" s="12"/>
      <c r="M7951" s="13"/>
    </row>
    <row r="7952" spans="12:13" x14ac:dyDescent="0.2">
      <c r="L7952" s="12"/>
      <c r="M7952" s="13"/>
    </row>
    <row r="7953" spans="12:13" x14ac:dyDescent="0.2">
      <c r="L7953" s="12"/>
      <c r="M7953" s="13"/>
    </row>
    <row r="7954" spans="12:13" x14ac:dyDescent="0.2">
      <c r="L7954" s="12"/>
      <c r="M7954" s="13"/>
    </row>
    <row r="7955" spans="12:13" x14ac:dyDescent="0.2">
      <c r="L7955" s="12"/>
      <c r="M7955" s="13"/>
    </row>
    <row r="7956" spans="12:13" x14ac:dyDescent="0.2">
      <c r="L7956" s="12"/>
      <c r="M7956" s="13"/>
    </row>
    <row r="7957" spans="12:13" x14ac:dyDescent="0.2">
      <c r="L7957" s="12"/>
      <c r="M7957" s="13"/>
    </row>
    <row r="7958" spans="12:13" x14ac:dyDescent="0.2">
      <c r="L7958" s="12"/>
      <c r="M7958" s="13"/>
    </row>
    <row r="7959" spans="12:13" x14ac:dyDescent="0.2">
      <c r="L7959" s="12"/>
      <c r="M7959" s="13"/>
    </row>
    <row r="7960" spans="12:13" x14ac:dyDescent="0.2">
      <c r="L7960" s="12"/>
      <c r="M7960" s="13"/>
    </row>
    <row r="7961" spans="12:13" x14ac:dyDescent="0.2">
      <c r="L7961" s="12"/>
      <c r="M7961" s="13"/>
    </row>
    <row r="7962" spans="12:13" x14ac:dyDescent="0.2">
      <c r="L7962" s="12"/>
      <c r="M7962" s="13"/>
    </row>
    <row r="7963" spans="12:13" x14ac:dyDescent="0.2">
      <c r="L7963" s="12"/>
      <c r="M7963" s="13"/>
    </row>
    <row r="7964" spans="12:13" x14ac:dyDescent="0.2">
      <c r="L7964" s="12"/>
      <c r="M7964" s="13"/>
    </row>
    <row r="7965" spans="12:13" x14ac:dyDescent="0.2">
      <c r="L7965" s="12"/>
      <c r="M7965" s="13"/>
    </row>
    <row r="7966" spans="12:13" x14ac:dyDescent="0.2">
      <c r="L7966" s="12"/>
      <c r="M7966" s="13"/>
    </row>
    <row r="7967" spans="12:13" x14ac:dyDescent="0.2">
      <c r="L7967" s="12"/>
      <c r="M7967" s="13"/>
    </row>
    <row r="7968" spans="12:13" x14ac:dyDescent="0.2">
      <c r="L7968" s="12"/>
      <c r="M7968" s="13"/>
    </row>
    <row r="7969" spans="12:13" x14ac:dyDescent="0.2">
      <c r="L7969" s="12"/>
      <c r="M7969" s="13"/>
    </row>
    <row r="7970" spans="12:13" x14ac:dyDescent="0.2">
      <c r="L7970" s="12"/>
      <c r="M7970" s="13"/>
    </row>
    <row r="7971" spans="12:13" x14ac:dyDescent="0.2">
      <c r="L7971" s="12"/>
      <c r="M7971" s="13"/>
    </row>
    <row r="7972" spans="12:13" x14ac:dyDescent="0.2">
      <c r="L7972" s="12"/>
      <c r="M7972" s="13"/>
    </row>
    <row r="7973" spans="12:13" x14ac:dyDescent="0.2">
      <c r="L7973" s="12"/>
      <c r="M7973" s="13"/>
    </row>
    <row r="7974" spans="12:13" x14ac:dyDescent="0.2">
      <c r="L7974" s="12"/>
      <c r="M7974" s="13"/>
    </row>
    <row r="7975" spans="12:13" x14ac:dyDescent="0.2">
      <c r="L7975" s="12"/>
      <c r="M7975" s="13"/>
    </row>
    <row r="7976" spans="12:13" x14ac:dyDescent="0.2">
      <c r="L7976" s="12"/>
      <c r="M7976" s="13"/>
    </row>
    <row r="7977" spans="12:13" x14ac:dyDescent="0.2">
      <c r="L7977" s="12"/>
      <c r="M7977" s="13"/>
    </row>
    <row r="7978" spans="12:13" x14ac:dyDescent="0.2">
      <c r="L7978" s="12"/>
      <c r="M7978" s="13"/>
    </row>
    <row r="7979" spans="12:13" x14ac:dyDescent="0.2">
      <c r="L7979" s="12"/>
      <c r="M7979" s="13"/>
    </row>
    <row r="7980" spans="12:13" x14ac:dyDescent="0.2">
      <c r="L7980" s="12"/>
      <c r="M7980" s="13"/>
    </row>
    <row r="7981" spans="12:13" x14ac:dyDescent="0.2">
      <c r="L7981" s="12"/>
      <c r="M7981" s="13"/>
    </row>
    <row r="7982" spans="12:13" x14ac:dyDescent="0.2">
      <c r="L7982" s="12"/>
      <c r="M7982" s="13"/>
    </row>
    <row r="7983" spans="12:13" x14ac:dyDescent="0.2">
      <c r="L7983" s="12"/>
      <c r="M7983" s="13"/>
    </row>
    <row r="7984" spans="12:13" x14ac:dyDescent="0.2">
      <c r="L7984" s="12"/>
      <c r="M7984" s="13"/>
    </row>
    <row r="7985" spans="12:13" x14ac:dyDescent="0.2">
      <c r="L7985" s="12"/>
      <c r="M7985" s="13"/>
    </row>
    <row r="7986" spans="12:13" x14ac:dyDescent="0.2">
      <c r="L7986" s="12"/>
      <c r="M7986" s="13"/>
    </row>
    <row r="7987" spans="12:13" x14ac:dyDescent="0.2">
      <c r="L7987" s="12"/>
      <c r="M7987" s="13"/>
    </row>
    <row r="7988" spans="12:13" x14ac:dyDescent="0.2">
      <c r="L7988" s="12"/>
      <c r="M7988" s="13"/>
    </row>
    <row r="7989" spans="12:13" x14ac:dyDescent="0.2">
      <c r="L7989" s="12"/>
      <c r="M7989" s="13"/>
    </row>
    <row r="7990" spans="12:13" x14ac:dyDescent="0.2">
      <c r="L7990" s="12"/>
      <c r="M7990" s="13"/>
    </row>
    <row r="7991" spans="12:13" x14ac:dyDescent="0.2">
      <c r="L7991" s="12"/>
      <c r="M7991" s="13"/>
    </row>
    <row r="7992" spans="12:13" x14ac:dyDescent="0.2">
      <c r="L7992" s="12"/>
      <c r="M7992" s="13"/>
    </row>
    <row r="7993" spans="12:13" x14ac:dyDescent="0.2">
      <c r="L7993" s="12"/>
      <c r="M7993" s="13"/>
    </row>
    <row r="7994" spans="12:13" x14ac:dyDescent="0.2">
      <c r="L7994" s="12"/>
      <c r="M7994" s="13"/>
    </row>
    <row r="7995" spans="12:13" x14ac:dyDescent="0.2">
      <c r="L7995" s="12"/>
      <c r="M7995" s="13"/>
    </row>
    <row r="7996" spans="12:13" x14ac:dyDescent="0.2">
      <c r="L7996" s="12"/>
      <c r="M7996" s="13"/>
    </row>
    <row r="7997" spans="12:13" x14ac:dyDescent="0.2">
      <c r="L7997" s="12"/>
      <c r="M7997" s="13"/>
    </row>
    <row r="7998" spans="12:13" x14ac:dyDescent="0.2">
      <c r="L7998" s="12"/>
      <c r="M7998" s="13"/>
    </row>
    <row r="7999" spans="12:13" x14ac:dyDescent="0.2">
      <c r="L7999" s="12"/>
      <c r="M7999" s="13"/>
    </row>
    <row r="8000" spans="12:13" x14ac:dyDescent="0.2">
      <c r="L8000" s="12"/>
      <c r="M8000" s="13"/>
    </row>
    <row r="8001" spans="12:13" x14ac:dyDescent="0.2">
      <c r="L8001" s="12"/>
      <c r="M8001" s="13"/>
    </row>
    <row r="8002" spans="12:13" x14ac:dyDescent="0.2">
      <c r="L8002" s="12"/>
      <c r="M8002" s="13"/>
    </row>
    <row r="8003" spans="12:13" x14ac:dyDescent="0.2">
      <c r="L8003" s="12"/>
      <c r="M8003" s="13"/>
    </row>
    <row r="8004" spans="12:13" x14ac:dyDescent="0.2">
      <c r="L8004" s="12"/>
      <c r="M8004" s="13"/>
    </row>
    <row r="8005" spans="12:13" x14ac:dyDescent="0.2">
      <c r="L8005" s="12"/>
      <c r="M8005" s="13"/>
    </row>
    <row r="8006" spans="12:13" x14ac:dyDescent="0.2">
      <c r="L8006" s="12"/>
      <c r="M8006" s="13"/>
    </row>
    <row r="8007" spans="12:13" x14ac:dyDescent="0.2">
      <c r="L8007" s="12"/>
      <c r="M8007" s="13"/>
    </row>
    <row r="8008" spans="12:13" x14ac:dyDescent="0.2">
      <c r="L8008" s="12"/>
      <c r="M8008" s="13"/>
    </row>
    <row r="8009" spans="12:13" x14ac:dyDescent="0.2">
      <c r="L8009" s="12"/>
      <c r="M8009" s="13"/>
    </row>
    <row r="8010" spans="12:13" x14ac:dyDescent="0.2">
      <c r="L8010" s="12"/>
      <c r="M8010" s="13"/>
    </row>
    <row r="8011" spans="12:13" x14ac:dyDescent="0.2">
      <c r="L8011" s="12"/>
      <c r="M8011" s="13"/>
    </row>
    <row r="8012" spans="12:13" x14ac:dyDescent="0.2">
      <c r="L8012" s="12"/>
      <c r="M8012" s="13"/>
    </row>
    <row r="8013" spans="12:13" x14ac:dyDescent="0.2">
      <c r="L8013" s="12"/>
      <c r="M8013" s="13"/>
    </row>
    <row r="8014" spans="12:13" x14ac:dyDescent="0.2">
      <c r="L8014" s="12"/>
      <c r="M8014" s="13"/>
    </row>
    <row r="8015" spans="12:13" x14ac:dyDescent="0.2">
      <c r="L8015" s="12"/>
      <c r="M8015" s="13"/>
    </row>
    <row r="8016" spans="12:13" x14ac:dyDescent="0.2">
      <c r="L8016" s="12"/>
      <c r="M8016" s="13"/>
    </row>
    <row r="8017" spans="12:13" x14ac:dyDescent="0.2">
      <c r="L8017" s="12"/>
      <c r="M8017" s="13"/>
    </row>
    <row r="8018" spans="12:13" x14ac:dyDescent="0.2">
      <c r="L8018" s="12"/>
      <c r="M8018" s="13"/>
    </row>
    <row r="8019" spans="12:13" x14ac:dyDescent="0.2">
      <c r="L8019" s="12"/>
      <c r="M8019" s="13"/>
    </row>
    <row r="8020" spans="12:13" x14ac:dyDescent="0.2">
      <c r="L8020" s="12"/>
      <c r="M8020" s="13"/>
    </row>
    <row r="8021" spans="12:13" x14ac:dyDescent="0.2">
      <c r="L8021" s="12"/>
      <c r="M8021" s="13"/>
    </row>
    <row r="8022" spans="12:13" x14ac:dyDescent="0.2">
      <c r="L8022" s="12"/>
      <c r="M8022" s="13"/>
    </row>
    <row r="8023" spans="12:13" x14ac:dyDescent="0.2">
      <c r="L8023" s="12"/>
      <c r="M8023" s="13"/>
    </row>
    <row r="8024" spans="12:13" x14ac:dyDescent="0.2">
      <c r="L8024" s="12"/>
      <c r="M8024" s="13"/>
    </row>
    <row r="8025" spans="12:13" x14ac:dyDescent="0.2">
      <c r="L8025" s="12"/>
      <c r="M8025" s="13"/>
    </row>
    <row r="8026" spans="12:13" x14ac:dyDescent="0.2">
      <c r="L8026" s="12"/>
      <c r="M8026" s="13"/>
    </row>
    <row r="8027" spans="12:13" x14ac:dyDescent="0.2">
      <c r="L8027" s="12"/>
      <c r="M8027" s="13"/>
    </row>
    <row r="8028" spans="12:13" x14ac:dyDescent="0.2">
      <c r="L8028" s="12"/>
      <c r="M8028" s="13"/>
    </row>
    <row r="8029" spans="12:13" x14ac:dyDescent="0.2">
      <c r="L8029" s="12"/>
      <c r="M8029" s="13"/>
    </row>
    <row r="8030" spans="12:13" x14ac:dyDescent="0.2">
      <c r="L8030" s="12"/>
      <c r="M8030" s="13"/>
    </row>
    <row r="8031" spans="12:13" x14ac:dyDescent="0.2">
      <c r="L8031" s="12"/>
      <c r="M8031" s="13"/>
    </row>
    <row r="8032" spans="12:13" x14ac:dyDescent="0.2">
      <c r="L8032" s="12"/>
      <c r="M8032" s="13"/>
    </row>
    <row r="8033" spans="12:13" x14ac:dyDescent="0.2">
      <c r="L8033" s="12"/>
      <c r="M8033" s="13"/>
    </row>
    <row r="8034" spans="12:13" x14ac:dyDescent="0.2">
      <c r="L8034" s="12"/>
      <c r="M8034" s="13"/>
    </row>
    <row r="8035" spans="12:13" x14ac:dyDescent="0.2">
      <c r="L8035" s="12"/>
      <c r="M8035" s="13"/>
    </row>
    <row r="8036" spans="12:13" x14ac:dyDescent="0.2">
      <c r="L8036" s="12"/>
      <c r="M8036" s="13"/>
    </row>
    <row r="8037" spans="12:13" x14ac:dyDescent="0.2">
      <c r="L8037" s="12"/>
      <c r="M8037" s="13"/>
    </row>
    <row r="8038" spans="12:13" x14ac:dyDescent="0.2">
      <c r="L8038" s="12"/>
      <c r="M8038" s="13"/>
    </row>
    <row r="8039" spans="12:13" x14ac:dyDescent="0.2">
      <c r="L8039" s="12"/>
      <c r="M8039" s="13"/>
    </row>
    <row r="8040" spans="12:13" x14ac:dyDescent="0.2">
      <c r="L8040" s="12"/>
      <c r="M8040" s="13"/>
    </row>
    <row r="8041" spans="12:13" x14ac:dyDescent="0.2">
      <c r="L8041" s="12"/>
      <c r="M8041" s="13"/>
    </row>
    <row r="8042" spans="12:13" x14ac:dyDescent="0.2">
      <c r="L8042" s="12"/>
      <c r="M8042" s="13"/>
    </row>
    <row r="8043" spans="12:13" x14ac:dyDescent="0.2">
      <c r="L8043" s="12"/>
      <c r="M8043" s="13"/>
    </row>
    <row r="8044" spans="12:13" x14ac:dyDescent="0.2">
      <c r="L8044" s="12"/>
      <c r="M8044" s="13"/>
    </row>
    <row r="8045" spans="12:13" x14ac:dyDescent="0.2">
      <c r="L8045" s="12"/>
      <c r="M8045" s="13"/>
    </row>
    <row r="8046" spans="12:13" x14ac:dyDescent="0.2">
      <c r="L8046" s="12"/>
      <c r="M8046" s="13"/>
    </row>
    <row r="8047" spans="12:13" x14ac:dyDescent="0.2">
      <c r="L8047" s="12"/>
      <c r="M8047" s="13"/>
    </row>
    <row r="8048" spans="12:13" x14ac:dyDescent="0.2">
      <c r="L8048" s="12"/>
      <c r="M8048" s="13"/>
    </row>
    <row r="8049" spans="12:13" x14ac:dyDescent="0.2">
      <c r="L8049" s="12"/>
      <c r="M8049" s="13"/>
    </row>
    <row r="8050" spans="12:13" x14ac:dyDescent="0.2">
      <c r="L8050" s="12"/>
      <c r="M8050" s="13"/>
    </row>
    <row r="8051" spans="12:13" x14ac:dyDescent="0.2">
      <c r="L8051" s="12"/>
      <c r="M8051" s="13"/>
    </row>
    <row r="8052" spans="12:13" x14ac:dyDescent="0.2">
      <c r="L8052" s="12"/>
      <c r="M8052" s="13"/>
    </row>
    <row r="8053" spans="12:13" x14ac:dyDescent="0.2">
      <c r="L8053" s="12"/>
      <c r="M8053" s="13"/>
    </row>
    <row r="8054" spans="12:13" x14ac:dyDescent="0.2">
      <c r="L8054" s="12"/>
      <c r="M8054" s="13"/>
    </row>
    <row r="8055" spans="12:13" x14ac:dyDescent="0.2">
      <c r="L8055" s="12"/>
      <c r="M8055" s="13"/>
    </row>
    <row r="8056" spans="12:13" x14ac:dyDescent="0.2">
      <c r="L8056" s="12"/>
      <c r="M8056" s="13"/>
    </row>
    <row r="8057" spans="12:13" x14ac:dyDescent="0.2">
      <c r="L8057" s="12"/>
      <c r="M8057" s="13"/>
    </row>
    <row r="8058" spans="12:13" x14ac:dyDescent="0.2">
      <c r="L8058" s="12"/>
      <c r="M8058" s="13"/>
    </row>
    <row r="8059" spans="12:13" x14ac:dyDescent="0.2">
      <c r="L8059" s="12"/>
      <c r="M8059" s="13"/>
    </row>
    <row r="8060" spans="12:13" x14ac:dyDescent="0.2">
      <c r="L8060" s="12"/>
      <c r="M8060" s="13"/>
    </row>
    <row r="8061" spans="12:13" x14ac:dyDescent="0.2">
      <c r="L8061" s="12"/>
      <c r="M8061" s="13"/>
    </row>
    <row r="8062" spans="12:13" x14ac:dyDescent="0.2">
      <c r="L8062" s="12"/>
      <c r="M8062" s="13"/>
    </row>
    <row r="8063" spans="12:13" x14ac:dyDescent="0.2">
      <c r="L8063" s="12"/>
      <c r="M8063" s="13"/>
    </row>
    <row r="8064" spans="12:13" x14ac:dyDescent="0.2">
      <c r="L8064" s="12"/>
      <c r="M8064" s="13"/>
    </row>
    <row r="8065" spans="12:13" x14ac:dyDescent="0.2">
      <c r="L8065" s="12"/>
      <c r="M8065" s="13"/>
    </row>
    <row r="8066" spans="12:13" x14ac:dyDescent="0.2">
      <c r="L8066" s="12"/>
      <c r="M8066" s="13"/>
    </row>
    <row r="8067" spans="12:13" x14ac:dyDescent="0.2">
      <c r="L8067" s="12"/>
      <c r="M8067" s="13"/>
    </row>
    <row r="8068" spans="12:13" x14ac:dyDescent="0.2">
      <c r="L8068" s="12"/>
      <c r="M8068" s="13"/>
    </row>
    <row r="8069" spans="12:13" x14ac:dyDescent="0.2">
      <c r="L8069" s="12"/>
      <c r="M8069" s="13"/>
    </row>
    <row r="8070" spans="12:13" x14ac:dyDescent="0.2">
      <c r="L8070" s="12"/>
      <c r="M8070" s="13"/>
    </row>
    <row r="8071" spans="12:13" x14ac:dyDescent="0.2">
      <c r="L8071" s="12"/>
      <c r="M8071" s="13"/>
    </row>
    <row r="8072" spans="12:13" x14ac:dyDescent="0.2">
      <c r="L8072" s="12"/>
      <c r="M8072" s="13"/>
    </row>
    <row r="8073" spans="12:13" x14ac:dyDescent="0.2">
      <c r="L8073" s="12"/>
      <c r="M8073" s="13"/>
    </row>
    <row r="8074" spans="12:13" x14ac:dyDescent="0.2">
      <c r="L8074" s="12"/>
      <c r="M8074" s="13"/>
    </row>
    <row r="8075" spans="12:13" x14ac:dyDescent="0.2">
      <c r="L8075" s="12"/>
      <c r="M8075" s="13"/>
    </row>
    <row r="8076" spans="12:13" x14ac:dyDescent="0.2">
      <c r="L8076" s="12"/>
      <c r="M8076" s="13"/>
    </row>
    <row r="8077" spans="12:13" x14ac:dyDescent="0.2">
      <c r="L8077" s="12"/>
      <c r="M8077" s="13"/>
    </row>
    <row r="8078" spans="12:13" x14ac:dyDescent="0.2">
      <c r="L8078" s="12"/>
      <c r="M8078" s="13"/>
    </row>
    <row r="8079" spans="12:13" x14ac:dyDescent="0.2">
      <c r="L8079" s="12"/>
      <c r="M8079" s="13"/>
    </row>
    <row r="8080" spans="12:13" x14ac:dyDescent="0.2">
      <c r="L8080" s="12"/>
      <c r="M8080" s="13"/>
    </row>
    <row r="8081" spans="12:13" x14ac:dyDescent="0.2">
      <c r="L8081" s="12"/>
      <c r="M8081" s="13"/>
    </row>
    <row r="8082" spans="12:13" x14ac:dyDescent="0.2">
      <c r="L8082" s="12"/>
      <c r="M8082" s="13"/>
    </row>
    <row r="8083" spans="12:13" x14ac:dyDescent="0.2">
      <c r="L8083" s="12"/>
      <c r="M8083" s="13"/>
    </row>
    <row r="8084" spans="12:13" x14ac:dyDescent="0.2">
      <c r="L8084" s="12"/>
      <c r="M8084" s="13"/>
    </row>
    <row r="8085" spans="12:13" x14ac:dyDescent="0.2">
      <c r="L8085" s="12"/>
      <c r="M8085" s="13"/>
    </row>
    <row r="8086" spans="12:13" x14ac:dyDescent="0.2">
      <c r="L8086" s="12"/>
      <c r="M8086" s="13"/>
    </row>
    <row r="8087" spans="12:13" x14ac:dyDescent="0.2">
      <c r="L8087" s="12"/>
      <c r="M8087" s="13"/>
    </row>
    <row r="8088" spans="12:13" x14ac:dyDescent="0.2">
      <c r="L8088" s="12"/>
      <c r="M8088" s="13"/>
    </row>
    <row r="8089" spans="12:13" x14ac:dyDescent="0.2">
      <c r="L8089" s="12"/>
      <c r="M8089" s="13"/>
    </row>
    <row r="8090" spans="12:13" x14ac:dyDescent="0.2">
      <c r="L8090" s="12"/>
      <c r="M8090" s="13"/>
    </row>
    <row r="8091" spans="12:13" x14ac:dyDescent="0.2">
      <c r="L8091" s="12"/>
      <c r="M8091" s="13"/>
    </row>
    <row r="8092" spans="12:13" x14ac:dyDescent="0.2">
      <c r="L8092" s="12"/>
      <c r="M8092" s="13"/>
    </row>
    <row r="8093" spans="12:13" x14ac:dyDescent="0.2">
      <c r="L8093" s="12"/>
      <c r="M8093" s="13"/>
    </row>
    <row r="8094" spans="12:13" x14ac:dyDescent="0.2">
      <c r="L8094" s="12"/>
      <c r="M8094" s="13"/>
    </row>
    <row r="8095" spans="12:13" x14ac:dyDescent="0.2">
      <c r="L8095" s="12"/>
      <c r="M8095" s="13"/>
    </row>
    <row r="8096" spans="12:13" x14ac:dyDescent="0.2">
      <c r="L8096" s="12"/>
      <c r="M8096" s="13"/>
    </row>
    <row r="8097" spans="12:13" x14ac:dyDescent="0.2">
      <c r="L8097" s="12"/>
      <c r="M8097" s="13"/>
    </row>
    <row r="8098" spans="12:13" x14ac:dyDescent="0.2">
      <c r="L8098" s="12"/>
      <c r="M8098" s="13"/>
    </row>
    <row r="8099" spans="12:13" x14ac:dyDescent="0.2">
      <c r="L8099" s="12"/>
      <c r="M8099" s="13"/>
    </row>
    <row r="8100" spans="12:13" x14ac:dyDescent="0.2">
      <c r="L8100" s="12"/>
      <c r="M8100" s="13"/>
    </row>
    <row r="8101" spans="12:13" x14ac:dyDescent="0.2">
      <c r="L8101" s="12"/>
      <c r="M8101" s="13"/>
    </row>
    <row r="8102" spans="12:13" x14ac:dyDescent="0.2">
      <c r="L8102" s="12"/>
      <c r="M8102" s="13"/>
    </row>
    <row r="8103" spans="12:13" x14ac:dyDescent="0.2">
      <c r="L8103" s="12"/>
      <c r="M8103" s="13"/>
    </row>
    <row r="8104" spans="12:13" x14ac:dyDescent="0.2">
      <c r="L8104" s="12"/>
      <c r="M8104" s="13"/>
    </row>
    <row r="8105" spans="12:13" x14ac:dyDescent="0.2">
      <c r="L8105" s="12"/>
      <c r="M8105" s="13"/>
    </row>
    <row r="8106" spans="12:13" x14ac:dyDescent="0.2">
      <c r="L8106" s="12"/>
      <c r="M8106" s="13"/>
    </row>
    <row r="8107" spans="12:13" x14ac:dyDescent="0.2">
      <c r="L8107" s="12"/>
      <c r="M8107" s="13"/>
    </row>
    <row r="8108" spans="12:13" x14ac:dyDescent="0.2">
      <c r="L8108" s="12"/>
      <c r="M8108" s="13"/>
    </row>
    <row r="8109" spans="12:13" x14ac:dyDescent="0.2">
      <c r="L8109" s="12"/>
      <c r="M8109" s="13"/>
    </row>
    <row r="8110" spans="12:13" x14ac:dyDescent="0.2">
      <c r="L8110" s="12"/>
      <c r="M8110" s="13"/>
    </row>
    <row r="8111" spans="12:13" x14ac:dyDescent="0.2">
      <c r="L8111" s="12"/>
      <c r="M8111" s="13"/>
    </row>
    <row r="8112" spans="12:13" x14ac:dyDescent="0.2">
      <c r="L8112" s="12"/>
      <c r="M8112" s="13"/>
    </row>
    <row r="8113" spans="12:13" x14ac:dyDescent="0.2">
      <c r="L8113" s="12"/>
      <c r="M8113" s="13"/>
    </row>
    <row r="8114" spans="12:13" x14ac:dyDescent="0.2">
      <c r="L8114" s="12"/>
      <c r="M8114" s="13"/>
    </row>
    <row r="8115" spans="12:13" x14ac:dyDescent="0.2">
      <c r="L8115" s="12"/>
      <c r="M8115" s="13"/>
    </row>
    <row r="8116" spans="12:13" x14ac:dyDescent="0.2">
      <c r="L8116" s="12"/>
      <c r="M8116" s="13"/>
    </row>
    <row r="8117" spans="12:13" x14ac:dyDescent="0.2">
      <c r="L8117" s="12"/>
      <c r="M8117" s="13"/>
    </row>
    <row r="8118" spans="12:13" x14ac:dyDescent="0.2">
      <c r="L8118" s="12"/>
      <c r="M8118" s="13"/>
    </row>
    <row r="8119" spans="12:13" x14ac:dyDescent="0.2">
      <c r="L8119" s="12"/>
      <c r="M8119" s="13"/>
    </row>
    <row r="8120" spans="12:13" x14ac:dyDescent="0.2">
      <c r="L8120" s="12"/>
      <c r="M8120" s="13"/>
    </row>
    <row r="8121" spans="12:13" x14ac:dyDescent="0.2">
      <c r="L8121" s="12"/>
      <c r="M8121" s="13"/>
    </row>
    <row r="8122" spans="12:13" x14ac:dyDescent="0.2">
      <c r="L8122" s="12"/>
      <c r="M8122" s="13"/>
    </row>
    <row r="8123" spans="12:13" x14ac:dyDescent="0.2">
      <c r="L8123" s="12"/>
      <c r="M8123" s="13"/>
    </row>
    <row r="8124" spans="12:13" x14ac:dyDescent="0.2">
      <c r="L8124" s="12"/>
      <c r="M8124" s="13"/>
    </row>
    <row r="8125" spans="12:13" x14ac:dyDescent="0.2">
      <c r="L8125" s="12"/>
      <c r="M8125" s="13"/>
    </row>
    <row r="8126" spans="12:13" x14ac:dyDescent="0.2">
      <c r="L8126" s="12"/>
      <c r="M8126" s="13"/>
    </row>
    <row r="8127" spans="12:13" x14ac:dyDescent="0.2">
      <c r="L8127" s="12"/>
      <c r="M8127" s="13"/>
    </row>
    <row r="8128" spans="12:13" x14ac:dyDescent="0.2">
      <c r="L8128" s="12"/>
      <c r="M8128" s="13"/>
    </row>
    <row r="8129" spans="12:13" x14ac:dyDescent="0.2">
      <c r="L8129" s="12"/>
      <c r="M8129" s="13"/>
    </row>
    <row r="8130" spans="12:13" x14ac:dyDescent="0.2">
      <c r="L8130" s="12"/>
      <c r="M8130" s="13"/>
    </row>
    <row r="8131" spans="12:13" x14ac:dyDescent="0.2">
      <c r="L8131" s="12"/>
      <c r="M8131" s="13"/>
    </row>
    <row r="8132" spans="12:13" x14ac:dyDescent="0.2">
      <c r="L8132" s="12"/>
      <c r="M8132" s="13"/>
    </row>
    <row r="8133" spans="12:13" x14ac:dyDescent="0.2">
      <c r="L8133" s="12"/>
      <c r="M8133" s="13"/>
    </row>
    <row r="8134" spans="12:13" x14ac:dyDescent="0.2">
      <c r="L8134" s="12"/>
      <c r="M8134" s="13"/>
    </row>
    <row r="8135" spans="12:13" x14ac:dyDescent="0.2">
      <c r="L8135" s="12"/>
      <c r="M8135" s="13"/>
    </row>
    <row r="8136" spans="12:13" x14ac:dyDescent="0.2">
      <c r="L8136" s="12"/>
      <c r="M8136" s="13"/>
    </row>
    <row r="8137" spans="12:13" x14ac:dyDescent="0.2">
      <c r="L8137" s="12"/>
      <c r="M8137" s="13"/>
    </row>
    <row r="8138" spans="12:13" x14ac:dyDescent="0.2">
      <c r="L8138" s="12"/>
      <c r="M8138" s="13"/>
    </row>
    <row r="8139" spans="12:13" x14ac:dyDescent="0.2">
      <c r="L8139" s="12"/>
      <c r="M8139" s="13"/>
    </row>
    <row r="8140" spans="12:13" x14ac:dyDescent="0.2">
      <c r="L8140" s="12"/>
      <c r="M8140" s="13"/>
    </row>
    <row r="8141" spans="12:13" x14ac:dyDescent="0.2">
      <c r="L8141" s="12"/>
      <c r="M8141" s="13"/>
    </row>
    <row r="8142" spans="12:13" x14ac:dyDescent="0.2">
      <c r="L8142" s="12"/>
      <c r="M8142" s="13"/>
    </row>
    <row r="8143" spans="12:13" x14ac:dyDescent="0.2">
      <c r="L8143" s="12"/>
      <c r="M8143" s="13"/>
    </row>
    <row r="8144" spans="12:13" x14ac:dyDescent="0.2">
      <c r="L8144" s="12"/>
      <c r="M8144" s="13"/>
    </row>
    <row r="8145" spans="12:13" x14ac:dyDescent="0.2">
      <c r="L8145" s="12"/>
      <c r="M8145" s="13"/>
    </row>
    <row r="8146" spans="12:13" x14ac:dyDescent="0.2">
      <c r="L8146" s="12"/>
      <c r="M8146" s="13"/>
    </row>
    <row r="8147" spans="12:13" x14ac:dyDescent="0.2">
      <c r="L8147" s="12"/>
      <c r="M8147" s="13"/>
    </row>
    <row r="8148" spans="12:13" x14ac:dyDescent="0.2">
      <c r="L8148" s="12"/>
      <c r="M8148" s="13"/>
    </row>
    <row r="8149" spans="12:13" x14ac:dyDescent="0.2">
      <c r="L8149" s="12"/>
      <c r="M8149" s="13"/>
    </row>
    <row r="8150" spans="12:13" x14ac:dyDescent="0.2">
      <c r="L8150" s="12"/>
      <c r="M8150" s="13"/>
    </row>
    <row r="8151" spans="12:13" x14ac:dyDescent="0.2">
      <c r="L8151" s="12"/>
      <c r="M8151" s="13"/>
    </row>
    <row r="8152" spans="12:13" x14ac:dyDescent="0.2">
      <c r="L8152" s="12"/>
      <c r="M8152" s="13"/>
    </row>
    <row r="8153" spans="12:13" x14ac:dyDescent="0.2">
      <c r="L8153" s="12"/>
      <c r="M8153" s="13"/>
    </row>
    <row r="8154" spans="12:13" x14ac:dyDescent="0.2">
      <c r="L8154" s="12"/>
      <c r="M8154" s="13"/>
    </row>
    <row r="8155" spans="12:13" x14ac:dyDescent="0.2">
      <c r="L8155" s="12"/>
      <c r="M8155" s="13"/>
    </row>
    <row r="8156" spans="12:13" x14ac:dyDescent="0.2">
      <c r="L8156" s="12"/>
      <c r="M8156" s="13"/>
    </row>
    <row r="8157" spans="12:13" x14ac:dyDescent="0.2">
      <c r="L8157" s="12"/>
      <c r="M8157" s="13"/>
    </row>
    <row r="8158" spans="12:13" x14ac:dyDescent="0.2">
      <c r="L8158" s="12"/>
      <c r="M8158" s="13"/>
    </row>
    <row r="8159" spans="12:13" x14ac:dyDescent="0.2">
      <c r="L8159" s="12"/>
      <c r="M8159" s="13"/>
    </row>
    <row r="8160" spans="12:13" x14ac:dyDescent="0.2">
      <c r="L8160" s="12"/>
      <c r="M8160" s="13"/>
    </row>
    <row r="8161" spans="12:13" x14ac:dyDescent="0.2">
      <c r="L8161" s="12"/>
      <c r="M8161" s="13"/>
    </row>
    <row r="8162" spans="12:13" x14ac:dyDescent="0.2">
      <c r="L8162" s="12"/>
      <c r="M8162" s="13"/>
    </row>
    <row r="8163" spans="12:13" x14ac:dyDescent="0.2">
      <c r="L8163" s="12"/>
      <c r="M8163" s="13"/>
    </row>
    <row r="8164" spans="12:13" x14ac:dyDescent="0.2">
      <c r="L8164" s="12"/>
      <c r="M8164" s="13"/>
    </row>
    <row r="8165" spans="12:13" x14ac:dyDescent="0.2">
      <c r="L8165" s="12"/>
      <c r="M8165" s="13"/>
    </row>
    <row r="8166" spans="12:13" x14ac:dyDescent="0.2">
      <c r="L8166" s="12"/>
      <c r="M8166" s="13"/>
    </row>
    <row r="8167" spans="12:13" x14ac:dyDescent="0.2">
      <c r="L8167" s="12"/>
      <c r="M8167" s="13"/>
    </row>
    <row r="8168" spans="12:13" x14ac:dyDescent="0.2">
      <c r="L8168" s="12"/>
      <c r="M8168" s="13"/>
    </row>
    <row r="8169" spans="12:13" x14ac:dyDescent="0.2">
      <c r="L8169" s="12"/>
      <c r="M8169" s="13"/>
    </row>
    <row r="8170" spans="12:13" x14ac:dyDescent="0.2">
      <c r="L8170" s="12"/>
      <c r="M8170" s="13"/>
    </row>
    <row r="8171" spans="12:13" x14ac:dyDescent="0.2">
      <c r="L8171" s="12"/>
      <c r="M8171" s="13"/>
    </row>
    <row r="8172" spans="12:13" x14ac:dyDescent="0.2">
      <c r="L8172" s="12"/>
      <c r="M8172" s="13"/>
    </row>
    <row r="8173" spans="12:13" x14ac:dyDescent="0.2">
      <c r="L8173" s="12"/>
      <c r="M8173" s="13"/>
    </row>
    <row r="8174" spans="12:13" x14ac:dyDescent="0.2">
      <c r="L8174" s="12"/>
      <c r="M8174" s="13"/>
    </row>
    <row r="8175" spans="12:13" x14ac:dyDescent="0.2">
      <c r="L8175" s="12"/>
      <c r="M8175" s="13"/>
    </row>
    <row r="8176" spans="12:13" x14ac:dyDescent="0.2">
      <c r="L8176" s="12"/>
      <c r="M8176" s="13"/>
    </row>
    <row r="8177" spans="12:13" x14ac:dyDescent="0.2">
      <c r="L8177" s="12"/>
      <c r="M8177" s="13"/>
    </row>
    <row r="8178" spans="12:13" x14ac:dyDescent="0.2">
      <c r="L8178" s="12"/>
      <c r="M8178" s="13"/>
    </row>
    <row r="8179" spans="12:13" x14ac:dyDescent="0.2">
      <c r="L8179" s="12"/>
      <c r="M8179" s="13"/>
    </row>
    <row r="8180" spans="12:13" x14ac:dyDescent="0.2">
      <c r="L8180" s="12"/>
      <c r="M8180" s="13"/>
    </row>
    <row r="8181" spans="12:13" x14ac:dyDescent="0.2">
      <c r="L8181" s="12"/>
      <c r="M8181" s="13"/>
    </row>
    <row r="8182" spans="12:13" x14ac:dyDescent="0.2">
      <c r="L8182" s="12"/>
      <c r="M8182" s="13"/>
    </row>
    <row r="8183" spans="12:13" x14ac:dyDescent="0.2">
      <c r="L8183" s="12"/>
      <c r="M8183" s="13"/>
    </row>
    <row r="8184" spans="12:13" x14ac:dyDescent="0.2">
      <c r="L8184" s="12"/>
      <c r="M8184" s="13"/>
    </row>
    <row r="8185" spans="12:13" x14ac:dyDescent="0.2">
      <c r="L8185" s="12"/>
      <c r="M8185" s="13"/>
    </row>
    <row r="8186" spans="12:13" x14ac:dyDescent="0.2">
      <c r="L8186" s="12"/>
      <c r="M8186" s="13"/>
    </row>
    <row r="8187" spans="12:13" x14ac:dyDescent="0.2">
      <c r="L8187" s="12"/>
      <c r="M8187" s="13"/>
    </row>
    <row r="8188" spans="12:13" x14ac:dyDescent="0.2">
      <c r="L8188" s="12"/>
      <c r="M8188" s="13"/>
    </row>
    <row r="8189" spans="12:13" x14ac:dyDescent="0.2">
      <c r="L8189" s="12"/>
      <c r="M8189" s="13"/>
    </row>
    <row r="8190" spans="12:13" x14ac:dyDescent="0.2">
      <c r="L8190" s="12"/>
      <c r="M8190" s="13"/>
    </row>
    <row r="8191" spans="12:13" x14ac:dyDescent="0.2">
      <c r="L8191" s="12"/>
      <c r="M8191" s="13"/>
    </row>
    <row r="8192" spans="12:13" x14ac:dyDescent="0.2">
      <c r="L8192" s="12"/>
      <c r="M8192" s="13"/>
    </row>
    <row r="8193" spans="12:13" x14ac:dyDescent="0.2">
      <c r="L8193" s="12"/>
      <c r="M8193" s="13"/>
    </row>
    <row r="8194" spans="12:13" x14ac:dyDescent="0.2">
      <c r="L8194" s="17"/>
      <c r="M8194" s="18"/>
    </row>
    <row r="8195" spans="12:13" x14ac:dyDescent="0.2">
      <c r="L8195" s="12"/>
      <c r="M8195" s="13"/>
    </row>
    <row r="8196" spans="12:13" x14ac:dyDescent="0.2">
      <c r="L8196" s="12"/>
      <c r="M8196" s="13"/>
    </row>
    <row r="8197" spans="12:13" x14ac:dyDescent="0.2">
      <c r="L8197" s="12"/>
      <c r="M8197" s="13"/>
    </row>
    <row r="8198" spans="12:13" x14ac:dyDescent="0.2">
      <c r="L8198" s="12"/>
      <c r="M8198" s="13"/>
    </row>
    <row r="8199" spans="12:13" x14ac:dyDescent="0.2">
      <c r="L8199" s="12"/>
      <c r="M8199" s="13"/>
    </row>
    <row r="8200" spans="12:13" x14ac:dyDescent="0.2">
      <c r="L8200" s="12"/>
      <c r="M8200" s="13"/>
    </row>
    <row r="8201" spans="12:13" x14ac:dyDescent="0.2">
      <c r="L8201" s="12"/>
      <c r="M8201" s="13"/>
    </row>
    <row r="8202" spans="12:13" x14ac:dyDescent="0.2">
      <c r="L8202" s="12"/>
      <c r="M8202" s="13"/>
    </row>
    <row r="8203" spans="12:13" x14ac:dyDescent="0.2">
      <c r="L8203" s="12"/>
      <c r="M8203" s="13"/>
    </row>
    <row r="8204" spans="12:13" x14ac:dyDescent="0.2">
      <c r="L8204" s="12"/>
      <c r="M8204" s="13"/>
    </row>
    <row r="8205" spans="12:13" x14ac:dyDescent="0.2">
      <c r="L8205" s="12"/>
      <c r="M8205" s="13"/>
    </row>
    <row r="8206" spans="12:13" x14ac:dyDescent="0.2">
      <c r="L8206" s="12"/>
      <c r="M8206" s="13"/>
    </row>
    <row r="8207" spans="12:13" x14ac:dyDescent="0.2">
      <c r="L8207" s="12"/>
      <c r="M8207" s="13"/>
    </row>
    <row r="8208" spans="12:13" x14ac:dyDescent="0.2">
      <c r="L8208" s="12"/>
      <c r="M8208" s="13"/>
    </row>
    <row r="8209" spans="12:13" x14ac:dyDescent="0.2">
      <c r="L8209" s="12"/>
      <c r="M8209" s="13"/>
    </row>
    <row r="8210" spans="12:13" x14ac:dyDescent="0.2">
      <c r="L8210" s="12"/>
      <c r="M8210" s="13"/>
    </row>
    <row r="8211" spans="12:13" x14ac:dyDescent="0.2">
      <c r="L8211" s="12"/>
      <c r="M8211" s="13"/>
    </row>
    <row r="8212" spans="12:13" x14ac:dyDescent="0.2">
      <c r="L8212" s="12"/>
      <c r="M8212" s="13"/>
    </row>
    <row r="8213" spans="12:13" x14ac:dyDescent="0.2">
      <c r="L8213" s="12"/>
      <c r="M8213" s="13"/>
    </row>
    <row r="8214" spans="12:13" x14ac:dyDescent="0.2">
      <c r="L8214" s="12"/>
      <c r="M8214" s="13"/>
    </row>
    <row r="8215" spans="12:13" x14ac:dyDescent="0.2">
      <c r="L8215" s="12"/>
      <c r="M8215" s="13"/>
    </row>
    <row r="8216" spans="12:13" x14ac:dyDescent="0.2">
      <c r="L8216" s="12"/>
      <c r="M8216" s="13"/>
    </row>
    <row r="8217" spans="12:13" x14ac:dyDescent="0.2">
      <c r="L8217" s="12"/>
      <c r="M8217" s="13"/>
    </row>
    <row r="8218" spans="12:13" x14ac:dyDescent="0.2">
      <c r="L8218" s="12"/>
      <c r="M8218" s="13"/>
    </row>
    <row r="8219" spans="12:13" x14ac:dyDescent="0.2">
      <c r="L8219" s="12"/>
      <c r="M8219" s="13"/>
    </row>
    <row r="8220" spans="12:13" x14ac:dyDescent="0.2">
      <c r="L8220" s="12"/>
      <c r="M8220" s="13"/>
    </row>
    <row r="8221" spans="12:13" x14ac:dyDescent="0.2">
      <c r="L8221" s="12"/>
      <c r="M8221" s="13"/>
    </row>
    <row r="8222" spans="12:13" x14ac:dyDescent="0.2">
      <c r="L8222" s="12"/>
      <c r="M8222" s="13"/>
    </row>
    <row r="8223" spans="12:13" x14ac:dyDescent="0.2">
      <c r="L8223" s="12"/>
      <c r="M8223" s="13"/>
    </row>
    <row r="8224" spans="12:13" x14ac:dyDescent="0.2">
      <c r="L8224" s="12"/>
      <c r="M8224" s="13"/>
    </row>
    <row r="8225" spans="12:13" x14ac:dyDescent="0.2">
      <c r="L8225" s="12"/>
      <c r="M8225" s="13"/>
    </row>
    <row r="8226" spans="12:13" x14ac:dyDescent="0.2">
      <c r="L8226" s="12"/>
      <c r="M8226" s="13"/>
    </row>
    <row r="8227" spans="12:13" x14ac:dyDescent="0.2">
      <c r="L8227" s="12"/>
      <c r="M8227" s="13"/>
    </row>
    <row r="8228" spans="12:13" x14ac:dyDescent="0.2">
      <c r="L8228" s="12"/>
      <c r="M8228" s="13"/>
    </row>
    <row r="8229" spans="12:13" x14ac:dyDescent="0.2">
      <c r="L8229" s="12"/>
      <c r="M8229" s="13"/>
    </row>
    <row r="8230" spans="12:13" x14ac:dyDescent="0.2">
      <c r="L8230" s="12"/>
      <c r="M8230" s="13"/>
    </row>
    <row r="8231" spans="12:13" x14ac:dyDescent="0.2">
      <c r="L8231" s="12"/>
      <c r="M8231" s="13"/>
    </row>
    <row r="8232" spans="12:13" x14ac:dyDescent="0.2">
      <c r="L8232" s="12"/>
      <c r="M8232" s="13"/>
    </row>
    <row r="8233" spans="12:13" x14ac:dyDescent="0.2">
      <c r="L8233" s="12"/>
      <c r="M8233" s="13"/>
    </row>
    <row r="8234" spans="12:13" x14ac:dyDescent="0.2">
      <c r="L8234" s="12"/>
      <c r="M8234" s="13"/>
    </row>
    <row r="8235" spans="12:13" x14ac:dyDescent="0.2">
      <c r="L8235" s="12"/>
      <c r="M8235" s="13"/>
    </row>
    <row r="8236" spans="12:13" x14ac:dyDescent="0.2">
      <c r="L8236" s="12"/>
      <c r="M8236" s="13"/>
    </row>
    <row r="8237" spans="12:13" x14ac:dyDescent="0.2">
      <c r="L8237" s="12"/>
      <c r="M8237" s="13"/>
    </row>
    <row r="8238" spans="12:13" x14ac:dyDescent="0.2">
      <c r="L8238" s="12"/>
      <c r="M8238" s="13"/>
    </row>
    <row r="8239" spans="12:13" x14ac:dyDescent="0.2">
      <c r="L8239" s="12"/>
      <c r="M8239" s="13"/>
    </row>
    <row r="8240" spans="12:13" x14ac:dyDescent="0.2">
      <c r="L8240" s="12"/>
      <c r="M8240" s="13"/>
    </row>
    <row r="8241" spans="12:13" x14ac:dyDescent="0.2">
      <c r="L8241" s="12"/>
      <c r="M8241" s="13"/>
    </row>
    <row r="8242" spans="12:13" x14ac:dyDescent="0.2">
      <c r="L8242" s="12"/>
      <c r="M8242" s="13"/>
    </row>
    <row r="8243" spans="12:13" x14ac:dyDescent="0.2">
      <c r="L8243" s="12"/>
      <c r="M8243" s="13"/>
    </row>
    <row r="8244" spans="12:13" x14ac:dyDescent="0.2">
      <c r="L8244" s="12"/>
      <c r="M8244" s="13"/>
    </row>
    <row r="8245" spans="12:13" x14ac:dyDescent="0.2">
      <c r="L8245" s="12"/>
      <c r="M8245" s="13"/>
    </row>
    <row r="8246" spans="12:13" x14ac:dyDescent="0.2">
      <c r="L8246" s="12"/>
      <c r="M8246" s="13"/>
    </row>
    <row r="8247" spans="12:13" x14ac:dyDescent="0.2">
      <c r="L8247" s="12"/>
      <c r="M8247" s="13"/>
    </row>
    <row r="8248" spans="12:13" x14ac:dyDescent="0.2">
      <c r="L8248" s="12"/>
      <c r="M8248" s="13"/>
    </row>
    <row r="8249" spans="12:13" x14ac:dyDescent="0.2">
      <c r="L8249" s="12"/>
      <c r="M8249" s="13"/>
    </row>
    <row r="8250" spans="12:13" x14ac:dyDescent="0.2">
      <c r="L8250" s="12"/>
      <c r="M8250" s="13"/>
    </row>
    <row r="8251" spans="12:13" x14ac:dyDescent="0.2">
      <c r="L8251" s="12"/>
      <c r="M8251" s="13"/>
    </row>
    <row r="8252" spans="12:13" x14ac:dyDescent="0.2">
      <c r="L8252" s="12"/>
      <c r="M8252" s="13"/>
    </row>
    <row r="8253" spans="12:13" x14ac:dyDescent="0.2">
      <c r="L8253" s="12"/>
      <c r="M8253" s="13"/>
    </row>
    <row r="8254" spans="12:13" x14ac:dyDescent="0.2">
      <c r="L8254" s="12"/>
      <c r="M8254" s="13"/>
    </row>
    <row r="8255" spans="12:13" x14ac:dyDescent="0.2">
      <c r="L8255" s="12"/>
      <c r="M8255" s="13"/>
    </row>
    <row r="8256" spans="12:13" x14ac:dyDescent="0.2">
      <c r="L8256" s="12"/>
      <c r="M8256" s="13"/>
    </row>
    <row r="8257" spans="12:13" x14ac:dyDescent="0.2">
      <c r="L8257" s="12"/>
      <c r="M8257" s="13"/>
    </row>
    <row r="8258" spans="12:13" x14ac:dyDescent="0.2">
      <c r="L8258" s="12"/>
      <c r="M8258" s="13"/>
    </row>
    <row r="8259" spans="12:13" x14ac:dyDescent="0.2">
      <c r="L8259" s="12"/>
      <c r="M8259" s="13"/>
    </row>
    <row r="8260" spans="12:13" x14ac:dyDescent="0.2">
      <c r="L8260" s="12"/>
      <c r="M8260" s="13"/>
    </row>
    <row r="8261" spans="12:13" x14ac:dyDescent="0.2">
      <c r="L8261" s="12"/>
      <c r="M8261" s="13"/>
    </row>
    <row r="8262" spans="12:13" x14ac:dyDescent="0.2">
      <c r="L8262" s="12"/>
      <c r="M8262" s="13"/>
    </row>
    <row r="8263" spans="12:13" x14ac:dyDescent="0.2">
      <c r="L8263" s="12"/>
      <c r="M8263" s="13"/>
    </row>
    <row r="8264" spans="12:13" x14ac:dyDescent="0.2">
      <c r="L8264" s="12"/>
      <c r="M8264" s="13"/>
    </row>
    <row r="8265" spans="12:13" x14ac:dyDescent="0.2">
      <c r="L8265" s="12"/>
      <c r="M8265" s="13"/>
    </row>
    <row r="8266" spans="12:13" x14ac:dyDescent="0.2">
      <c r="L8266" s="12"/>
      <c r="M8266" s="13"/>
    </row>
    <row r="8267" spans="12:13" x14ac:dyDescent="0.2">
      <c r="L8267" s="12"/>
      <c r="M8267" s="13"/>
    </row>
    <row r="8268" spans="12:13" x14ac:dyDescent="0.2">
      <c r="L8268" s="12"/>
      <c r="M8268" s="13"/>
    </row>
    <row r="8269" spans="12:13" x14ac:dyDescent="0.2">
      <c r="L8269" s="12"/>
      <c r="M8269" s="13"/>
    </row>
    <row r="8270" spans="12:13" x14ac:dyDescent="0.2">
      <c r="L8270" s="12"/>
      <c r="M8270" s="13"/>
    </row>
    <row r="8271" spans="12:13" x14ac:dyDescent="0.2">
      <c r="L8271" s="12"/>
      <c r="M8271" s="13"/>
    </row>
    <row r="8272" spans="12:13" x14ac:dyDescent="0.2">
      <c r="L8272" s="12"/>
      <c r="M8272" s="13"/>
    </row>
    <row r="8273" spans="12:13" x14ac:dyDescent="0.2">
      <c r="L8273" s="12"/>
      <c r="M8273" s="13"/>
    </row>
    <row r="8274" spans="12:13" x14ac:dyDescent="0.2">
      <c r="L8274" s="12"/>
      <c r="M8274" s="13"/>
    </row>
    <row r="8275" spans="12:13" x14ac:dyDescent="0.2">
      <c r="L8275" s="12"/>
      <c r="M8275" s="13"/>
    </row>
    <row r="8276" spans="12:13" x14ac:dyDescent="0.2">
      <c r="L8276" s="12"/>
      <c r="M8276" s="13"/>
    </row>
    <row r="8277" spans="12:13" x14ac:dyDescent="0.2">
      <c r="L8277" s="12"/>
      <c r="M8277" s="13"/>
    </row>
    <row r="8278" spans="12:13" x14ac:dyDescent="0.2">
      <c r="L8278" s="12"/>
      <c r="M8278" s="13"/>
    </row>
    <row r="8279" spans="12:13" x14ac:dyDescent="0.2">
      <c r="L8279" s="12"/>
      <c r="M8279" s="13"/>
    </row>
    <row r="8280" spans="12:13" x14ac:dyDescent="0.2">
      <c r="L8280" s="12"/>
      <c r="M8280" s="13"/>
    </row>
    <row r="8281" spans="12:13" x14ac:dyDescent="0.2">
      <c r="L8281" s="12"/>
      <c r="M8281" s="13"/>
    </row>
    <row r="8282" spans="12:13" x14ac:dyDescent="0.2">
      <c r="L8282" s="12"/>
      <c r="M8282" s="13"/>
    </row>
    <row r="8283" spans="12:13" x14ac:dyDescent="0.2">
      <c r="L8283" s="12"/>
      <c r="M8283" s="13"/>
    </row>
    <row r="8284" spans="12:13" x14ac:dyDescent="0.2">
      <c r="L8284" s="12"/>
      <c r="M8284" s="13"/>
    </row>
    <row r="8285" spans="12:13" x14ac:dyDescent="0.2">
      <c r="L8285" s="12"/>
      <c r="M8285" s="13"/>
    </row>
    <row r="8286" spans="12:13" x14ac:dyDescent="0.2">
      <c r="L8286" s="12"/>
      <c r="M8286" s="13"/>
    </row>
    <row r="8287" spans="12:13" x14ac:dyDescent="0.2">
      <c r="L8287" s="12"/>
      <c r="M8287" s="13"/>
    </row>
    <row r="8288" spans="12:13" x14ac:dyDescent="0.2">
      <c r="L8288" s="12"/>
      <c r="M8288" s="13"/>
    </row>
    <row r="8289" spans="12:13" x14ac:dyDescent="0.2">
      <c r="L8289" s="12"/>
      <c r="M8289" s="13"/>
    </row>
    <row r="8290" spans="12:13" x14ac:dyDescent="0.2">
      <c r="L8290" s="12"/>
      <c r="M8290" s="13"/>
    </row>
    <row r="8291" spans="12:13" x14ac:dyDescent="0.2">
      <c r="L8291" s="12"/>
      <c r="M8291" s="13"/>
    </row>
    <row r="8292" spans="12:13" x14ac:dyDescent="0.2">
      <c r="L8292" s="12"/>
      <c r="M8292" s="13"/>
    </row>
    <row r="8293" spans="12:13" x14ac:dyDescent="0.2">
      <c r="L8293" s="12"/>
      <c r="M8293" s="13"/>
    </row>
    <row r="8294" spans="12:13" x14ac:dyDescent="0.2">
      <c r="L8294" s="12"/>
      <c r="M8294" s="13"/>
    </row>
    <row r="8295" spans="12:13" x14ac:dyDescent="0.2">
      <c r="L8295" s="12"/>
      <c r="M8295" s="13"/>
    </row>
    <row r="8296" spans="12:13" x14ac:dyDescent="0.2">
      <c r="L8296" s="12"/>
      <c r="M8296" s="13"/>
    </row>
    <row r="8297" spans="12:13" x14ac:dyDescent="0.2">
      <c r="L8297" s="12"/>
      <c r="M8297" s="13"/>
    </row>
    <row r="8298" spans="12:13" x14ac:dyDescent="0.2">
      <c r="L8298" s="12"/>
      <c r="M8298" s="13"/>
    </row>
    <row r="8299" spans="12:13" x14ac:dyDescent="0.2">
      <c r="L8299" s="12"/>
      <c r="M8299" s="13"/>
    </row>
    <row r="8300" spans="12:13" x14ac:dyDescent="0.2">
      <c r="L8300" s="12"/>
      <c r="M8300" s="13"/>
    </row>
    <row r="8301" spans="12:13" x14ac:dyDescent="0.2">
      <c r="L8301" s="12"/>
      <c r="M8301" s="13"/>
    </row>
    <row r="8302" spans="12:13" x14ac:dyDescent="0.2">
      <c r="L8302" s="12"/>
      <c r="M8302" s="13"/>
    </row>
    <row r="8303" spans="12:13" x14ac:dyDescent="0.2">
      <c r="L8303" s="12"/>
      <c r="M8303" s="13"/>
    </row>
    <row r="8304" spans="12:13" x14ac:dyDescent="0.2">
      <c r="L8304" s="12"/>
      <c r="M8304" s="13"/>
    </row>
    <row r="8305" spans="12:13" x14ac:dyDescent="0.2">
      <c r="L8305" s="12"/>
      <c r="M8305" s="13"/>
    </row>
    <row r="8306" spans="12:13" x14ac:dyDescent="0.2">
      <c r="L8306" s="12"/>
      <c r="M8306" s="13"/>
    </row>
    <row r="8307" spans="12:13" x14ac:dyDescent="0.2">
      <c r="L8307" s="12"/>
      <c r="M8307" s="13"/>
    </row>
    <row r="8308" spans="12:13" x14ac:dyDescent="0.2">
      <c r="L8308" s="12"/>
      <c r="M8308" s="13"/>
    </row>
    <row r="8309" spans="12:13" x14ac:dyDescent="0.2">
      <c r="L8309" s="12"/>
      <c r="M8309" s="13"/>
    </row>
    <row r="8310" spans="12:13" x14ac:dyDescent="0.2">
      <c r="L8310" s="12"/>
      <c r="M8310" s="13"/>
    </row>
    <row r="8311" spans="12:13" x14ac:dyDescent="0.2">
      <c r="L8311" s="12"/>
      <c r="M8311" s="13"/>
    </row>
    <row r="8312" spans="12:13" x14ac:dyDescent="0.2">
      <c r="L8312" s="12"/>
      <c r="M8312" s="13"/>
    </row>
    <row r="8313" spans="12:13" x14ac:dyDescent="0.2">
      <c r="L8313" s="12"/>
      <c r="M8313" s="13"/>
    </row>
    <row r="8314" spans="12:13" x14ac:dyDescent="0.2">
      <c r="L8314" s="12"/>
      <c r="M8314" s="13"/>
    </row>
    <row r="8315" spans="12:13" x14ac:dyDescent="0.2">
      <c r="L8315" s="12"/>
      <c r="M8315" s="13"/>
    </row>
    <row r="8316" spans="12:13" x14ac:dyDescent="0.2">
      <c r="L8316" s="12"/>
      <c r="M8316" s="13"/>
    </row>
    <row r="8317" spans="12:13" x14ac:dyDescent="0.2">
      <c r="L8317" s="12"/>
      <c r="M8317" s="13"/>
    </row>
    <row r="8318" spans="12:13" x14ac:dyDescent="0.2">
      <c r="L8318" s="12"/>
      <c r="M8318" s="13"/>
    </row>
    <row r="8319" spans="12:13" x14ac:dyDescent="0.2">
      <c r="L8319" s="12"/>
      <c r="M8319" s="13"/>
    </row>
    <row r="8320" spans="12:13" x14ac:dyDescent="0.2">
      <c r="L8320" s="12"/>
      <c r="M8320" s="13"/>
    </row>
    <row r="8321" spans="12:13" x14ac:dyDescent="0.2">
      <c r="L8321" s="12"/>
      <c r="M8321" s="13"/>
    </row>
    <row r="8322" spans="12:13" x14ac:dyDescent="0.2">
      <c r="L8322" s="12"/>
      <c r="M8322" s="13"/>
    </row>
    <row r="8323" spans="12:13" x14ac:dyDescent="0.2">
      <c r="L8323" s="12"/>
      <c r="M8323" s="13"/>
    </row>
    <row r="8324" spans="12:13" x14ac:dyDescent="0.2">
      <c r="L8324" s="12"/>
      <c r="M8324" s="13"/>
    </row>
    <row r="8325" spans="12:13" x14ac:dyDescent="0.2">
      <c r="L8325" s="12"/>
      <c r="M8325" s="13"/>
    </row>
    <row r="8326" spans="12:13" x14ac:dyDescent="0.2">
      <c r="L8326" s="12"/>
      <c r="M8326" s="13"/>
    </row>
    <row r="8327" spans="12:13" x14ac:dyDescent="0.2">
      <c r="L8327" s="12"/>
      <c r="M8327" s="13"/>
    </row>
    <row r="8328" spans="12:13" x14ac:dyDescent="0.2">
      <c r="L8328" s="12"/>
      <c r="M8328" s="13"/>
    </row>
    <row r="8329" spans="12:13" x14ac:dyDescent="0.2">
      <c r="L8329" s="12"/>
      <c r="M8329" s="13"/>
    </row>
    <row r="8330" spans="12:13" x14ac:dyDescent="0.2">
      <c r="L8330" s="12"/>
      <c r="M8330" s="13"/>
    </row>
    <row r="8331" spans="12:13" x14ac:dyDescent="0.2">
      <c r="L8331" s="12"/>
      <c r="M8331" s="13"/>
    </row>
    <row r="8332" spans="12:13" x14ac:dyDescent="0.2">
      <c r="L8332" s="12"/>
      <c r="M8332" s="13"/>
    </row>
    <row r="8333" spans="12:13" x14ac:dyDescent="0.2">
      <c r="L8333" s="12"/>
      <c r="M8333" s="13"/>
    </row>
    <row r="8334" spans="12:13" x14ac:dyDescent="0.2">
      <c r="L8334" s="12"/>
      <c r="M8334" s="13"/>
    </row>
    <row r="8335" spans="12:13" x14ac:dyDescent="0.2">
      <c r="L8335" s="12"/>
      <c r="M8335" s="13"/>
    </row>
    <row r="8336" spans="12:13" x14ac:dyDescent="0.2">
      <c r="L8336" s="12"/>
      <c r="M8336" s="13"/>
    </row>
    <row r="8337" spans="12:13" x14ac:dyDescent="0.2">
      <c r="L8337" s="12"/>
      <c r="M8337" s="13"/>
    </row>
    <row r="8338" spans="12:13" x14ac:dyDescent="0.2">
      <c r="L8338" s="12"/>
      <c r="M8338" s="13"/>
    </row>
    <row r="8339" spans="12:13" x14ac:dyDescent="0.2">
      <c r="L8339" s="12"/>
      <c r="M8339" s="13"/>
    </row>
    <row r="8340" spans="12:13" x14ac:dyDescent="0.2">
      <c r="L8340" s="12"/>
      <c r="M8340" s="13"/>
    </row>
    <row r="8341" spans="12:13" x14ac:dyDescent="0.2">
      <c r="L8341" s="12"/>
      <c r="M8341" s="13"/>
    </row>
    <row r="8342" spans="12:13" x14ac:dyDescent="0.2">
      <c r="L8342" s="12"/>
      <c r="M8342" s="13"/>
    </row>
    <row r="8343" spans="12:13" x14ac:dyDescent="0.2">
      <c r="L8343" s="12"/>
      <c r="M8343" s="13"/>
    </row>
    <row r="8344" spans="12:13" x14ac:dyDescent="0.2">
      <c r="L8344" s="12"/>
      <c r="M8344" s="13"/>
    </row>
    <row r="8345" spans="12:13" x14ac:dyDescent="0.2">
      <c r="L8345" s="12"/>
      <c r="M8345" s="13"/>
    </row>
    <row r="8346" spans="12:13" x14ac:dyDescent="0.2">
      <c r="L8346" s="12"/>
      <c r="M8346" s="13"/>
    </row>
    <row r="8347" spans="12:13" x14ac:dyDescent="0.2">
      <c r="L8347" s="12"/>
      <c r="M8347" s="13"/>
    </row>
    <row r="8348" spans="12:13" x14ac:dyDescent="0.2">
      <c r="L8348" s="12"/>
      <c r="M8348" s="13"/>
    </row>
    <row r="8349" spans="12:13" x14ac:dyDescent="0.2">
      <c r="L8349" s="12"/>
      <c r="M8349" s="13"/>
    </row>
    <row r="8350" spans="12:13" x14ac:dyDescent="0.2">
      <c r="L8350" s="12"/>
      <c r="M8350" s="13"/>
    </row>
    <row r="8351" spans="12:13" x14ac:dyDescent="0.2">
      <c r="L8351" s="12"/>
      <c r="M8351" s="13"/>
    </row>
    <row r="8352" spans="12:13" x14ac:dyDescent="0.2">
      <c r="L8352" s="12"/>
      <c r="M8352" s="13"/>
    </row>
    <row r="8353" spans="12:13" x14ac:dyDescent="0.2">
      <c r="L8353" s="12"/>
      <c r="M8353" s="13"/>
    </row>
    <row r="8354" spans="12:13" x14ac:dyDescent="0.2">
      <c r="L8354" s="12"/>
      <c r="M8354" s="13"/>
    </row>
    <row r="8355" spans="12:13" x14ac:dyDescent="0.2">
      <c r="L8355" s="12"/>
      <c r="M8355" s="13"/>
    </row>
    <row r="8356" spans="12:13" x14ac:dyDescent="0.2">
      <c r="L8356" s="12"/>
      <c r="M8356" s="13"/>
    </row>
    <row r="8357" spans="12:13" x14ac:dyDescent="0.2">
      <c r="L8357" s="12"/>
      <c r="M8357" s="13"/>
    </row>
    <row r="8358" spans="12:13" x14ac:dyDescent="0.2">
      <c r="L8358" s="12"/>
      <c r="M8358" s="13"/>
    </row>
    <row r="8359" spans="12:13" x14ac:dyDescent="0.2">
      <c r="L8359" s="12"/>
      <c r="M8359" s="13"/>
    </row>
    <row r="8360" spans="12:13" x14ac:dyDescent="0.2">
      <c r="L8360" s="12"/>
      <c r="M8360" s="13"/>
    </row>
    <row r="8361" spans="12:13" x14ac:dyDescent="0.2">
      <c r="L8361" s="12"/>
      <c r="M8361" s="13"/>
    </row>
    <row r="8362" spans="12:13" x14ac:dyDescent="0.2">
      <c r="L8362" s="12"/>
      <c r="M8362" s="13"/>
    </row>
    <row r="8363" spans="12:13" x14ac:dyDescent="0.2">
      <c r="L8363" s="12"/>
      <c r="M8363" s="13"/>
    </row>
    <row r="8364" spans="12:13" x14ac:dyDescent="0.2">
      <c r="L8364" s="12"/>
      <c r="M8364" s="13"/>
    </row>
    <row r="8365" spans="12:13" x14ac:dyDescent="0.2">
      <c r="L8365" s="12"/>
      <c r="M8365" s="13"/>
    </row>
    <row r="8366" spans="12:13" x14ac:dyDescent="0.2">
      <c r="L8366" s="12"/>
      <c r="M8366" s="13"/>
    </row>
    <row r="8367" spans="12:13" x14ac:dyDescent="0.2">
      <c r="L8367" s="12"/>
      <c r="M8367" s="13"/>
    </row>
    <row r="8368" spans="12:13" x14ac:dyDescent="0.2">
      <c r="L8368" s="12"/>
      <c r="M8368" s="13"/>
    </row>
    <row r="8369" spans="12:13" x14ac:dyDescent="0.2">
      <c r="L8369" s="12"/>
      <c r="M8369" s="13"/>
    </row>
    <row r="8370" spans="12:13" x14ac:dyDescent="0.2">
      <c r="L8370" s="12"/>
      <c r="M8370" s="13"/>
    </row>
    <row r="8371" spans="12:13" x14ac:dyDescent="0.2">
      <c r="L8371" s="12"/>
      <c r="M8371" s="13"/>
    </row>
    <row r="8372" spans="12:13" x14ac:dyDescent="0.2">
      <c r="L8372" s="12"/>
      <c r="M8372" s="13"/>
    </row>
    <row r="8373" spans="12:13" x14ac:dyDescent="0.2">
      <c r="L8373" s="12"/>
      <c r="M8373" s="13"/>
    </row>
    <row r="8374" spans="12:13" x14ac:dyDescent="0.2">
      <c r="L8374" s="12"/>
      <c r="M8374" s="13"/>
    </row>
    <row r="8375" spans="12:13" x14ac:dyDescent="0.2">
      <c r="L8375" s="12"/>
      <c r="M8375" s="13"/>
    </row>
    <row r="8376" spans="12:13" x14ac:dyDescent="0.2">
      <c r="L8376" s="12"/>
      <c r="M8376" s="13"/>
    </row>
    <row r="8377" spans="12:13" x14ac:dyDescent="0.2">
      <c r="L8377" s="12"/>
      <c r="M8377" s="13"/>
    </row>
    <row r="8378" spans="12:13" x14ac:dyDescent="0.2">
      <c r="L8378" s="12"/>
      <c r="M8378" s="13"/>
    </row>
    <row r="8379" spans="12:13" x14ac:dyDescent="0.2">
      <c r="L8379" s="12"/>
      <c r="M8379" s="13"/>
    </row>
    <row r="8380" spans="12:13" x14ac:dyDescent="0.2">
      <c r="L8380" s="12"/>
      <c r="M8380" s="13"/>
    </row>
    <row r="8381" spans="12:13" x14ac:dyDescent="0.2">
      <c r="L8381" s="12"/>
      <c r="M8381" s="13"/>
    </row>
    <row r="8382" spans="12:13" x14ac:dyDescent="0.2">
      <c r="L8382" s="12"/>
      <c r="M8382" s="13"/>
    </row>
    <row r="8383" spans="12:13" x14ac:dyDescent="0.2">
      <c r="L8383" s="12"/>
      <c r="M8383" s="13"/>
    </row>
    <row r="8384" spans="12:13" x14ac:dyDescent="0.2">
      <c r="L8384" s="12"/>
      <c r="M8384" s="13"/>
    </row>
    <row r="8385" spans="12:13" x14ac:dyDescent="0.2">
      <c r="L8385" s="12"/>
      <c r="M8385" s="13"/>
    </row>
    <row r="8386" spans="12:13" x14ac:dyDescent="0.2">
      <c r="L8386" s="12"/>
      <c r="M8386" s="13"/>
    </row>
    <row r="8387" spans="12:13" x14ac:dyDescent="0.2">
      <c r="L8387" s="12"/>
      <c r="M8387" s="13"/>
    </row>
    <row r="8388" spans="12:13" x14ac:dyDescent="0.2">
      <c r="L8388" s="12"/>
      <c r="M8388" s="13"/>
    </row>
    <row r="8389" spans="12:13" x14ac:dyDescent="0.2">
      <c r="L8389" s="12"/>
      <c r="M8389" s="13"/>
    </row>
    <row r="8390" spans="12:13" x14ac:dyDescent="0.2">
      <c r="L8390" s="12"/>
      <c r="M8390" s="13"/>
    </row>
    <row r="8391" spans="12:13" x14ac:dyDescent="0.2">
      <c r="L8391" s="12"/>
      <c r="M8391" s="13"/>
    </row>
    <row r="8392" spans="12:13" x14ac:dyDescent="0.2">
      <c r="L8392" s="12"/>
      <c r="M8392" s="13"/>
    </row>
    <row r="8393" spans="12:13" x14ac:dyDescent="0.2">
      <c r="L8393" s="12"/>
      <c r="M8393" s="13"/>
    </row>
    <row r="8394" spans="12:13" x14ac:dyDescent="0.2">
      <c r="L8394" s="12"/>
      <c r="M8394" s="13"/>
    </row>
    <row r="8395" spans="12:13" x14ac:dyDescent="0.2">
      <c r="L8395" s="12"/>
      <c r="M8395" s="13"/>
    </row>
    <row r="8396" spans="12:13" x14ac:dyDescent="0.2">
      <c r="L8396" s="12"/>
      <c r="M8396" s="13"/>
    </row>
    <row r="8397" spans="12:13" x14ac:dyDescent="0.2">
      <c r="L8397" s="12"/>
      <c r="M8397" s="13"/>
    </row>
    <row r="8398" spans="12:13" x14ac:dyDescent="0.2">
      <c r="L8398" s="12"/>
      <c r="M8398" s="13"/>
    </row>
    <row r="8399" spans="12:13" x14ac:dyDescent="0.2">
      <c r="L8399" s="12"/>
      <c r="M8399" s="13"/>
    </row>
    <row r="8400" spans="12:13" x14ac:dyDescent="0.2">
      <c r="L8400" s="12"/>
      <c r="M8400" s="13"/>
    </row>
    <row r="8401" spans="12:13" x14ac:dyDescent="0.2">
      <c r="L8401" s="12"/>
      <c r="M8401" s="13"/>
    </row>
    <row r="8402" spans="12:13" x14ac:dyDescent="0.2">
      <c r="L8402" s="12"/>
      <c r="M8402" s="13"/>
    </row>
    <row r="8403" spans="12:13" x14ac:dyDescent="0.2">
      <c r="L8403" s="12"/>
      <c r="M8403" s="13"/>
    </row>
    <row r="8404" spans="12:13" x14ac:dyDescent="0.2">
      <c r="L8404" s="12"/>
      <c r="M8404" s="13"/>
    </row>
    <row r="8405" spans="12:13" x14ac:dyDescent="0.2">
      <c r="L8405" s="12"/>
      <c r="M8405" s="13"/>
    </row>
    <row r="8406" spans="12:13" x14ac:dyDescent="0.2">
      <c r="L8406" s="12"/>
      <c r="M8406" s="13"/>
    </row>
    <row r="8407" spans="12:13" x14ac:dyDescent="0.2">
      <c r="L8407" s="12"/>
      <c r="M8407" s="13"/>
    </row>
    <row r="8408" spans="12:13" x14ac:dyDescent="0.2">
      <c r="L8408" s="12"/>
      <c r="M8408" s="13"/>
    </row>
    <row r="8409" spans="12:13" x14ac:dyDescent="0.2">
      <c r="L8409" s="12"/>
      <c r="M8409" s="13"/>
    </row>
    <row r="8410" spans="12:13" x14ac:dyDescent="0.2">
      <c r="L8410" s="12"/>
      <c r="M8410" s="13"/>
    </row>
    <row r="8411" spans="12:13" x14ac:dyDescent="0.2">
      <c r="L8411" s="12"/>
      <c r="M8411" s="13"/>
    </row>
    <row r="8412" spans="12:13" x14ac:dyDescent="0.2">
      <c r="L8412" s="12"/>
      <c r="M8412" s="13"/>
    </row>
    <row r="8413" spans="12:13" x14ac:dyDescent="0.2">
      <c r="L8413" s="12"/>
      <c r="M8413" s="13"/>
    </row>
    <row r="8414" spans="12:13" x14ac:dyDescent="0.2">
      <c r="L8414" s="12"/>
      <c r="M8414" s="13"/>
    </row>
    <row r="8415" spans="12:13" x14ac:dyDescent="0.2">
      <c r="L8415" s="12"/>
      <c r="M8415" s="13"/>
    </row>
    <row r="8416" spans="12:13" x14ac:dyDescent="0.2">
      <c r="L8416" s="12"/>
      <c r="M8416" s="13"/>
    </row>
    <row r="8417" spans="12:13" x14ac:dyDescent="0.2">
      <c r="L8417" s="12"/>
      <c r="M8417" s="13"/>
    </row>
    <row r="8418" spans="12:13" x14ac:dyDescent="0.2">
      <c r="L8418" s="12"/>
      <c r="M8418" s="13"/>
    </row>
    <row r="8419" spans="12:13" x14ac:dyDescent="0.2">
      <c r="L8419" s="12"/>
      <c r="M8419" s="13"/>
    </row>
    <row r="8420" spans="12:13" x14ac:dyDescent="0.2">
      <c r="L8420" s="12"/>
      <c r="M8420" s="13"/>
    </row>
    <row r="8421" spans="12:13" x14ac:dyDescent="0.2">
      <c r="L8421" s="12"/>
      <c r="M8421" s="13"/>
    </row>
    <row r="8422" spans="12:13" x14ac:dyDescent="0.2">
      <c r="L8422" s="12"/>
      <c r="M8422" s="13"/>
    </row>
    <row r="8423" spans="12:13" x14ac:dyDescent="0.2">
      <c r="L8423" s="12"/>
      <c r="M8423" s="13"/>
    </row>
    <row r="8424" spans="12:13" x14ac:dyDescent="0.2">
      <c r="L8424" s="12"/>
      <c r="M8424" s="13"/>
    </row>
    <row r="8425" spans="12:13" x14ac:dyDescent="0.2">
      <c r="L8425" s="12"/>
      <c r="M8425" s="13"/>
    </row>
    <row r="8426" spans="12:13" x14ac:dyDescent="0.2">
      <c r="L8426" s="12"/>
      <c r="M8426" s="13"/>
    </row>
    <row r="8427" spans="12:13" x14ac:dyDescent="0.2">
      <c r="L8427" s="12"/>
      <c r="M8427" s="13"/>
    </row>
    <row r="8428" spans="12:13" x14ac:dyDescent="0.2">
      <c r="L8428" s="12"/>
      <c r="M8428" s="13"/>
    </row>
    <row r="8429" spans="12:13" x14ac:dyDescent="0.2">
      <c r="L8429" s="12"/>
      <c r="M8429" s="13"/>
    </row>
    <row r="8430" spans="12:13" x14ac:dyDescent="0.2">
      <c r="L8430" s="12"/>
      <c r="M8430" s="13"/>
    </row>
    <row r="8431" spans="12:13" x14ac:dyDescent="0.2">
      <c r="L8431" s="12"/>
      <c r="M8431" s="13"/>
    </row>
    <row r="8432" spans="12:13" x14ac:dyDescent="0.2">
      <c r="L8432" s="12"/>
      <c r="M8432" s="13"/>
    </row>
    <row r="8433" spans="12:13" x14ac:dyDescent="0.2">
      <c r="L8433" s="12"/>
      <c r="M8433" s="13"/>
    </row>
    <row r="8434" spans="12:13" x14ac:dyDescent="0.2">
      <c r="L8434" s="12"/>
      <c r="M8434" s="13"/>
    </row>
    <row r="8435" spans="12:13" x14ac:dyDescent="0.2">
      <c r="L8435" s="12"/>
      <c r="M8435" s="13"/>
    </row>
    <row r="8436" spans="12:13" x14ac:dyDescent="0.2">
      <c r="L8436" s="12"/>
      <c r="M8436" s="13"/>
    </row>
    <row r="8437" spans="12:13" x14ac:dyDescent="0.2">
      <c r="L8437" s="12"/>
      <c r="M8437" s="13"/>
    </row>
    <row r="8438" spans="12:13" x14ac:dyDescent="0.2">
      <c r="L8438" s="12"/>
      <c r="M8438" s="13"/>
    </row>
    <row r="8439" spans="12:13" x14ac:dyDescent="0.2">
      <c r="L8439" s="12"/>
      <c r="M8439" s="13"/>
    </row>
    <row r="8440" spans="12:13" x14ac:dyDescent="0.2">
      <c r="L8440" s="12"/>
      <c r="M8440" s="13"/>
    </row>
    <row r="8441" spans="12:13" x14ac:dyDescent="0.2">
      <c r="L8441" s="12"/>
      <c r="M8441" s="13"/>
    </row>
    <row r="8442" spans="12:13" x14ac:dyDescent="0.2">
      <c r="L8442" s="12"/>
      <c r="M8442" s="13"/>
    </row>
    <row r="8443" spans="12:13" x14ac:dyDescent="0.2">
      <c r="L8443" s="12"/>
      <c r="M8443" s="13"/>
    </row>
    <row r="8444" spans="12:13" x14ac:dyDescent="0.2">
      <c r="L8444" s="12"/>
      <c r="M8444" s="13"/>
    </row>
    <row r="8445" spans="12:13" x14ac:dyDescent="0.2">
      <c r="L8445" s="12"/>
      <c r="M8445" s="13"/>
    </row>
    <row r="8446" spans="12:13" x14ac:dyDescent="0.2">
      <c r="L8446" s="12"/>
      <c r="M8446" s="13"/>
    </row>
    <row r="8447" spans="12:13" x14ac:dyDescent="0.2">
      <c r="L8447" s="12"/>
      <c r="M8447" s="13"/>
    </row>
    <row r="8448" spans="12:13" x14ac:dyDescent="0.2">
      <c r="L8448" s="12"/>
      <c r="M8448" s="13"/>
    </row>
    <row r="8449" spans="12:13" x14ac:dyDescent="0.2">
      <c r="L8449" s="12"/>
      <c r="M8449" s="13"/>
    </row>
    <row r="8450" spans="12:13" x14ac:dyDescent="0.2">
      <c r="L8450" s="17"/>
      <c r="M8450" s="18"/>
    </row>
    <row r="8451" spans="12:13" x14ac:dyDescent="0.2">
      <c r="L8451" s="12"/>
      <c r="M8451" s="13"/>
    </row>
    <row r="8452" spans="12:13" x14ac:dyDescent="0.2">
      <c r="L8452" s="12"/>
      <c r="M8452" s="13"/>
    </row>
    <row r="8453" spans="12:13" x14ac:dyDescent="0.2">
      <c r="L8453" s="12"/>
      <c r="M8453" s="13"/>
    </row>
    <row r="8454" spans="12:13" x14ac:dyDescent="0.2">
      <c r="L8454" s="12"/>
      <c r="M8454" s="13"/>
    </row>
    <row r="8455" spans="12:13" x14ac:dyDescent="0.2">
      <c r="L8455" s="12"/>
      <c r="M8455" s="13"/>
    </row>
    <row r="8456" spans="12:13" x14ac:dyDescent="0.2">
      <c r="L8456" s="12"/>
      <c r="M8456" s="13"/>
    </row>
    <row r="8457" spans="12:13" x14ac:dyDescent="0.2">
      <c r="L8457" s="12"/>
      <c r="M8457" s="13"/>
    </row>
    <row r="8458" spans="12:13" x14ac:dyDescent="0.2">
      <c r="L8458" s="12"/>
      <c r="M8458" s="13"/>
    </row>
    <row r="8459" spans="12:13" x14ac:dyDescent="0.2">
      <c r="L8459" s="12"/>
      <c r="M8459" s="13"/>
    </row>
    <row r="8460" spans="12:13" x14ac:dyDescent="0.2">
      <c r="L8460" s="12"/>
      <c r="M8460" s="13"/>
    </row>
    <row r="8461" spans="12:13" x14ac:dyDescent="0.2">
      <c r="L8461" s="12"/>
      <c r="M8461" s="13"/>
    </row>
    <row r="8462" spans="12:13" x14ac:dyDescent="0.2">
      <c r="L8462" s="12"/>
      <c r="M8462" s="13"/>
    </row>
    <row r="8463" spans="12:13" x14ac:dyDescent="0.2">
      <c r="L8463" s="12"/>
      <c r="M8463" s="13"/>
    </row>
    <row r="8464" spans="12:13" x14ac:dyDescent="0.2">
      <c r="L8464" s="12"/>
      <c r="M8464" s="13"/>
    </row>
    <row r="8465" spans="12:13" x14ac:dyDescent="0.2">
      <c r="L8465" s="12"/>
      <c r="M8465" s="13"/>
    </row>
    <row r="8466" spans="12:13" x14ac:dyDescent="0.2">
      <c r="L8466" s="12"/>
      <c r="M8466" s="13"/>
    </row>
    <row r="8467" spans="12:13" x14ac:dyDescent="0.2">
      <c r="L8467" s="12"/>
      <c r="M8467" s="13"/>
    </row>
    <row r="8468" spans="12:13" x14ac:dyDescent="0.2">
      <c r="L8468" s="12"/>
      <c r="M8468" s="13"/>
    </row>
    <row r="8469" spans="12:13" x14ac:dyDescent="0.2">
      <c r="L8469" s="12"/>
      <c r="M8469" s="13"/>
    </row>
    <row r="8470" spans="12:13" x14ac:dyDescent="0.2">
      <c r="L8470" s="12"/>
      <c r="M8470" s="13"/>
    </row>
    <row r="8471" spans="12:13" x14ac:dyDescent="0.2">
      <c r="L8471" s="12"/>
      <c r="M8471" s="13"/>
    </row>
    <row r="8472" spans="12:13" x14ac:dyDescent="0.2">
      <c r="L8472" s="12"/>
      <c r="M8472" s="13"/>
    </row>
    <row r="8473" spans="12:13" x14ac:dyDescent="0.2">
      <c r="L8473" s="12"/>
      <c r="M8473" s="13"/>
    </row>
    <row r="8474" spans="12:13" x14ac:dyDescent="0.2">
      <c r="L8474" s="12"/>
      <c r="M8474" s="13"/>
    </row>
    <row r="8475" spans="12:13" x14ac:dyDescent="0.2">
      <c r="L8475" s="12"/>
      <c r="M8475" s="13"/>
    </row>
    <row r="8476" spans="12:13" x14ac:dyDescent="0.2">
      <c r="L8476" s="12"/>
      <c r="M8476" s="13"/>
    </row>
    <row r="8477" spans="12:13" x14ac:dyDescent="0.2">
      <c r="L8477" s="12"/>
      <c r="M8477" s="13"/>
    </row>
    <row r="8478" spans="12:13" x14ac:dyDescent="0.2">
      <c r="L8478" s="12"/>
      <c r="M8478" s="13"/>
    </row>
    <row r="8479" spans="12:13" x14ac:dyDescent="0.2">
      <c r="L8479" s="12"/>
      <c r="M8479" s="13"/>
    </row>
    <row r="8480" spans="12:13" x14ac:dyDescent="0.2">
      <c r="L8480" s="12"/>
      <c r="M8480" s="13"/>
    </row>
    <row r="8481" spans="12:13" x14ac:dyDescent="0.2">
      <c r="L8481" s="12"/>
      <c r="M8481" s="13"/>
    </row>
    <row r="8482" spans="12:13" x14ac:dyDescent="0.2">
      <c r="L8482" s="12"/>
      <c r="M8482" s="13"/>
    </row>
    <row r="8483" spans="12:13" x14ac:dyDescent="0.2">
      <c r="L8483" s="12"/>
      <c r="M8483" s="13"/>
    </row>
    <row r="8484" spans="12:13" x14ac:dyDescent="0.2">
      <c r="L8484" s="12"/>
      <c r="M8484" s="13"/>
    </row>
    <row r="8485" spans="12:13" x14ac:dyDescent="0.2">
      <c r="L8485" s="12"/>
      <c r="M8485" s="13"/>
    </row>
    <row r="8486" spans="12:13" x14ac:dyDescent="0.2">
      <c r="L8486" s="12"/>
      <c r="M8486" s="13"/>
    </row>
    <row r="8487" spans="12:13" x14ac:dyDescent="0.2">
      <c r="L8487" s="12"/>
      <c r="M8487" s="13"/>
    </row>
    <row r="8488" spans="12:13" x14ac:dyDescent="0.2">
      <c r="L8488" s="12"/>
      <c r="M8488" s="13"/>
    </row>
    <row r="8489" spans="12:13" x14ac:dyDescent="0.2">
      <c r="L8489" s="12"/>
      <c r="M8489" s="13"/>
    </row>
    <row r="8490" spans="12:13" x14ac:dyDescent="0.2">
      <c r="L8490" s="12"/>
      <c r="M8490" s="13"/>
    </row>
    <row r="8491" spans="12:13" x14ac:dyDescent="0.2">
      <c r="L8491" s="12"/>
      <c r="M8491" s="13"/>
    </row>
    <row r="8492" spans="12:13" x14ac:dyDescent="0.2">
      <c r="L8492" s="12"/>
      <c r="M8492" s="13"/>
    </row>
    <row r="8493" spans="12:13" x14ac:dyDescent="0.2">
      <c r="L8493" s="12"/>
      <c r="M8493" s="13"/>
    </row>
    <row r="8494" spans="12:13" x14ac:dyDescent="0.2">
      <c r="L8494" s="12"/>
      <c r="M8494" s="13"/>
    </row>
    <row r="8495" spans="12:13" x14ac:dyDescent="0.2">
      <c r="L8495" s="12"/>
      <c r="M8495" s="13"/>
    </row>
    <row r="8496" spans="12:13" x14ac:dyDescent="0.2">
      <c r="L8496" s="12"/>
      <c r="M8496" s="13"/>
    </row>
    <row r="8497" spans="12:13" x14ac:dyDescent="0.2">
      <c r="L8497" s="12"/>
      <c r="M8497" s="13"/>
    </row>
    <row r="8498" spans="12:13" x14ac:dyDescent="0.2">
      <c r="L8498" s="12"/>
      <c r="M8498" s="13"/>
    </row>
    <row r="8499" spans="12:13" x14ac:dyDescent="0.2">
      <c r="L8499" s="12"/>
      <c r="M8499" s="13"/>
    </row>
    <row r="8500" spans="12:13" x14ac:dyDescent="0.2">
      <c r="L8500" s="12"/>
      <c r="M8500" s="13"/>
    </row>
    <row r="8501" spans="12:13" x14ac:dyDescent="0.2">
      <c r="L8501" s="12"/>
      <c r="M8501" s="13"/>
    </row>
    <row r="8502" spans="12:13" x14ac:dyDescent="0.2">
      <c r="L8502" s="12"/>
      <c r="M8502" s="13"/>
    </row>
    <row r="8503" spans="12:13" x14ac:dyDescent="0.2">
      <c r="L8503" s="12"/>
      <c r="M8503" s="13"/>
    </row>
    <row r="8504" spans="12:13" x14ac:dyDescent="0.2">
      <c r="L8504" s="12"/>
      <c r="M8504" s="13"/>
    </row>
    <row r="8505" spans="12:13" x14ac:dyDescent="0.2">
      <c r="L8505" s="12"/>
      <c r="M8505" s="13"/>
    </row>
    <row r="8506" spans="12:13" x14ac:dyDescent="0.2">
      <c r="L8506" s="12"/>
      <c r="M8506" s="13"/>
    </row>
    <row r="8507" spans="12:13" x14ac:dyDescent="0.2">
      <c r="L8507" s="12"/>
      <c r="M8507" s="13"/>
    </row>
    <row r="8508" spans="12:13" x14ac:dyDescent="0.2">
      <c r="L8508" s="12"/>
      <c r="M8508" s="13"/>
    </row>
    <row r="8509" spans="12:13" x14ac:dyDescent="0.2">
      <c r="L8509" s="12"/>
      <c r="M8509" s="13"/>
    </row>
    <row r="8510" spans="12:13" x14ac:dyDescent="0.2">
      <c r="L8510" s="12"/>
      <c r="M8510" s="13"/>
    </row>
    <row r="8511" spans="12:13" x14ac:dyDescent="0.2">
      <c r="L8511" s="12"/>
      <c r="M8511" s="13"/>
    </row>
    <row r="8512" spans="12:13" x14ac:dyDescent="0.2">
      <c r="L8512" s="12"/>
      <c r="M8512" s="13"/>
    </row>
    <row r="8513" spans="12:13" x14ac:dyDescent="0.2">
      <c r="L8513" s="12"/>
      <c r="M8513" s="13"/>
    </row>
    <row r="8514" spans="12:13" x14ac:dyDescent="0.2">
      <c r="L8514" s="12"/>
      <c r="M8514" s="13"/>
    </row>
    <row r="8515" spans="12:13" x14ac:dyDescent="0.2">
      <c r="L8515" s="12"/>
      <c r="M8515" s="13"/>
    </row>
    <row r="8516" spans="12:13" x14ac:dyDescent="0.2">
      <c r="L8516" s="12"/>
      <c r="M8516" s="13"/>
    </row>
    <row r="8517" spans="12:13" x14ac:dyDescent="0.2">
      <c r="L8517" s="12"/>
      <c r="M8517" s="13"/>
    </row>
    <row r="8518" spans="12:13" x14ac:dyDescent="0.2">
      <c r="L8518" s="12"/>
      <c r="M8518" s="13"/>
    </row>
    <row r="8519" spans="12:13" x14ac:dyDescent="0.2">
      <c r="L8519" s="12"/>
      <c r="M8519" s="13"/>
    </row>
    <row r="8520" spans="12:13" x14ac:dyDescent="0.2">
      <c r="L8520" s="12"/>
      <c r="M8520" s="13"/>
    </row>
    <row r="8521" spans="12:13" x14ac:dyDescent="0.2">
      <c r="L8521" s="12"/>
      <c r="M8521" s="13"/>
    </row>
    <row r="8522" spans="12:13" x14ac:dyDescent="0.2">
      <c r="L8522" s="12"/>
      <c r="M8522" s="13"/>
    </row>
    <row r="8523" spans="12:13" x14ac:dyDescent="0.2">
      <c r="L8523" s="12"/>
      <c r="M8523" s="13"/>
    </row>
    <row r="8524" spans="12:13" x14ac:dyDescent="0.2">
      <c r="L8524" s="12"/>
      <c r="M8524" s="13"/>
    </row>
    <row r="8525" spans="12:13" x14ac:dyDescent="0.2">
      <c r="L8525" s="12"/>
      <c r="M8525" s="13"/>
    </row>
    <row r="8526" spans="12:13" x14ac:dyDescent="0.2">
      <c r="L8526" s="12"/>
      <c r="M8526" s="13"/>
    </row>
    <row r="8527" spans="12:13" x14ac:dyDescent="0.2">
      <c r="L8527" s="12"/>
      <c r="M8527" s="13"/>
    </row>
    <row r="8528" spans="12:13" x14ac:dyDescent="0.2">
      <c r="L8528" s="12"/>
      <c r="M8528" s="13"/>
    </row>
    <row r="8529" spans="12:13" x14ac:dyDescent="0.2">
      <c r="L8529" s="12"/>
      <c r="M8529" s="13"/>
    </row>
    <row r="8530" spans="12:13" x14ac:dyDescent="0.2">
      <c r="L8530" s="12"/>
      <c r="M8530" s="13"/>
    </row>
    <row r="8531" spans="12:13" x14ac:dyDescent="0.2">
      <c r="L8531" s="12"/>
      <c r="M8531" s="13"/>
    </row>
    <row r="8532" spans="12:13" x14ac:dyDescent="0.2">
      <c r="L8532" s="12"/>
      <c r="M8532" s="13"/>
    </row>
    <row r="8533" spans="12:13" x14ac:dyDescent="0.2">
      <c r="L8533" s="12"/>
      <c r="M8533" s="13"/>
    </row>
    <row r="8534" spans="12:13" x14ac:dyDescent="0.2">
      <c r="L8534" s="12"/>
      <c r="M8534" s="13"/>
    </row>
    <row r="8535" spans="12:13" x14ac:dyDescent="0.2">
      <c r="L8535" s="12"/>
      <c r="M8535" s="13"/>
    </row>
    <row r="8536" spans="12:13" x14ac:dyDescent="0.2">
      <c r="L8536" s="12"/>
      <c r="M8536" s="13"/>
    </row>
    <row r="8537" spans="12:13" x14ac:dyDescent="0.2">
      <c r="L8537" s="12"/>
      <c r="M8537" s="13"/>
    </row>
    <row r="8538" spans="12:13" x14ac:dyDescent="0.2">
      <c r="L8538" s="12"/>
      <c r="M8538" s="13"/>
    </row>
    <row r="8539" spans="12:13" x14ac:dyDescent="0.2">
      <c r="L8539" s="12"/>
      <c r="M8539" s="13"/>
    </row>
    <row r="8540" spans="12:13" x14ac:dyDescent="0.2">
      <c r="L8540" s="12"/>
      <c r="M8540" s="13"/>
    </row>
    <row r="8541" spans="12:13" x14ac:dyDescent="0.2">
      <c r="L8541" s="12"/>
      <c r="M8541" s="13"/>
    </row>
    <row r="8542" spans="12:13" x14ac:dyDescent="0.2">
      <c r="L8542" s="12"/>
      <c r="M8542" s="13"/>
    </row>
    <row r="8543" spans="12:13" x14ac:dyDescent="0.2">
      <c r="L8543" s="12"/>
      <c r="M8543" s="13"/>
    </row>
    <row r="8544" spans="12:13" x14ac:dyDescent="0.2">
      <c r="L8544" s="12"/>
      <c r="M8544" s="13"/>
    </row>
    <row r="8545" spans="12:13" x14ac:dyDescent="0.2">
      <c r="L8545" s="12"/>
      <c r="M8545" s="13"/>
    </row>
    <row r="8546" spans="12:13" x14ac:dyDescent="0.2">
      <c r="L8546" s="12"/>
      <c r="M8546" s="13"/>
    </row>
    <row r="8547" spans="12:13" x14ac:dyDescent="0.2">
      <c r="L8547" s="12"/>
      <c r="M8547" s="13"/>
    </row>
    <row r="8548" spans="12:13" x14ac:dyDescent="0.2">
      <c r="L8548" s="12"/>
      <c r="M8548" s="13"/>
    </row>
    <row r="8549" spans="12:13" x14ac:dyDescent="0.2">
      <c r="L8549" s="12"/>
      <c r="M8549" s="13"/>
    </row>
    <row r="8550" spans="12:13" x14ac:dyDescent="0.2">
      <c r="L8550" s="12"/>
      <c r="M8550" s="13"/>
    </row>
    <row r="8551" spans="12:13" x14ac:dyDescent="0.2">
      <c r="L8551" s="12"/>
      <c r="M8551" s="13"/>
    </row>
    <row r="8552" spans="12:13" x14ac:dyDescent="0.2">
      <c r="L8552" s="12"/>
      <c r="M8552" s="13"/>
    </row>
    <row r="8553" spans="12:13" x14ac:dyDescent="0.2">
      <c r="L8553" s="12"/>
      <c r="M8553" s="13"/>
    </row>
    <row r="8554" spans="12:13" x14ac:dyDescent="0.2">
      <c r="L8554" s="12"/>
      <c r="M8554" s="13"/>
    </row>
    <row r="8555" spans="12:13" x14ac:dyDescent="0.2">
      <c r="L8555" s="12"/>
      <c r="M8555" s="13"/>
    </row>
    <row r="8556" spans="12:13" x14ac:dyDescent="0.2">
      <c r="L8556" s="12"/>
      <c r="M8556" s="13"/>
    </row>
    <row r="8557" spans="12:13" x14ac:dyDescent="0.2">
      <c r="L8557" s="12"/>
      <c r="M8557" s="13"/>
    </row>
    <row r="8558" spans="12:13" x14ac:dyDescent="0.2">
      <c r="L8558" s="12"/>
      <c r="M8558" s="13"/>
    </row>
    <row r="8559" spans="12:13" x14ac:dyDescent="0.2">
      <c r="L8559" s="12"/>
      <c r="M8559" s="13"/>
    </row>
    <row r="8560" spans="12:13" x14ac:dyDescent="0.2">
      <c r="L8560" s="12"/>
      <c r="M8560" s="13"/>
    </row>
    <row r="8561" spans="12:13" x14ac:dyDescent="0.2">
      <c r="L8561" s="12"/>
      <c r="M8561" s="13"/>
    </row>
    <row r="8562" spans="12:13" x14ac:dyDescent="0.2">
      <c r="L8562" s="12"/>
      <c r="M8562" s="13"/>
    </row>
    <row r="8563" spans="12:13" x14ac:dyDescent="0.2">
      <c r="L8563" s="12"/>
      <c r="M8563" s="13"/>
    </row>
    <row r="8564" spans="12:13" x14ac:dyDescent="0.2">
      <c r="L8564" s="12"/>
      <c r="M8564" s="13"/>
    </row>
    <row r="8565" spans="12:13" x14ac:dyDescent="0.2">
      <c r="L8565" s="12"/>
      <c r="M8565" s="13"/>
    </row>
    <row r="8566" spans="12:13" x14ac:dyDescent="0.2">
      <c r="L8566" s="12"/>
      <c r="M8566" s="13"/>
    </row>
    <row r="8567" spans="12:13" x14ac:dyDescent="0.2">
      <c r="L8567" s="12"/>
      <c r="M8567" s="13"/>
    </row>
    <row r="8568" spans="12:13" x14ac:dyDescent="0.2">
      <c r="L8568" s="12"/>
      <c r="M8568" s="13"/>
    </row>
    <row r="8569" spans="12:13" x14ac:dyDescent="0.2">
      <c r="L8569" s="12"/>
      <c r="M8569" s="13"/>
    </row>
    <row r="8570" spans="12:13" x14ac:dyDescent="0.2">
      <c r="L8570" s="12"/>
      <c r="M8570" s="13"/>
    </row>
    <row r="8571" spans="12:13" x14ac:dyDescent="0.2">
      <c r="L8571" s="12"/>
      <c r="M8571" s="13"/>
    </row>
    <row r="8572" spans="12:13" x14ac:dyDescent="0.2">
      <c r="L8572" s="12"/>
      <c r="M8572" s="13"/>
    </row>
    <row r="8573" spans="12:13" x14ac:dyDescent="0.2">
      <c r="L8573" s="12"/>
      <c r="M8573" s="13"/>
    </row>
    <row r="8574" spans="12:13" x14ac:dyDescent="0.2">
      <c r="L8574" s="12"/>
      <c r="M8574" s="13"/>
    </row>
    <row r="8575" spans="12:13" x14ac:dyDescent="0.2">
      <c r="L8575" s="12"/>
      <c r="M8575" s="13"/>
    </row>
    <row r="8576" spans="12:13" x14ac:dyDescent="0.2">
      <c r="L8576" s="12"/>
      <c r="M8576" s="13"/>
    </row>
    <row r="8577" spans="12:13" x14ac:dyDescent="0.2">
      <c r="L8577" s="12"/>
      <c r="M8577" s="13"/>
    </row>
    <row r="8578" spans="12:13" x14ac:dyDescent="0.2">
      <c r="L8578" s="12"/>
      <c r="M8578" s="13"/>
    </row>
    <row r="8579" spans="12:13" x14ac:dyDescent="0.2">
      <c r="L8579" s="12"/>
      <c r="M8579" s="13"/>
    </row>
    <row r="8580" spans="12:13" x14ac:dyDescent="0.2">
      <c r="L8580" s="12"/>
      <c r="M8580" s="13"/>
    </row>
    <row r="8581" spans="12:13" x14ac:dyDescent="0.2">
      <c r="L8581" s="12"/>
      <c r="M8581" s="13"/>
    </row>
    <row r="8582" spans="12:13" x14ac:dyDescent="0.2">
      <c r="L8582" s="12"/>
      <c r="M8582" s="13"/>
    </row>
    <row r="8583" spans="12:13" x14ac:dyDescent="0.2">
      <c r="L8583" s="12"/>
      <c r="M8583" s="13"/>
    </row>
    <row r="8584" spans="12:13" x14ac:dyDescent="0.2">
      <c r="L8584" s="12"/>
      <c r="M8584" s="13"/>
    </row>
    <row r="8585" spans="12:13" x14ac:dyDescent="0.2">
      <c r="L8585" s="12"/>
      <c r="M8585" s="13"/>
    </row>
    <row r="8586" spans="12:13" x14ac:dyDescent="0.2">
      <c r="L8586" s="12"/>
      <c r="M8586" s="13"/>
    </row>
    <row r="8587" spans="12:13" x14ac:dyDescent="0.2">
      <c r="L8587" s="12"/>
      <c r="M8587" s="13"/>
    </row>
    <row r="8588" spans="12:13" x14ac:dyDescent="0.2">
      <c r="L8588" s="12"/>
      <c r="M8588" s="13"/>
    </row>
    <row r="8589" spans="12:13" x14ac:dyDescent="0.2">
      <c r="L8589" s="12"/>
      <c r="M8589" s="13"/>
    </row>
    <row r="8590" spans="12:13" x14ac:dyDescent="0.2">
      <c r="L8590" s="12"/>
      <c r="M8590" s="13"/>
    </row>
    <row r="8591" spans="12:13" x14ac:dyDescent="0.2">
      <c r="L8591" s="12"/>
      <c r="M8591" s="13"/>
    </row>
    <row r="8592" spans="12:13" x14ac:dyDescent="0.2">
      <c r="L8592" s="12"/>
      <c r="M8592" s="13"/>
    </row>
    <row r="8593" spans="12:13" x14ac:dyDescent="0.2">
      <c r="L8593" s="12"/>
      <c r="M8593" s="13"/>
    </row>
    <row r="8594" spans="12:13" x14ac:dyDescent="0.2">
      <c r="L8594" s="12"/>
      <c r="M8594" s="13"/>
    </row>
    <row r="8595" spans="12:13" x14ac:dyDescent="0.2">
      <c r="L8595" s="12"/>
      <c r="M8595" s="13"/>
    </row>
    <row r="8596" spans="12:13" x14ac:dyDescent="0.2">
      <c r="L8596" s="12"/>
      <c r="M8596" s="13"/>
    </row>
    <row r="8597" spans="12:13" x14ac:dyDescent="0.2">
      <c r="L8597" s="12"/>
      <c r="M8597" s="13"/>
    </row>
    <row r="8598" spans="12:13" x14ac:dyDescent="0.2">
      <c r="L8598" s="12"/>
      <c r="M8598" s="13"/>
    </row>
    <row r="8599" spans="12:13" x14ac:dyDescent="0.2">
      <c r="L8599" s="12"/>
      <c r="M8599" s="13"/>
    </row>
    <row r="8600" spans="12:13" x14ac:dyDescent="0.2">
      <c r="L8600" s="12"/>
      <c r="M8600" s="13"/>
    </row>
    <row r="8601" spans="12:13" x14ac:dyDescent="0.2">
      <c r="L8601" s="12"/>
      <c r="M8601" s="13"/>
    </row>
    <row r="8602" spans="12:13" x14ac:dyDescent="0.2">
      <c r="L8602" s="12"/>
      <c r="M8602" s="13"/>
    </row>
    <row r="8603" spans="12:13" x14ac:dyDescent="0.2">
      <c r="L8603" s="12"/>
      <c r="M8603" s="13"/>
    </row>
    <row r="8604" spans="12:13" x14ac:dyDescent="0.2">
      <c r="L8604" s="12"/>
      <c r="M8604" s="13"/>
    </row>
    <row r="8605" spans="12:13" x14ac:dyDescent="0.2">
      <c r="L8605" s="12"/>
      <c r="M8605" s="13"/>
    </row>
    <row r="8606" spans="12:13" x14ac:dyDescent="0.2">
      <c r="L8606" s="12"/>
      <c r="M8606" s="13"/>
    </row>
    <row r="8607" spans="12:13" x14ac:dyDescent="0.2">
      <c r="L8607" s="12"/>
      <c r="M8607" s="13"/>
    </row>
    <row r="8608" spans="12:13" x14ac:dyDescent="0.2">
      <c r="L8608" s="12"/>
      <c r="M8608" s="13"/>
    </row>
    <row r="8609" spans="12:13" x14ac:dyDescent="0.2">
      <c r="L8609" s="12"/>
      <c r="M8609" s="13"/>
    </row>
    <row r="8610" spans="12:13" x14ac:dyDescent="0.2">
      <c r="L8610" s="12"/>
      <c r="M8610" s="13"/>
    </row>
    <row r="8611" spans="12:13" x14ac:dyDescent="0.2">
      <c r="L8611" s="12"/>
      <c r="M8611" s="13"/>
    </row>
    <row r="8612" spans="12:13" x14ac:dyDescent="0.2">
      <c r="L8612" s="12"/>
      <c r="M8612" s="13"/>
    </row>
    <row r="8613" spans="12:13" x14ac:dyDescent="0.2">
      <c r="L8613" s="12"/>
      <c r="M8613" s="13"/>
    </row>
    <row r="8614" spans="12:13" x14ac:dyDescent="0.2">
      <c r="L8614" s="12"/>
      <c r="M8614" s="13"/>
    </row>
    <row r="8615" spans="12:13" x14ac:dyDescent="0.2">
      <c r="L8615" s="12"/>
      <c r="M8615" s="13"/>
    </row>
    <row r="8616" spans="12:13" x14ac:dyDescent="0.2">
      <c r="L8616" s="12"/>
      <c r="M8616" s="13"/>
    </row>
    <row r="8617" spans="12:13" x14ac:dyDescent="0.2">
      <c r="L8617" s="12"/>
      <c r="M8617" s="13"/>
    </row>
    <row r="8618" spans="12:13" x14ac:dyDescent="0.2">
      <c r="L8618" s="12"/>
      <c r="M8618" s="13"/>
    </row>
    <row r="8619" spans="12:13" x14ac:dyDescent="0.2">
      <c r="L8619" s="12"/>
      <c r="M8619" s="13"/>
    </row>
    <row r="8620" spans="12:13" x14ac:dyDescent="0.2">
      <c r="L8620" s="12"/>
      <c r="M8620" s="13"/>
    </row>
    <row r="8621" spans="12:13" x14ac:dyDescent="0.2">
      <c r="L8621" s="12"/>
      <c r="M8621" s="13"/>
    </row>
    <row r="8622" spans="12:13" x14ac:dyDescent="0.2">
      <c r="L8622" s="12"/>
      <c r="M8622" s="13"/>
    </row>
    <row r="8623" spans="12:13" x14ac:dyDescent="0.2">
      <c r="L8623" s="12"/>
      <c r="M8623" s="13"/>
    </row>
    <row r="8624" spans="12:13" x14ac:dyDescent="0.2">
      <c r="L8624" s="12"/>
      <c r="M8624" s="13"/>
    </row>
    <row r="8625" spans="12:13" x14ac:dyDescent="0.2">
      <c r="L8625" s="12"/>
      <c r="M8625" s="13"/>
    </row>
    <row r="8626" spans="12:13" x14ac:dyDescent="0.2">
      <c r="L8626" s="12"/>
      <c r="M8626" s="13"/>
    </row>
    <row r="8627" spans="12:13" x14ac:dyDescent="0.2">
      <c r="L8627" s="12"/>
      <c r="M8627" s="13"/>
    </row>
    <row r="8628" spans="12:13" x14ac:dyDescent="0.2">
      <c r="L8628" s="12"/>
      <c r="M8628" s="13"/>
    </row>
    <row r="8629" spans="12:13" x14ac:dyDescent="0.2">
      <c r="L8629" s="12"/>
      <c r="M8629" s="13"/>
    </row>
    <row r="8630" spans="12:13" x14ac:dyDescent="0.2">
      <c r="L8630" s="12"/>
      <c r="M8630" s="13"/>
    </row>
    <row r="8631" spans="12:13" x14ac:dyDescent="0.2">
      <c r="L8631" s="12"/>
      <c r="M8631" s="13"/>
    </row>
    <row r="8632" spans="12:13" x14ac:dyDescent="0.2">
      <c r="L8632" s="12"/>
      <c r="M8632" s="13"/>
    </row>
    <row r="8633" spans="12:13" x14ac:dyDescent="0.2">
      <c r="L8633" s="12"/>
      <c r="M8633" s="13"/>
    </row>
    <row r="8634" spans="12:13" x14ac:dyDescent="0.2">
      <c r="L8634" s="12"/>
      <c r="M8634" s="13"/>
    </row>
    <row r="8635" spans="12:13" x14ac:dyDescent="0.2">
      <c r="L8635" s="12"/>
      <c r="M8635" s="13"/>
    </row>
    <row r="8636" spans="12:13" x14ac:dyDescent="0.2">
      <c r="L8636" s="12"/>
      <c r="M8636" s="13"/>
    </row>
    <row r="8637" spans="12:13" x14ac:dyDescent="0.2">
      <c r="L8637" s="12"/>
      <c r="M8637" s="13"/>
    </row>
    <row r="8638" spans="12:13" x14ac:dyDescent="0.2">
      <c r="L8638" s="12"/>
      <c r="M8638" s="13"/>
    </row>
    <row r="8639" spans="12:13" x14ac:dyDescent="0.2">
      <c r="L8639" s="12"/>
      <c r="M8639" s="13"/>
    </row>
    <row r="8640" spans="12:13" x14ac:dyDescent="0.2">
      <c r="L8640" s="12"/>
      <c r="M8640" s="13"/>
    </row>
    <row r="8641" spans="12:13" x14ac:dyDescent="0.2">
      <c r="L8641" s="12"/>
      <c r="M8641" s="13"/>
    </row>
    <row r="8642" spans="12:13" x14ac:dyDescent="0.2">
      <c r="L8642" s="12"/>
      <c r="M8642" s="13"/>
    </row>
    <row r="8643" spans="12:13" x14ac:dyDescent="0.2">
      <c r="L8643" s="12"/>
      <c r="M8643" s="13"/>
    </row>
    <row r="8644" spans="12:13" x14ac:dyDescent="0.2">
      <c r="L8644" s="12"/>
      <c r="M8644" s="13"/>
    </row>
    <row r="8645" spans="12:13" x14ac:dyDescent="0.2">
      <c r="L8645" s="12"/>
      <c r="M8645" s="13"/>
    </row>
    <row r="8646" spans="12:13" x14ac:dyDescent="0.2">
      <c r="L8646" s="12"/>
      <c r="M8646" s="13"/>
    </row>
    <row r="8647" spans="12:13" x14ac:dyDescent="0.2">
      <c r="L8647" s="12"/>
      <c r="M8647" s="13"/>
    </row>
    <row r="8648" spans="12:13" x14ac:dyDescent="0.2">
      <c r="L8648" s="12"/>
      <c r="M8648" s="13"/>
    </row>
    <row r="8649" spans="12:13" x14ac:dyDescent="0.2">
      <c r="L8649" s="12"/>
      <c r="M8649" s="13"/>
    </row>
    <row r="8650" spans="12:13" x14ac:dyDescent="0.2">
      <c r="L8650" s="12"/>
      <c r="M8650" s="13"/>
    </row>
    <row r="8651" spans="12:13" x14ac:dyDescent="0.2">
      <c r="L8651" s="12"/>
      <c r="M8651" s="13"/>
    </row>
    <row r="8652" spans="12:13" x14ac:dyDescent="0.2">
      <c r="L8652" s="12"/>
      <c r="M8652" s="13"/>
    </row>
    <row r="8653" spans="12:13" x14ac:dyDescent="0.2">
      <c r="L8653" s="12"/>
      <c r="M8653" s="13"/>
    </row>
    <row r="8654" spans="12:13" x14ac:dyDescent="0.2">
      <c r="L8654" s="12"/>
      <c r="M8654" s="13"/>
    </row>
    <row r="8655" spans="12:13" x14ac:dyDescent="0.2">
      <c r="L8655" s="12"/>
      <c r="M8655" s="13"/>
    </row>
    <row r="8656" spans="12:13" x14ac:dyDescent="0.2">
      <c r="L8656" s="12"/>
      <c r="M8656" s="13"/>
    </row>
    <row r="8657" spans="12:13" x14ac:dyDescent="0.2">
      <c r="L8657" s="12"/>
      <c r="M8657" s="13"/>
    </row>
    <row r="8658" spans="12:13" x14ac:dyDescent="0.2">
      <c r="L8658" s="12"/>
      <c r="M8658" s="13"/>
    </row>
    <row r="8659" spans="12:13" x14ac:dyDescent="0.2">
      <c r="L8659" s="12"/>
      <c r="M8659" s="13"/>
    </row>
    <row r="8660" spans="12:13" x14ac:dyDescent="0.2">
      <c r="L8660" s="12"/>
      <c r="M8660" s="13"/>
    </row>
    <row r="8661" spans="12:13" x14ac:dyDescent="0.2">
      <c r="L8661" s="12"/>
      <c r="M8661" s="13"/>
    </row>
    <row r="8662" spans="12:13" x14ac:dyDescent="0.2">
      <c r="L8662" s="12"/>
      <c r="M8662" s="13"/>
    </row>
    <row r="8663" spans="12:13" x14ac:dyDescent="0.2">
      <c r="L8663" s="12"/>
      <c r="M8663" s="13"/>
    </row>
    <row r="8664" spans="12:13" x14ac:dyDescent="0.2">
      <c r="L8664" s="12"/>
      <c r="M8664" s="13"/>
    </row>
    <row r="8665" spans="12:13" x14ac:dyDescent="0.2">
      <c r="L8665" s="12"/>
      <c r="M8665" s="13"/>
    </row>
    <row r="8666" spans="12:13" x14ac:dyDescent="0.2">
      <c r="L8666" s="12"/>
      <c r="M8666" s="13"/>
    </row>
    <row r="8667" spans="12:13" x14ac:dyDescent="0.2">
      <c r="L8667" s="12"/>
      <c r="M8667" s="13"/>
    </row>
    <row r="8668" spans="12:13" x14ac:dyDescent="0.2">
      <c r="L8668" s="12"/>
      <c r="M8668" s="13"/>
    </row>
    <row r="8669" spans="12:13" x14ac:dyDescent="0.2">
      <c r="L8669" s="12"/>
      <c r="M8669" s="13"/>
    </row>
    <row r="8670" spans="12:13" x14ac:dyDescent="0.2">
      <c r="L8670" s="12"/>
      <c r="M8670" s="13"/>
    </row>
    <row r="8671" spans="12:13" x14ac:dyDescent="0.2">
      <c r="L8671" s="12"/>
      <c r="M8671" s="13"/>
    </row>
    <row r="8672" spans="12:13" x14ac:dyDescent="0.2">
      <c r="L8672" s="12"/>
      <c r="M8672" s="13"/>
    </row>
    <row r="8673" spans="12:13" x14ac:dyDescent="0.2">
      <c r="L8673" s="12"/>
      <c r="M8673" s="13"/>
    </row>
    <row r="8674" spans="12:13" x14ac:dyDescent="0.2">
      <c r="L8674" s="12"/>
      <c r="M8674" s="13"/>
    </row>
    <row r="8675" spans="12:13" x14ac:dyDescent="0.2">
      <c r="L8675" s="12"/>
      <c r="M8675" s="13"/>
    </row>
    <row r="8676" spans="12:13" x14ac:dyDescent="0.2">
      <c r="L8676" s="12"/>
      <c r="M8676" s="13"/>
    </row>
    <row r="8677" spans="12:13" x14ac:dyDescent="0.2">
      <c r="L8677" s="12"/>
      <c r="M8677" s="13"/>
    </row>
    <row r="8678" spans="12:13" x14ac:dyDescent="0.2">
      <c r="L8678" s="12"/>
      <c r="M8678" s="13"/>
    </row>
    <row r="8679" spans="12:13" x14ac:dyDescent="0.2">
      <c r="L8679" s="12"/>
      <c r="M8679" s="13"/>
    </row>
    <row r="8680" spans="12:13" x14ac:dyDescent="0.2">
      <c r="L8680" s="12"/>
      <c r="M8680" s="13"/>
    </row>
    <row r="8681" spans="12:13" x14ac:dyDescent="0.2">
      <c r="L8681" s="12"/>
      <c r="M8681" s="13"/>
    </row>
    <row r="8682" spans="12:13" x14ac:dyDescent="0.2">
      <c r="L8682" s="12"/>
      <c r="M8682" s="13"/>
    </row>
    <row r="8683" spans="12:13" x14ac:dyDescent="0.2">
      <c r="L8683" s="12"/>
      <c r="M8683" s="13"/>
    </row>
    <row r="8684" spans="12:13" x14ac:dyDescent="0.2">
      <c r="L8684" s="12"/>
      <c r="M8684" s="13"/>
    </row>
    <row r="8685" spans="12:13" x14ac:dyDescent="0.2">
      <c r="L8685" s="12"/>
      <c r="M8685" s="13"/>
    </row>
    <row r="8686" spans="12:13" x14ac:dyDescent="0.2">
      <c r="L8686" s="12"/>
      <c r="M8686" s="13"/>
    </row>
    <row r="8687" spans="12:13" x14ac:dyDescent="0.2">
      <c r="L8687" s="12"/>
      <c r="M8687" s="13"/>
    </row>
    <row r="8688" spans="12:13" x14ac:dyDescent="0.2">
      <c r="L8688" s="12"/>
      <c r="M8688" s="13"/>
    </row>
    <row r="8689" spans="12:13" x14ac:dyDescent="0.2">
      <c r="L8689" s="12"/>
      <c r="M8689" s="13"/>
    </row>
    <row r="8690" spans="12:13" x14ac:dyDescent="0.2">
      <c r="L8690" s="12"/>
      <c r="M8690" s="13"/>
    </row>
    <row r="8691" spans="12:13" x14ac:dyDescent="0.2">
      <c r="L8691" s="12"/>
      <c r="M8691" s="13"/>
    </row>
    <row r="8692" spans="12:13" x14ac:dyDescent="0.2">
      <c r="L8692" s="12"/>
      <c r="M8692" s="13"/>
    </row>
    <row r="8693" spans="12:13" x14ac:dyDescent="0.2">
      <c r="L8693" s="12"/>
      <c r="M8693" s="13"/>
    </row>
    <row r="8694" spans="12:13" x14ac:dyDescent="0.2">
      <c r="L8694" s="12"/>
      <c r="M8694" s="13"/>
    </row>
    <row r="8695" spans="12:13" x14ac:dyDescent="0.2">
      <c r="L8695" s="12"/>
      <c r="M8695" s="13"/>
    </row>
    <row r="8696" spans="12:13" x14ac:dyDescent="0.2">
      <c r="L8696" s="12"/>
      <c r="M8696" s="13"/>
    </row>
    <row r="8697" spans="12:13" x14ac:dyDescent="0.2">
      <c r="L8697" s="12"/>
      <c r="M8697" s="13"/>
    </row>
    <row r="8698" spans="12:13" x14ac:dyDescent="0.2">
      <c r="L8698" s="12"/>
      <c r="M8698" s="13"/>
    </row>
    <row r="8699" spans="12:13" x14ac:dyDescent="0.2">
      <c r="L8699" s="12"/>
      <c r="M8699" s="13"/>
    </row>
    <row r="8700" spans="12:13" x14ac:dyDescent="0.2">
      <c r="L8700" s="12"/>
      <c r="M8700" s="13"/>
    </row>
    <row r="8701" spans="12:13" x14ac:dyDescent="0.2">
      <c r="L8701" s="12"/>
      <c r="M8701" s="13"/>
    </row>
    <row r="8702" spans="12:13" x14ac:dyDescent="0.2">
      <c r="L8702" s="12"/>
      <c r="M8702" s="13"/>
    </row>
    <row r="8703" spans="12:13" x14ac:dyDescent="0.2">
      <c r="L8703" s="12"/>
      <c r="M8703" s="13"/>
    </row>
    <row r="8704" spans="12:13" x14ac:dyDescent="0.2">
      <c r="L8704" s="12"/>
      <c r="M8704" s="13"/>
    </row>
    <row r="8705" spans="12:13" x14ac:dyDescent="0.2">
      <c r="L8705" s="12"/>
      <c r="M8705" s="13"/>
    </row>
    <row r="8706" spans="12:13" x14ac:dyDescent="0.2">
      <c r="L8706" s="17"/>
      <c r="M8706" s="18"/>
    </row>
    <row r="8707" spans="12:13" x14ac:dyDescent="0.2">
      <c r="L8707" s="12"/>
      <c r="M8707" s="13"/>
    </row>
    <row r="8708" spans="12:13" x14ac:dyDescent="0.2">
      <c r="L8708" s="12"/>
      <c r="M8708" s="13"/>
    </row>
    <row r="8709" spans="12:13" x14ac:dyDescent="0.2">
      <c r="L8709" s="12"/>
      <c r="M8709" s="13"/>
    </row>
    <row r="8710" spans="12:13" x14ac:dyDescent="0.2">
      <c r="L8710" s="12"/>
      <c r="M8710" s="13"/>
    </row>
    <row r="8711" spans="12:13" x14ac:dyDescent="0.2">
      <c r="L8711" s="12"/>
      <c r="M8711" s="13"/>
    </row>
    <row r="8712" spans="12:13" x14ac:dyDescent="0.2">
      <c r="L8712" s="12"/>
      <c r="M8712" s="13"/>
    </row>
    <row r="8713" spans="12:13" x14ac:dyDescent="0.2">
      <c r="L8713" s="12"/>
      <c r="M8713" s="13"/>
    </row>
    <row r="8714" spans="12:13" x14ac:dyDescent="0.2">
      <c r="L8714" s="12"/>
      <c r="M8714" s="13"/>
    </row>
    <row r="8715" spans="12:13" x14ac:dyDescent="0.2">
      <c r="L8715" s="12"/>
      <c r="M8715" s="13"/>
    </row>
    <row r="8716" spans="12:13" x14ac:dyDescent="0.2">
      <c r="L8716" s="12"/>
      <c r="M8716" s="13"/>
    </row>
    <row r="8717" spans="12:13" x14ac:dyDescent="0.2">
      <c r="L8717" s="12"/>
      <c r="M8717" s="13"/>
    </row>
    <row r="8718" spans="12:13" x14ac:dyDescent="0.2">
      <c r="L8718" s="12"/>
      <c r="M8718" s="13"/>
    </row>
    <row r="8719" spans="12:13" x14ac:dyDescent="0.2">
      <c r="L8719" s="12"/>
      <c r="M8719" s="13"/>
    </row>
    <row r="8720" spans="12:13" x14ac:dyDescent="0.2">
      <c r="L8720" s="12"/>
      <c r="M8720" s="13"/>
    </row>
    <row r="8721" spans="12:13" x14ac:dyDescent="0.2">
      <c r="L8721" s="12"/>
      <c r="M8721" s="13"/>
    </row>
    <row r="8722" spans="12:13" x14ac:dyDescent="0.2">
      <c r="L8722" s="12"/>
      <c r="M8722" s="13"/>
    </row>
    <row r="8723" spans="12:13" x14ac:dyDescent="0.2">
      <c r="L8723" s="12"/>
      <c r="M8723" s="13"/>
    </row>
    <row r="8724" spans="12:13" x14ac:dyDescent="0.2">
      <c r="L8724" s="12"/>
      <c r="M8724" s="13"/>
    </row>
    <row r="8725" spans="12:13" x14ac:dyDescent="0.2">
      <c r="L8725" s="12"/>
      <c r="M8725" s="13"/>
    </row>
    <row r="8726" spans="12:13" x14ac:dyDescent="0.2">
      <c r="L8726" s="12"/>
      <c r="M8726" s="13"/>
    </row>
    <row r="8727" spans="12:13" x14ac:dyDescent="0.2">
      <c r="L8727" s="12"/>
      <c r="M8727" s="13"/>
    </row>
    <row r="8728" spans="12:13" x14ac:dyDescent="0.2">
      <c r="L8728" s="12"/>
      <c r="M8728" s="13"/>
    </row>
    <row r="8729" spans="12:13" x14ac:dyDescent="0.2">
      <c r="L8729" s="12"/>
      <c r="M8729" s="13"/>
    </row>
    <row r="8730" spans="12:13" x14ac:dyDescent="0.2">
      <c r="L8730" s="12"/>
      <c r="M8730" s="13"/>
    </row>
    <row r="8731" spans="12:13" x14ac:dyDescent="0.2">
      <c r="L8731" s="12"/>
      <c r="M8731" s="13"/>
    </row>
    <row r="8732" spans="12:13" x14ac:dyDescent="0.2">
      <c r="L8732" s="12"/>
      <c r="M8732" s="13"/>
    </row>
    <row r="8733" spans="12:13" x14ac:dyDescent="0.2">
      <c r="L8733" s="12"/>
      <c r="M8733" s="13"/>
    </row>
    <row r="8734" spans="12:13" x14ac:dyDescent="0.2">
      <c r="L8734" s="12"/>
      <c r="M8734" s="13"/>
    </row>
    <row r="8735" spans="12:13" x14ac:dyDescent="0.2">
      <c r="L8735" s="12"/>
      <c r="M8735" s="13"/>
    </row>
    <row r="8736" spans="12:13" x14ac:dyDescent="0.2">
      <c r="L8736" s="12"/>
      <c r="M8736" s="13"/>
    </row>
    <row r="8737" spans="12:13" x14ac:dyDescent="0.2">
      <c r="L8737" s="12"/>
      <c r="M8737" s="13"/>
    </row>
    <row r="8738" spans="12:13" x14ac:dyDescent="0.2">
      <c r="L8738" s="12"/>
      <c r="M8738" s="13"/>
    </row>
    <row r="8739" spans="12:13" x14ac:dyDescent="0.2">
      <c r="L8739" s="12"/>
      <c r="M8739" s="13"/>
    </row>
    <row r="8740" spans="12:13" x14ac:dyDescent="0.2">
      <c r="L8740" s="12"/>
      <c r="M8740" s="13"/>
    </row>
    <row r="8741" spans="12:13" x14ac:dyDescent="0.2">
      <c r="L8741" s="12"/>
      <c r="M8741" s="13"/>
    </row>
    <row r="8742" spans="12:13" x14ac:dyDescent="0.2">
      <c r="L8742" s="12"/>
      <c r="M8742" s="13"/>
    </row>
    <row r="8743" spans="12:13" x14ac:dyDescent="0.2">
      <c r="L8743" s="12"/>
      <c r="M8743" s="13"/>
    </row>
    <row r="8744" spans="12:13" x14ac:dyDescent="0.2">
      <c r="L8744" s="12"/>
      <c r="M8744" s="13"/>
    </row>
    <row r="8745" spans="12:13" x14ac:dyDescent="0.2">
      <c r="L8745" s="12"/>
      <c r="M8745" s="13"/>
    </row>
    <row r="8746" spans="12:13" x14ac:dyDescent="0.2">
      <c r="L8746" s="12"/>
      <c r="M8746" s="13"/>
    </row>
    <row r="8747" spans="12:13" x14ac:dyDescent="0.2">
      <c r="L8747" s="12"/>
      <c r="M8747" s="13"/>
    </row>
    <row r="8748" spans="12:13" x14ac:dyDescent="0.2">
      <c r="L8748" s="12"/>
      <c r="M8748" s="13"/>
    </row>
    <row r="8749" spans="12:13" x14ac:dyDescent="0.2">
      <c r="L8749" s="12"/>
      <c r="M8749" s="13"/>
    </row>
    <row r="8750" spans="12:13" x14ac:dyDescent="0.2">
      <c r="L8750" s="12"/>
      <c r="M8750" s="13"/>
    </row>
    <row r="8751" spans="12:13" x14ac:dyDescent="0.2">
      <c r="L8751" s="12"/>
      <c r="M8751" s="13"/>
    </row>
    <row r="8752" spans="12:13" x14ac:dyDescent="0.2">
      <c r="L8752" s="12"/>
      <c r="M8752" s="13"/>
    </row>
    <row r="8753" spans="12:13" x14ac:dyDescent="0.2">
      <c r="L8753" s="12"/>
      <c r="M8753" s="13"/>
    </row>
    <row r="8754" spans="12:13" x14ac:dyDescent="0.2">
      <c r="L8754" s="12"/>
      <c r="M8754" s="13"/>
    </row>
    <row r="8755" spans="12:13" x14ac:dyDescent="0.2">
      <c r="L8755" s="12"/>
      <c r="M8755" s="13"/>
    </row>
    <row r="8756" spans="12:13" x14ac:dyDescent="0.2">
      <c r="L8756" s="12"/>
      <c r="M8756" s="13"/>
    </row>
    <row r="8757" spans="12:13" x14ac:dyDescent="0.2">
      <c r="L8757" s="12"/>
      <c r="M8757" s="13"/>
    </row>
    <row r="8758" spans="12:13" x14ac:dyDescent="0.2">
      <c r="L8758" s="12"/>
      <c r="M8758" s="13"/>
    </row>
    <row r="8759" spans="12:13" x14ac:dyDescent="0.2">
      <c r="L8759" s="12"/>
      <c r="M8759" s="13"/>
    </row>
    <row r="8760" spans="12:13" x14ac:dyDescent="0.2">
      <c r="L8760" s="12"/>
      <c r="M8760" s="13"/>
    </row>
    <row r="8761" spans="12:13" x14ac:dyDescent="0.2">
      <c r="L8761" s="12"/>
      <c r="M8761" s="13"/>
    </row>
    <row r="8762" spans="12:13" x14ac:dyDescent="0.2">
      <c r="L8762" s="12"/>
      <c r="M8762" s="13"/>
    </row>
    <row r="8763" spans="12:13" x14ac:dyDescent="0.2">
      <c r="L8763" s="12"/>
      <c r="M8763" s="13"/>
    </row>
    <row r="8764" spans="12:13" x14ac:dyDescent="0.2">
      <c r="L8764" s="12"/>
      <c r="M8764" s="13"/>
    </row>
    <row r="8765" spans="12:13" x14ac:dyDescent="0.2">
      <c r="L8765" s="12"/>
      <c r="M8765" s="13"/>
    </row>
    <row r="8766" spans="12:13" x14ac:dyDescent="0.2">
      <c r="L8766" s="12"/>
      <c r="M8766" s="13"/>
    </row>
    <row r="8767" spans="12:13" x14ac:dyDescent="0.2">
      <c r="L8767" s="12"/>
      <c r="M8767" s="13"/>
    </row>
    <row r="8768" spans="12:13" x14ac:dyDescent="0.2">
      <c r="L8768" s="12"/>
      <c r="M8768" s="13"/>
    </row>
    <row r="8769" spans="12:13" x14ac:dyDescent="0.2">
      <c r="L8769" s="12"/>
      <c r="M8769" s="13"/>
    </row>
    <row r="8770" spans="12:13" x14ac:dyDescent="0.2">
      <c r="L8770" s="12"/>
      <c r="M8770" s="13"/>
    </row>
    <row r="8771" spans="12:13" x14ac:dyDescent="0.2">
      <c r="L8771" s="12"/>
      <c r="M8771" s="13"/>
    </row>
    <row r="8772" spans="12:13" x14ac:dyDescent="0.2">
      <c r="L8772" s="12"/>
      <c r="M8772" s="13"/>
    </row>
    <row r="8773" spans="12:13" x14ac:dyDescent="0.2">
      <c r="L8773" s="12"/>
      <c r="M8773" s="13"/>
    </row>
    <row r="8774" spans="12:13" x14ac:dyDescent="0.2">
      <c r="L8774" s="12"/>
      <c r="M8774" s="13"/>
    </row>
    <row r="8775" spans="12:13" x14ac:dyDescent="0.2">
      <c r="L8775" s="12"/>
      <c r="M8775" s="13"/>
    </row>
    <row r="8776" spans="12:13" x14ac:dyDescent="0.2">
      <c r="L8776" s="12"/>
      <c r="M8776" s="13"/>
    </row>
    <row r="8777" spans="12:13" x14ac:dyDescent="0.2">
      <c r="L8777" s="12"/>
      <c r="M8777" s="13"/>
    </row>
    <row r="8778" spans="12:13" x14ac:dyDescent="0.2">
      <c r="L8778" s="12"/>
      <c r="M8778" s="13"/>
    </row>
    <row r="8779" spans="12:13" x14ac:dyDescent="0.2">
      <c r="L8779" s="12"/>
      <c r="M8779" s="13"/>
    </row>
    <row r="8780" spans="12:13" x14ac:dyDescent="0.2">
      <c r="L8780" s="12"/>
      <c r="M8780" s="13"/>
    </row>
    <row r="8781" spans="12:13" x14ac:dyDescent="0.2">
      <c r="L8781" s="12"/>
      <c r="M8781" s="13"/>
    </row>
    <row r="8782" spans="12:13" x14ac:dyDescent="0.2">
      <c r="L8782" s="12"/>
      <c r="M8782" s="13"/>
    </row>
    <row r="8783" spans="12:13" x14ac:dyDescent="0.2">
      <c r="L8783" s="12"/>
      <c r="M8783" s="13"/>
    </row>
    <row r="8784" spans="12:13" x14ac:dyDescent="0.2">
      <c r="L8784" s="12"/>
      <c r="M8784" s="13"/>
    </row>
    <row r="8785" spans="12:13" x14ac:dyDescent="0.2">
      <c r="L8785" s="12"/>
      <c r="M8785" s="13"/>
    </row>
    <row r="8786" spans="12:13" x14ac:dyDescent="0.2">
      <c r="L8786" s="12"/>
      <c r="M8786" s="13"/>
    </row>
    <row r="8787" spans="12:13" x14ac:dyDescent="0.2">
      <c r="L8787" s="12"/>
      <c r="M8787" s="13"/>
    </row>
    <row r="8788" spans="12:13" x14ac:dyDescent="0.2">
      <c r="L8788" s="12"/>
      <c r="M8788" s="13"/>
    </row>
    <row r="8789" spans="12:13" x14ac:dyDescent="0.2">
      <c r="L8789" s="12"/>
      <c r="M8789" s="13"/>
    </row>
    <row r="8790" spans="12:13" x14ac:dyDescent="0.2">
      <c r="L8790" s="12"/>
      <c r="M8790" s="13"/>
    </row>
    <row r="8791" spans="12:13" x14ac:dyDescent="0.2">
      <c r="L8791" s="12"/>
      <c r="M8791" s="13"/>
    </row>
    <row r="8792" spans="12:13" x14ac:dyDescent="0.2">
      <c r="L8792" s="12"/>
      <c r="M8792" s="13"/>
    </row>
    <row r="8793" spans="12:13" x14ac:dyDescent="0.2">
      <c r="L8793" s="12"/>
      <c r="M8793" s="13"/>
    </row>
    <row r="8794" spans="12:13" x14ac:dyDescent="0.2">
      <c r="L8794" s="12"/>
      <c r="M8794" s="13"/>
    </row>
    <row r="8795" spans="12:13" x14ac:dyDescent="0.2">
      <c r="L8795" s="12"/>
      <c r="M8795" s="13"/>
    </row>
    <row r="8796" spans="12:13" x14ac:dyDescent="0.2">
      <c r="L8796" s="12"/>
      <c r="M8796" s="13"/>
    </row>
    <row r="8797" spans="12:13" x14ac:dyDescent="0.2">
      <c r="L8797" s="12"/>
      <c r="M8797" s="13"/>
    </row>
    <row r="8798" spans="12:13" x14ac:dyDescent="0.2">
      <c r="L8798" s="12"/>
      <c r="M8798" s="13"/>
    </row>
    <row r="8799" spans="12:13" x14ac:dyDescent="0.2">
      <c r="L8799" s="12"/>
      <c r="M8799" s="13"/>
    </row>
    <row r="8800" spans="12:13" x14ac:dyDescent="0.2">
      <c r="L8800" s="12"/>
      <c r="M8800" s="13"/>
    </row>
    <row r="8801" spans="12:13" x14ac:dyDescent="0.2">
      <c r="L8801" s="12"/>
      <c r="M8801" s="13"/>
    </row>
    <row r="8802" spans="12:13" x14ac:dyDescent="0.2">
      <c r="L8802" s="12"/>
      <c r="M8802" s="13"/>
    </row>
    <row r="8803" spans="12:13" x14ac:dyDescent="0.2">
      <c r="L8803" s="12"/>
      <c r="M8803" s="13"/>
    </row>
    <row r="8804" spans="12:13" x14ac:dyDescent="0.2">
      <c r="L8804" s="12"/>
      <c r="M8804" s="13"/>
    </row>
    <row r="8805" spans="12:13" x14ac:dyDescent="0.2">
      <c r="L8805" s="12"/>
      <c r="M8805" s="13"/>
    </row>
    <row r="8806" spans="12:13" x14ac:dyDescent="0.2">
      <c r="L8806" s="12"/>
      <c r="M8806" s="13"/>
    </row>
    <row r="8807" spans="12:13" x14ac:dyDescent="0.2">
      <c r="L8807" s="12"/>
      <c r="M8807" s="13"/>
    </row>
    <row r="8808" spans="12:13" x14ac:dyDescent="0.2">
      <c r="L8808" s="12"/>
      <c r="M8808" s="13"/>
    </row>
    <row r="8809" spans="12:13" x14ac:dyDescent="0.2">
      <c r="L8809" s="12"/>
      <c r="M8809" s="13"/>
    </row>
    <row r="8810" spans="12:13" x14ac:dyDescent="0.2">
      <c r="L8810" s="12"/>
      <c r="M8810" s="13"/>
    </row>
    <row r="8811" spans="12:13" x14ac:dyDescent="0.2">
      <c r="L8811" s="12"/>
      <c r="M8811" s="13"/>
    </row>
    <row r="8812" spans="12:13" x14ac:dyDescent="0.2">
      <c r="L8812" s="12"/>
      <c r="M8812" s="13"/>
    </row>
    <row r="8813" spans="12:13" x14ac:dyDescent="0.2">
      <c r="L8813" s="12"/>
      <c r="M8813" s="13"/>
    </row>
    <row r="8814" spans="12:13" x14ac:dyDescent="0.2">
      <c r="L8814" s="12"/>
      <c r="M8814" s="13"/>
    </row>
    <row r="8815" spans="12:13" x14ac:dyDescent="0.2">
      <c r="L8815" s="12"/>
      <c r="M8815" s="13"/>
    </row>
    <row r="8816" spans="12:13" x14ac:dyDescent="0.2">
      <c r="L8816" s="12"/>
      <c r="M8816" s="13"/>
    </row>
    <row r="8817" spans="12:13" x14ac:dyDescent="0.2">
      <c r="L8817" s="12"/>
      <c r="M8817" s="13"/>
    </row>
    <row r="8818" spans="12:13" x14ac:dyDescent="0.2">
      <c r="L8818" s="12"/>
      <c r="M8818" s="13"/>
    </row>
    <row r="8819" spans="12:13" x14ac:dyDescent="0.2">
      <c r="L8819" s="12"/>
      <c r="M8819" s="13"/>
    </row>
    <row r="8820" spans="12:13" x14ac:dyDescent="0.2">
      <c r="L8820" s="12"/>
      <c r="M8820" s="13"/>
    </row>
    <row r="8821" spans="12:13" x14ac:dyDescent="0.2">
      <c r="L8821" s="12"/>
      <c r="M8821" s="13"/>
    </row>
    <row r="8822" spans="12:13" x14ac:dyDescent="0.2">
      <c r="L8822" s="12"/>
      <c r="M8822" s="13"/>
    </row>
    <row r="8823" spans="12:13" x14ac:dyDescent="0.2">
      <c r="L8823" s="12"/>
      <c r="M8823" s="13"/>
    </row>
    <row r="8824" spans="12:13" x14ac:dyDescent="0.2">
      <c r="L8824" s="12"/>
      <c r="M8824" s="13"/>
    </row>
    <row r="8825" spans="12:13" x14ac:dyDescent="0.2">
      <c r="L8825" s="12"/>
      <c r="M8825" s="13"/>
    </row>
    <row r="8826" spans="12:13" x14ac:dyDescent="0.2">
      <c r="L8826" s="12"/>
      <c r="M8826" s="13"/>
    </row>
    <row r="8827" spans="12:13" x14ac:dyDescent="0.2">
      <c r="L8827" s="12"/>
      <c r="M8827" s="13"/>
    </row>
    <row r="8828" spans="12:13" x14ac:dyDescent="0.2">
      <c r="L8828" s="12"/>
      <c r="M8828" s="13"/>
    </row>
    <row r="8829" spans="12:13" x14ac:dyDescent="0.2">
      <c r="L8829" s="12"/>
      <c r="M8829" s="13"/>
    </row>
    <row r="8830" spans="12:13" x14ac:dyDescent="0.2">
      <c r="L8830" s="12"/>
      <c r="M8830" s="13"/>
    </row>
    <row r="8831" spans="12:13" x14ac:dyDescent="0.2">
      <c r="L8831" s="12"/>
      <c r="M8831" s="13"/>
    </row>
    <row r="8832" spans="12:13" x14ac:dyDescent="0.2">
      <c r="L8832" s="12"/>
      <c r="M8832" s="13"/>
    </row>
    <row r="8833" spans="12:13" x14ac:dyDescent="0.2">
      <c r="L8833" s="12"/>
      <c r="M8833" s="13"/>
    </row>
    <row r="8834" spans="12:13" x14ac:dyDescent="0.2">
      <c r="L8834" s="12"/>
      <c r="M8834" s="13"/>
    </row>
    <row r="8835" spans="12:13" x14ac:dyDescent="0.2">
      <c r="L8835" s="12"/>
      <c r="M8835" s="13"/>
    </row>
    <row r="8836" spans="12:13" x14ac:dyDescent="0.2">
      <c r="L8836" s="12"/>
      <c r="M8836" s="13"/>
    </row>
    <row r="8837" spans="12:13" x14ac:dyDescent="0.2">
      <c r="L8837" s="12"/>
      <c r="M8837" s="13"/>
    </row>
    <row r="8838" spans="12:13" x14ac:dyDescent="0.2">
      <c r="L8838" s="12"/>
      <c r="M8838" s="13"/>
    </row>
    <row r="8839" spans="12:13" x14ac:dyDescent="0.2">
      <c r="L8839" s="12"/>
      <c r="M8839" s="13"/>
    </row>
    <row r="8840" spans="12:13" x14ac:dyDescent="0.2">
      <c r="L8840" s="12"/>
      <c r="M8840" s="13"/>
    </row>
    <row r="8841" spans="12:13" x14ac:dyDescent="0.2">
      <c r="L8841" s="12"/>
      <c r="M8841" s="13"/>
    </row>
    <row r="8842" spans="12:13" x14ac:dyDescent="0.2">
      <c r="L8842" s="12"/>
      <c r="M8842" s="13"/>
    </row>
    <row r="8843" spans="12:13" x14ac:dyDescent="0.2">
      <c r="L8843" s="12"/>
      <c r="M8843" s="13"/>
    </row>
    <row r="8844" spans="12:13" x14ac:dyDescent="0.2">
      <c r="L8844" s="12"/>
      <c r="M8844" s="13"/>
    </row>
    <row r="8845" spans="12:13" x14ac:dyDescent="0.2">
      <c r="L8845" s="12"/>
      <c r="M8845" s="13"/>
    </row>
    <row r="8846" spans="12:13" x14ac:dyDescent="0.2">
      <c r="L8846" s="12"/>
      <c r="M8846" s="13"/>
    </row>
    <row r="8847" spans="12:13" x14ac:dyDescent="0.2">
      <c r="L8847" s="12"/>
      <c r="M8847" s="13"/>
    </row>
    <row r="8848" spans="12:13" x14ac:dyDescent="0.2">
      <c r="L8848" s="12"/>
      <c r="M8848" s="13"/>
    </row>
    <row r="8849" spans="12:13" x14ac:dyDescent="0.2">
      <c r="L8849" s="12"/>
      <c r="M8849" s="13"/>
    </row>
    <row r="8850" spans="12:13" x14ac:dyDescent="0.2">
      <c r="L8850" s="12"/>
      <c r="M8850" s="13"/>
    </row>
    <row r="8851" spans="12:13" x14ac:dyDescent="0.2">
      <c r="L8851" s="12"/>
      <c r="M8851" s="13"/>
    </row>
    <row r="8852" spans="12:13" x14ac:dyDescent="0.2">
      <c r="L8852" s="12"/>
      <c r="M8852" s="13"/>
    </row>
    <row r="8853" spans="12:13" x14ac:dyDescent="0.2">
      <c r="L8853" s="12"/>
      <c r="M8853" s="13"/>
    </row>
    <row r="8854" spans="12:13" x14ac:dyDescent="0.2">
      <c r="L8854" s="12"/>
      <c r="M8854" s="13"/>
    </row>
    <row r="8855" spans="12:13" x14ac:dyDescent="0.2">
      <c r="L8855" s="12"/>
      <c r="M8855" s="13"/>
    </row>
    <row r="8856" spans="12:13" x14ac:dyDescent="0.2">
      <c r="L8856" s="12"/>
      <c r="M8856" s="13"/>
    </row>
    <row r="8857" spans="12:13" x14ac:dyDescent="0.2">
      <c r="L8857" s="12"/>
      <c r="M8857" s="13"/>
    </row>
    <row r="8858" spans="12:13" x14ac:dyDescent="0.2">
      <c r="L8858" s="12"/>
      <c r="M8858" s="13"/>
    </row>
    <row r="8859" spans="12:13" x14ac:dyDescent="0.2">
      <c r="L8859" s="12"/>
      <c r="M8859" s="13"/>
    </row>
    <row r="8860" spans="12:13" x14ac:dyDescent="0.2">
      <c r="L8860" s="12"/>
      <c r="M8860" s="13"/>
    </row>
    <row r="8861" spans="12:13" x14ac:dyDescent="0.2">
      <c r="L8861" s="12"/>
      <c r="M8861" s="13"/>
    </row>
    <row r="8862" spans="12:13" x14ac:dyDescent="0.2">
      <c r="L8862" s="12"/>
      <c r="M8862" s="13"/>
    </row>
    <row r="8863" spans="12:13" x14ac:dyDescent="0.2">
      <c r="L8863" s="12"/>
      <c r="M8863" s="13"/>
    </row>
    <row r="8864" spans="12:13" x14ac:dyDescent="0.2">
      <c r="L8864" s="12"/>
      <c r="M8864" s="13"/>
    </row>
    <row r="8865" spans="12:13" x14ac:dyDescent="0.2">
      <c r="L8865" s="12"/>
      <c r="M8865" s="13"/>
    </row>
    <row r="8866" spans="12:13" x14ac:dyDescent="0.2">
      <c r="L8866" s="12"/>
      <c r="M8866" s="13"/>
    </row>
    <row r="8867" spans="12:13" x14ac:dyDescent="0.2">
      <c r="L8867" s="12"/>
      <c r="M8867" s="13"/>
    </row>
    <row r="8868" spans="12:13" x14ac:dyDescent="0.2">
      <c r="L8868" s="12"/>
      <c r="M8868" s="13"/>
    </row>
    <row r="8869" spans="12:13" x14ac:dyDescent="0.2">
      <c r="L8869" s="12"/>
      <c r="M8869" s="13"/>
    </row>
    <row r="8870" spans="12:13" x14ac:dyDescent="0.2">
      <c r="L8870" s="12"/>
      <c r="M8870" s="13"/>
    </row>
    <row r="8871" spans="12:13" x14ac:dyDescent="0.2">
      <c r="L8871" s="12"/>
      <c r="M8871" s="13"/>
    </row>
    <row r="8872" spans="12:13" x14ac:dyDescent="0.2">
      <c r="L8872" s="12"/>
      <c r="M8872" s="13"/>
    </row>
    <row r="8873" spans="12:13" x14ac:dyDescent="0.2">
      <c r="L8873" s="12"/>
      <c r="M8873" s="13"/>
    </row>
    <row r="8874" spans="12:13" x14ac:dyDescent="0.2">
      <c r="L8874" s="12"/>
      <c r="M8874" s="13"/>
    </row>
    <row r="8875" spans="12:13" x14ac:dyDescent="0.2">
      <c r="L8875" s="12"/>
      <c r="M8875" s="13"/>
    </row>
    <row r="8876" spans="12:13" x14ac:dyDescent="0.2">
      <c r="L8876" s="12"/>
      <c r="M8876" s="13"/>
    </row>
    <row r="8877" spans="12:13" x14ac:dyDescent="0.2">
      <c r="L8877" s="12"/>
      <c r="M8877" s="13"/>
    </row>
    <row r="8878" spans="12:13" x14ac:dyDescent="0.2">
      <c r="L8878" s="12"/>
      <c r="M8878" s="13"/>
    </row>
    <row r="8879" spans="12:13" x14ac:dyDescent="0.2">
      <c r="L8879" s="12"/>
      <c r="M8879" s="13"/>
    </row>
    <row r="8880" spans="12:13" x14ac:dyDescent="0.2">
      <c r="L8880" s="12"/>
      <c r="M8880" s="13"/>
    </row>
    <row r="8881" spans="12:13" x14ac:dyDescent="0.2">
      <c r="L8881" s="12"/>
      <c r="M8881" s="13"/>
    </row>
    <row r="8882" spans="12:13" x14ac:dyDescent="0.2">
      <c r="L8882" s="12"/>
      <c r="M8882" s="13"/>
    </row>
    <row r="8883" spans="12:13" x14ac:dyDescent="0.2">
      <c r="L8883" s="12"/>
      <c r="M8883" s="13"/>
    </row>
    <row r="8884" spans="12:13" x14ac:dyDescent="0.2">
      <c r="L8884" s="12"/>
      <c r="M8884" s="13"/>
    </row>
    <row r="8885" spans="12:13" x14ac:dyDescent="0.2">
      <c r="L8885" s="12"/>
      <c r="M8885" s="13"/>
    </row>
    <row r="8886" spans="12:13" x14ac:dyDescent="0.2">
      <c r="L8886" s="12"/>
      <c r="M8886" s="13"/>
    </row>
    <row r="8887" spans="12:13" x14ac:dyDescent="0.2">
      <c r="L8887" s="12"/>
      <c r="M8887" s="13"/>
    </row>
    <row r="8888" spans="12:13" x14ac:dyDescent="0.2">
      <c r="L8888" s="12"/>
      <c r="M8888" s="13"/>
    </row>
    <row r="8889" spans="12:13" x14ac:dyDescent="0.2">
      <c r="L8889" s="12"/>
      <c r="M8889" s="13"/>
    </row>
    <row r="8890" spans="12:13" x14ac:dyDescent="0.2">
      <c r="L8890" s="12"/>
      <c r="M8890" s="13"/>
    </row>
    <row r="8891" spans="12:13" x14ac:dyDescent="0.2">
      <c r="L8891" s="12"/>
      <c r="M8891" s="13"/>
    </row>
    <row r="8892" spans="12:13" x14ac:dyDescent="0.2">
      <c r="L8892" s="12"/>
      <c r="M8892" s="13"/>
    </row>
    <row r="8893" spans="12:13" x14ac:dyDescent="0.2">
      <c r="L8893" s="12"/>
      <c r="M8893" s="13"/>
    </row>
    <row r="8894" spans="12:13" x14ac:dyDescent="0.2">
      <c r="L8894" s="12"/>
      <c r="M8894" s="13"/>
    </row>
    <row r="8895" spans="12:13" x14ac:dyDescent="0.2">
      <c r="L8895" s="12"/>
      <c r="M8895" s="13"/>
    </row>
    <row r="8896" spans="12:13" x14ac:dyDescent="0.2">
      <c r="L8896" s="12"/>
      <c r="M8896" s="13"/>
    </row>
    <row r="8897" spans="12:13" x14ac:dyDescent="0.2">
      <c r="L8897" s="12"/>
      <c r="M8897" s="13"/>
    </row>
    <row r="8898" spans="12:13" x14ac:dyDescent="0.2">
      <c r="L8898" s="12"/>
      <c r="M8898" s="13"/>
    </row>
    <row r="8899" spans="12:13" x14ac:dyDescent="0.2">
      <c r="L8899" s="12"/>
      <c r="M8899" s="13"/>
    </row>
    <row r="8900" spans="12:13" x14ac:dyDescent="0.2">
      <c r="L8900" s="12"/>
      <c r="M8900" s="13"/>
    </row>
    <row r="8901" spans="12:13" x14ac:dyDescent="0.2">
      <c r="L8901" s="12"/>
      <c r="M8901" s="13"/>
    </row>
    <row r="8902" spans="12:13" x14ac:dyDescent="0.2">
      <c r="L8902" s="12"/>
      <c r="M8902" s="13"/>
    </row>
    <row r="8903" spans="12:13" x14ac:dyDescent="0.2">
      <c r="L8903" s="12"/>
      <c r="M8903" s="13"/>
    </row>
    <row r="8904" spans="12:13" x14ac:dyDescent="0.2">
      <c r="L8904" s="12"/>
      <c r="M8904" s="13"/>
    </row>
    <row r="8905" spans="12:13" x14ac:dyDescent="0.2">
      <c r="L8905" s="12"/>
      <c r="M8905" s="13"/>
    </row>
    <row r="8906" spans="12:13" x14ac:dyDescent="0.2">
      <c r="L8906" s="12"/>
      <c r="M8906" s="13"/>
    </row>
    <row r="8907" spans="12:13" x14ac:dyDescent="0.2">
      <c r="L8907" s="12"/>
      <c r="M8907" s="13"/>
    </row>
    <row r="8908" spans="12:13" x14ac:dyDescent="0.2">
      <c r="L8908" s="12"/>
      <c r="M8908" s="13"/>
    </row>
    <row r="8909" spans="12:13" x14ac:dyDescent="0.2">
      <c r="L8909" s="12"/>
      <c r="M8909" s="13"/>
    </row>
    <row r="8910" spans="12:13" x14ac:dyDescent="0.2">
      <c r="L8910" s="12"/>
      <c r="M8910" s="13"/>
    </row>
    <row r="8911" spans="12:13" x14ac:dyDescent="0.2">
      <c r="L8911" s="12"/>
      <c r="M8911" s="13"/>
    </row>
    <row r="8912" spans="12:13" x14ac:dyDescent="0.2">
      <c r="L8912" s="12"/>
      <c r="M8912" s="13"/>
    </row>
    <row r="8913" spans="12:13" x14ac:dyDescent="0.2">
      <c r="L8913" s="12"/>
      <c r="M8913" s="13"/>
    </row>
    <row r="8914" spans="12:13" x14ac:dyDescent="0.2">
      <c r="L8914" s="12"/>
      <c r="M8914" s="13"/>
    </row>
    <row r="8915" spans="12:13" x14ac:dyDescent="0.2">
      <c r="L8915" s="12"/>
      <c r="M8915" s="13"/>
    </row>
    <row r="8916" spans="12:13" x14ac:dyDescent="0.2">
      <c r="L8916" s="12"/>
      <c r="M8916" s="13"/>
    </row>
    <row r="8917" spans="12:13" x14ac:dyDescent="0.2">
      <c r="L8917" s="12"/>
      <c r="M8917" s="13"/>
    </row>
    <row r="8918" spans="12:13" x14ac:dyDescent="0.2">
      <c r="L8918" s="12"/>
      <c r="M8918" s="13"/>
    </row>
    <row r="8919" spans="12:13" x14ac:dyDescent="0.2">
      <c r="L8919" s="12"/>
      <c r="M8919" s="13"/>
    </row>
    <row r="8920" spans="12:13" x14ac:dyDescent="0.2">
      <c r="L8920" s="12"/>
      <c r="M8920" s="13"/>
    </row>
    <row r="8921" spans="12:13" x14ac:dyDescent="0.2">
      <c r="L8921" s="12"/>
      <c r="M8921" s="13"/>
    </row>
    <row r="8922" spans="12:13" x14ac:dyDescent="0.2">
      <c r="L8922" s="12"/>
      <c r="M8922" s="13"/>
    </row>
    <row r="8923" spans="12:13" x14ac:dyDescent="0.2">
      <c r="L8923" s="12"/>
      <c r="M8923" s="13"/>
    </row>
    <row r="8924" spans="12:13" x14ac:dyDescent="0.2">
      <c r="L8924" s="12"/>
      <c r="M8924" s="13"/>
    </row>
    <row r="8925" spans="12:13" x14ac:dyDescent="0.2">
      <c r="L8925" s="12"/>
      <c r="M8925" s="13"/>
    </row>
    <row r="8926" spans="12:13" x14ac:dyDescent="0.2">
      <c r="L8926" s="12"/>
      <c r="M8926" s="13"/>
    </row>
    <row r="8927" spans="12:13" x14ac:dyDescent="0.2">
      <c r="L8927" s="12"/>
      <c r="M8927" s="13"/>
    </row>
    <row r="8928" spans="12:13" x14ac:dyDescent="0.2">
      <c r="L8928" s="12"/>
      <c r="M8928" s="13"/>
    </row>
    <row r="8929" spans="12:13" x14ac:dyDescent="0.2">
      <c r="L8929" s="12"/>
      <c r="M8929" s="13"/>
    </row>
    <row r="8930" spans="12:13" x14ac:dyDescent="0.2">
      <c r="L8930" s="12"/>
      <c r="M8930" s="13"/>
    </row>
    <row r="8931" spans="12:13" x14ac:dyDescent="0.2">
      <c r="L8931" s="12"/>
      <c r="M8931" s="13"/>
    </row>
    <row r="8932" spans="12:13" x14ac:dyDescent="0.2">
      <c r="L8932" s="12"/>
      <c r="M8932" s="13"/>
    </row>
    <row r="8933" spans="12:13" x14ac:dyDescent="0.2">
      <c r="L8933" s="12"/>
      <c r="M8933" s="13"/>
    </row>
    <row r="8934" spans="12:13" x14ac:dyDescent="0.2">
      <c r="L8934" s="12"/>
      <c r="M8934" s="13"/>
    </row>
    <row r="8935" spans="12:13" x14ac:dyDescent="0.2">
      <c r="L8935" s="12"/>
      <c r="M8935" s="13"/>
    </row>
    <row r="8936" spans="12:13" x14ac:dyDescent="0.2">
      <c r="L8936" s="12"/>
      <c r="M8936" s="13"/>
    </row>
    <row r="8937" spans="12:13" x14ac:dyDescent="0.2">
      <c r="L8937" s="12"/>
      <c r="M8937" s="13"/>
    </row>
    <row r="8938" spans="12:13" x14ac:dyDescent="0.2">
      <c r="L8938" s="12"/>
      <c r="M8938" s="13"/>
    </row>
    <row r="8939" spans="12:13" x14ac:dyDescent="0.2">
      <c r="L8939" s="12"/>
      <c r="M8939" s="13"/>
    </row>
    <row r="8940" spans="12:13" x14ac:dyDescent="0.2">
      <c r="L8940" s="12"/>
      <c r="M8940" s="13"/>
    </row>
    <row r="8941" spans="12:13" x14ac:dyDescent="0.2">
      <c r="L8941" s="12"/>
      <c r="M8941" s="13"/>
    </row>
    <row r="8942" spans="12:13" x14ac:dyDescent="0.2">
      <c r="L8942" s="12"/>
      <c r="M8942" s="13"/>
    </row>
    <row r="8943" spans="12:13" x14ac:dyDescent="0.2">
      <c r="L8943" s="12"/>
      <c r="M8943" s="13"/>
    </row>
    <row r="8944" spans="12:13" x14ac:dyDescent="0.2">
      <c r="L8944" s="12"/>
      <c r="M8944" s="13"/>
    </row>
    <row r="8945" spans="12:13" x14ac:dyDescent="0.2">
      <c r="L8945" s="12"/>
      <c r="M8945" s="13"/>
    </row>
    <row r="8946" spans="12:13" x14ac:dyDescent="0.2">
      <c r="L8946" s="12"/>
      <c r="M8946" s="13"/>
    </row>
    <row r="8947" spans="12:13" x14ac:dyDescent="0.2">
      <c r="L8947" s="12"/>
      <c r="M8947" s="13"/>
    </row>
    <row r="8948" spans="12:13" x14ac:dyDescent="0.2">
      <c r="L8948" s="12"/>
      <c r="M8948" s="13"/>
    </row>
    <row r="8949" spans="12:13" x14ac:dyDescent="0.2">
      <c r="L8949" s="12"/>
      <c r="M8949" s="13"/>
    </row>
    <row r="8950" spans="12:13" x14ac:dyDescent="0.2">
      <c r="L8950" s="12"/>
      <c r="M8950" s="13"/>
    </row>
    <row r="8951" spans="12:13" x14ac:dyDescent="0.2">
      <c r="L8951" s="12"/>
      <c r="M8951" s="13"/>
    </row>
    <row r="8952" spans="12:13" x14ac:dyDescent="0.2">
      <c r="L8952" s="12"/>
      <c r="M8952" s="13"/>
    </row>
    <row r="8953" spans="12:13" x14ac:dyDescent="0.2">
      <c r="L8953" s="12"/>
      <c r="M8953" s="13"/>
    </row>
    <row r="8954" spans="12:13" x14ac:dyDescent="0.2">
      <c r="L8954" s="12"/>
      <c r="M8954" s="13"/>
    </row>
    <row r="8955" spans="12:13" x14ac:dyDescent="0.2">
      <c r="L8955" s="12"/>
      <c r="M8955" s="13"/>
    </row>
    <row r="8956" spans="12:13" x14ac:dyDescent="0.2">
      <c r="L8956" s="12"/>
      <c r="M8956" s="13"/>
    </row>
    <row r="8957" spans="12:13" x14ac:dyDescent="0.2">
      <c r="L8957" s="12"/>
      <c r="M8957" s="13"/>
    </row>
    <row r="8958" spans="12:13" x14ac:dyDescent="0.2">
      <c r="L8958" s="12"/>
      <c r="M8958" s="13"/>
    </row>
    <row r="8959" spans="12:13" x14ac:dyDescent="0.2">
      <c r="L8959" s="12"/>
      <c r="M8959" s="13"/>
    </row>
    <row r="8960" spans="12:13" x14ac:dyDescent="0.2">
      <c r="L8960" s="12"/>
      <c r="M8960" s="13"/>
    </row>
    <row r="8961" spans="12:13" x14ac:dyDescent="0.2">
      <c r="L8961" s="12"/>
      <c r="M8961" s="13"/>
    </row>
    <row r="8962" spans="12:13" x14ac:dyDescent="0.2">
      <c r="L8962" s="17"/>
      <c r="M8962" s="18"/>
    </row>
    <row r="8963" spans="12:13" x14ac:dyDescent="0.2">
      <c r="L8963" s="12"/>
      <c r="M8963" s="13"/>
    </row>
    <row r="8964" spans="12:13" x14ac:dyDescent="0.2">
      <c r="L8964" s="12"/>
      <c r="M8964" s="13"/>
    </row>
    <row r="8965" spans="12:13" x14ac:dyDescent="0.2">
      <c r="L8965" s="12"/>
      <c r="M8965" s="13"/>
    </row>
    <row r="8966" spans="12:13" x14ac:dyDescent="0.2">
      <c r="L8966" s="12"/>
      <c r="M8966" s="13"/>
    </row>
    <row r="8967" spans="12:13" x14ac:dyDescent="0.2">
      <c r="L8967" s="12"/>
      <c r="M8967" s="13"/>
    </row>
    <row r="8968" spans="12:13" x14ac:dyDescent="0.2">
      <c r="L8968" s="12"/>
      <c r="M8968" s="13"/>
    </row>
    <row r="8969" spans="12:13" x14ac:dyDescent="0.2">
      <c r="L8969" s="12"/>
      <c r="M8969" s="13"/>
    </row>
    <row r="8970" spans="12:13" x14ac:dyDescent="0.2">
      <c r="L8970" s="12"/>
      <c r="M8970" s="13"/>
    </row>
    <row r="8971" spans="12:13" x14ac:dyDescent="0.2">
      <c r="L8971" s="12"/>
      <c r="M8971" s="13"/>
    </row>
    <row r="8972" spans="12:13" x14ac:dyDescent="0.2">
      <c r="L8972" s="12"/>
      <c r="M8972" s="13"/>
    </row>
    <row r="8973" spans="12:13" x14ac:dyDescent="0.2">
      <c r="L8973" s="12"/>
      <c r="M8973" s="13"/>
    </row>
    <row r="8974" spans="12:13" x14ac:dyDescent="0.2">
      <c r="L8974" s="12"/>
      <c r="M8974" s="13"/>
    </row>
    <row r="8975" spans="12:13" x14ac:dyDescent="0.2">
      <c r="L8975" s="12"/>
      <c r="M8975" s="13"/>
    </row>
    <row r="8976" spans="12:13" x14ac:dyDescent="0.2">
      <c r="L8976" s="12"/>
      <c r="M8976" s="13"/>
    </row>
    <row r="8977" spans="12:13" x14ac:dyDescent="0.2">
      <c r="L8977" s="12"/>
      <c r="M8977" s="13"/>
    </row>
    <row r="8978" spans="12:13" x14ac:dyDescent="0.2">
      <c r="L8978" s="12"/>
      <c r="M8978" s="13"/>
    </row>
    <row r="8979" spans="12:13" x14ac:dyDescent="0.2">
      <c r="L8979" s="12"/>
      <c r="M8979" s="13"/>
    </row>
    <row r="8980" spans="12:13" x14ac:dyDescent="0.2">
      <c r="L8980" s="12"/>
      <c r="M8980" s="13"/>
    </row>
    <row r="8981" spans="12:13" x14ac:dyDescent="0.2">
      <c r="L8981" s="12"/>
      <c r="M8981" s="13"/>
    </row>
    <row r="8982" spans="12:13" x14ac:dyDescent="0.2">
      <c r="L8982" s="12"/>
      <c r="M8982" s="13"/>
    </row>
    <row r="8983" spans="12:13" x14ac:dyDescent="0.2">
      <c r="L8983" s="12"/>
      <c r="M8983" s="13"/>
    </row>
    <row r="8984" spans="12:13" x14ac:dyDescent="0.2">
      <c r="L8984" s="12"/>
      <c r="M8984" s="13"/>
    </row>
    <row r="8985" spans="12:13" x14ac:dyDescent="0.2">
      <c r="L8985" s="12"/>
      <c r="M8985" s="13"/>
    </row>
    <row r="8986" spans="12:13" x14ac:dyDescent="0.2">
      <c r="L8986" s="12"/>
      <c r="M8986" s="13"/>
    </row>
    <row r="8987" spans="12:13" x14ac:dyDescent="0.2">
      <c r="L8987" s="12"/>
      <c r="M8987" s="13"/>
    </row>
    <row r="8988" spans="12:13" x14ac:dyDescent="0.2">
      <c r="L8988" s="12"/>
      <c r="M8988" s="13"/>
    </row>
    <row r="8989" spans="12:13" x14ac:dyDescent="0.2">
      <c r="L8989" s="12"/>
      <c r="M8989" s="13"/>
    </row>
    <row r="8990" spans="12:13" x14ac:dyDescent="0.2">
      <c r="L8990" s="12"/>
      <c r="M8990" s="13"/>
    </row>
    <row r="8991" spans="12:13" x14ac:dyDescent="0.2">
      <c r="L8991" s="12"/>
      <c r="M8991" s="13"/>
    </row>
    <row r="8992" spans="12:13" x14ac:dyDescent="0.2">
      <c r="L8992" s="12"/>
      <c r="M8992" s="13"/>
    </row>
    <row r="8993" spans="12:13" x14ac:dyDescent="0.2">
      <c r="L8993" s="12"/>
      <c r="M8993" s="13"/>
    </row>
    <row r="8994" spans="12:13" x14ac:dyDescent="0.2">
      <c r="L8994" s="12"/>
      <c r="M8994" s="13"/>
    </row>
    <row r="8995" spans="12:13" x14ac:dyDescent="0.2">
      <c r="L8995" s="12"/>
      <c r="M8995" s="13"/>
    </row>
    <row r="8996" spans="12:13" x14ac:dyDescent="0.2">
      <c r="L8996" s="12"/>
      <c r="M8996" s="13"/>
    </row>
    <row r="8997" spans="12:13" x14ac:dyDescent="0.2">
      <c r="L8997" s="12"/>
      <c r="M8997" s="13"/>
    </row>
    <row r="8998" spans="12:13" x14ac:dyDescent="0.2">
      <c r="L8998" s="12"/>
      <c r="M8998" s="13"/>
    </row>
    <row r="8999" spans="12:13" x14ac:dyDescent="0.2">
      <c r="L8999" s="12"/>
      <c r="M8999" s="13"/>
    </row>
    <row r="9000" spans="12:13" x14ac:dyDescent="0.2">
      <c r="L9000" s="12"/>
      <c r="M9000" s="13"/>
    </row>
    <row r="9001" spans="12:13" x14ac:dyDescent="0.2">
      <c r="L9001" s="12"/>
      <c r="M9001" s="13"/>
    </row>
    <row r="9002" spans="12:13" x14ac:dyDescent="0.2">
      <c r="L9002" s="12"/>
      <c r="M9002" s="13"/>
    </row>
    <row r="9003" spans="12:13" x14ac:dyDescent="0.2">
      <c r="L9003" s="12"/>
      <c r="M9003" s="13"/>
    </row>
    <row r="9004" spans="12:13" x14ac:dyDescent="0.2">
      <c r="L9004" s="12"/>
      <c r="M9004" s="13"/>
    </row>
    <row r="9005" spans="12:13" x14ac:dyDescent="0.2">
      <c r="L9005" s="12"/>
      <c r="M9005" s="13"/>
    </row>
    <row r="9006" spans="12:13" x14ac:dyDescent="0.2">
      <c r="L9006" s="12"/>
      <c r="M9006" s="13"/>
    </row>
    <row r="9007" spans="12:13" x14ac:dyDescent="0.2">
      <c r="L9007" s="12"/>
      <c r="M9007" s="13"/>
    </row>
    <row r="9008" spans="12:13" x14ac:dyDescent="0.2">
      <c r="L9008" s="12"/>
      <c r="M9008" s="13"/>
    </row>
    <row r="9009" spans="12:13" x14ac:dyDescent="0.2">
      <c r="L9009" s="12"/>
      <c r="M9009" s="13"/>
    </row>
    <row r="9010" spans="12:13" x14ac:dyDescent="0.2">
      <c r="L9010" s="12"/>
      <c r="M9010" s="13"/>
    </row>
    <row r="9011" spans="12:13" x14ac:dyDescent="0.2">
      <c r="L9011" s="12"/>
      <c r="M9011" s="13"/>
    </row>
    <row r="9012" spans="12:13" x14ac:dyDescent="0.2">
      <c r="L9012" s="12"/>
      <c r="M9012" s="13"/>
    </row>
    <row r="9013" spans="12:13" x14ac:dyDescent="0.2">
      <c r="L9013" s="12"/>
      <c r="M9013" s="13"/>
    </row>
    <row r="9014" spans="12:13" x14ac:dyDescent="0.2">
      <c r="L9014" s="12"/>
      <c r="M9014" s="13"/>
    </row>
    <row r="9015" spans="12:13" x14ac:dyDescent="0.2">
      <c r="L9015" s="12"/>
      <c r="M9015" s="13"/>
    </row>
    <row r="9016" spans="12:13" x14ac:dyDescent="0.2">
      <c r="L9016" s="12"/>
      <c r="M9016" s="13"/>
    </row>
    <row r="9017" spans="12:13" x14ac:dyDescent="0.2">
      <c r="L9017" s="12"/>
      <c r="M9017" s="13"/>
    </row>
    <row r="9018" spans="12:13" x14ac:dyDescent="0.2">
      <c r="L9018" s="12"/>
      <c r="M9018" s="13"/>
    </row>
    <row r="9019" spans="12:13" x14ac:dyDescent="0.2">
      <c r="L9019" s="12"/>
      <c r="M9019" s="13"/>
    </row>
    <row r="9020" spans="12:13" x14ac:dyDescent="0.2">
      <c r="L9020" s="12"/>
      <c r="M9020" s="13"/>
    </row>
    <row r="9021" spans="12:13" x14ac:dyDescent="0.2">
      <c r="L9021" s="12"/>
      <c r="M9021" s="13"/>
    </row>
    <row r="9022" spans="12:13" x14ac:dyDescent="0.2">
      <c r="L9022" s="12"/>
      <c r="M9022" s="13"/>
    </row>
    <row r="9023" spans="12:13" x14ac:dyDescent="0.2">
      <c r="L9023" s="12"/>
      <c r="M9023" s="13"/>
    </row>
    <row r="9024" spans="12:13" x14ac:dyDescent="0.2">
      <c r="L9024" s="12"/>
      <c r="M9024" s="13"/>
    </row>
    <row r="9025" spans="12:13" x14ac:dyDescent="0.2">
      <c r="L9025" s="12"/>
      <c r="M9025" s="13"/>
    </row>
    <row r="9026" spans="12:13" x14ac:dyDescent="0.2">
      <c r="L9026" s="12"/>
      <c r="M9026" s="13"/>
    </row>
    <row r="9027" spans="12:13" x14ac:dyDescent="0.2">
      <c r="L9027" s="12"/>
      <c r="M9027" s="13"/>
    </row>
    <row r="9028" spans="12:13" x14ac:dyDescent="0.2">
      <c r="L9028" s="12"/>
      <c r="M9028" s="13"/>
    </row>
    <row r="9029" spans="12:13" x14ac:dyDescent="0.2">
      <c r="L9029" s="12"/>
      <c r="M9029" s="13"/>
    </row>
    <row r="9030" spans="12:13" x14ac:dyDescent="0.2">
      <c r="L9030" s="12"/>
      <c r="M9030" s="13"/>
    </row>
    <row r="9031" spans="12:13" x14ac:dyDescent="0.2">
      <c r="L9031" s="12"/>
      <c r="M9031" s="13"/>
    </row>
    <row r="9032" spans="12:13" x14ac:dyDescent="0.2">
      <c r="L9032" s="12"/>
      <c r="M9032" s="13"/>
    </row>
    <row r="9033" spans="12:13" x14ac:dyDescent="0.2">
      <c r="L9033" s="12"/>
      <c r="M9033" s="13"/>
    </row>
    <row r="9034" spans="12:13" x14ac:dyDescent="0.2">
      <c r="L9034" s="12"/>
      <c r="M9034" s="13"/>
    </row>
    <row r="9035" spans="12:13" x14ac:dyDescent="0.2">
      <c r="L9035" s="12"/>
      <c r="M9035" s="13"/>
    </row>
    <row r="9036" spans="12:13" x14ac:dyDescent="0.2">
      <c r="L9036" s="12"/>
      <c r="M9036" s="13"/>
    </row>
    <row r="9037" spans="12:13" x14ac:dyDescent="0.2">
      <c r="L9037" s="12"/>
      <c r="M9037" s="13"/>
    </row>
    <row r="9038" spans="12:13" x14ac:dyDescent="0.2">
      <c r="L9038" s="12"/>
      <c r="M9038" s="13"/>
    </row>
    <row r="9039" spans="12:13" x14ac:dyDescent="0.2">
      <c r="L9039" s="12"/>
      <c r="M9039" s="13"/>
    </row>
    <row r="9040" spans="12:13" x14ac:dyDescent="0.2">
      <c r="L9040" s="12"/>
      <c r="M9040" s="13"/>
    </row>
    <row r="9041" spans="12:13" x14ac:dyDescent="0.2">
      <c r="L9041" s="12"/>
      <c r="M9041" s="13"/>
    </row>
    <row r="9042" spans="12:13" x14ac:dyDescent="0.2">
      <c r="L9042" s="12"/>
      <c r="M9042" s="13"/>
    </row>
    <row r="9043" spans="12:13" x14ac:dyDescent="0.2">
      <c r="L9043" s="12"/>
      <c r="M9043" s="13"/>
    </row>
    <row r="9044" spans="12:13" x14ac:dyDescent="0.2">
      <c r="L9044" s="12"/>
      <c r="M9044" s="13"/>
    </row>
    <row r="9045" spans="12:13" x14ac:dyDescent="0.2">
      <c r="L9045" s="12"/>
      <c r="M9045" s="13"/>
    </row>
    <row r="9046" spans="12:13" x14ac:dyDescent="0.2">
      <c r="L9046" s="12"/>
      <c r="M9046" s="13"/>
    </row>
    <row r="9047" spans="12:13" x14ac:dyDescent="0.2">
      <c r="L9047" s="12"/>
      <c r="M9047" s="13"/>
    </row>
    <row r="9048" spans="12:13" x14ac:dyDescent="0.2">
      <c r="L9048" s="12"/>
      <c r="M9048" s="13"/>
    </row>
    <row r="9049" spans="12:13" x14ac:dyDescent="0.2">
      <c r="L9049" s="12"/>
      <c r="M9049" s="13"/>
    </row>
    <row r="9050" spans="12:13" x14ac:dyDescent="0.2">
      <c r="L9050" s="12"/>
      <c r="M9050" s="13"/>
    </row>
    <row r="9051" spans="12:13" x14ac:dyDescent="0.2">
      <c r="L9051" s="12"/>
      <c r="M9051" s="13"/>
    </row>
    <row r="9052" spans="12:13" x14ac:dyDescent="0.2">
      <c r="L9052" s="12"/>
      <c r="M9052" s="13"/>
    </row>
    <row r="9053" spans="12:13" x14ac:dyDescent="0.2">
      <c r="L9053" s="12"/>
      <c r="M9053" s="13"/>
    </row>
    <row r="9054" spans="12:13" x14ac:dyDescent="0.2">
      <c r="L9054" s="12"/>
      <c r="M9054" s="13"/>
    </row>
    <row r="9055" spans="12:13" x14ac:dyDescent="0.2">
      <c r="L9055" s="12"/>
      <c r="M9055" s="13"/>
    </row>
    <row r="9056" spans="12:13" x14ac:dyDescent="0.2">
      <c r="L9056" s="12"/>
      <c r="M9056" s="13"/>
    </row>
    <row r="9057" spans="12:13" x14ac:dyDescent="0.2">
      <c r="L9057" s="12"/>
      <c r="M9057" s="13"/>
    </row>
    <row r="9058" spans="12:13" x14ac:dyDescent="0.2">
      <c r="L9058" s="12"/>
      <c r="M9058" s="13"/>
    </row>
    <row r="9059" spans="12:13" x14ac:dyDescent="0.2">
      <c r="L9059" s="12"/>
      <c r="M9059" s="13"/>
    </row>
    <row r="9060" spans="12:13" x14ac:dyDescent="0.2">
      <c r="L9060" s="12"/>
      <c r="M9060" s="13"/>
    </row>
    <row r="9061" spans="12:13" x14ac:dyDescent="0.2">
      <c r="L9061" s="12"/>
      <c r="M9061" s="13"/>
    </row>
    <row r="9062" spans="12:13" x14ac:dyDescent="0.2">
      <c r="L9062" s="12"/>
      <c r="M9062" s="13"/>
    </row>
    <row r="9063" spans="12:13" x14ac:dyDescent="0.2">
      <c r="L9063" s="12"/>
      <c r="M9063" s="13"/>
    </row>
    <row r="9064" spans="12:13" x14ac:dyDescent="0.2">
      <c r="L9064" s="12"/>
      <c r="M9064" s="13"/>
    </row>
    <row r="9065" spans="12:13" x14ac:dyDescent="0.2">
      <c r="L9065" s="12"/>
      <c r="M9065" s="13"/>
    </row>
    <row r="9066" spans="12:13" x14ac:dyDescent="0.2">
      <c r="L9066" s="12"/>
      <c r="M9066" s="13"/>
    </row>
    <row r="9067" spans="12:13" x14ac:dyDescent="0.2">
      <c r="L9067" s="12"/>
      <c r="M9067" s="13"/>
    </row>
    <row r="9068" spans="12:13" x14ac:dyDescent="0.2">
      <c r="L9068" s="12"/>
      <c r="M9068" s="13"/>
    </row>
    <row r="9069" spans="12:13" x14ac:dyDescent="0.2">
      <c r="L9069" s="12"/>
      <c r="M9069" s="13"/>
    </row>
    <row r="9070" spans="12:13" x14ac:dyDescent="0.2">
      <c r="L9070" s="12"/>
      <c r="M9070" s="13"/>
    </row>
    <row r="9071" spans="12:13" x14ac:dyDescent="0.2">
      <c r="L9071" s="12"/>
      <c r="M9071" s="13"/>
    </row>
    <row r="9072" spans="12:13" x14ac:dyDescent="0.2">
      <c r="L9072" s="12"/>
      <c r="M9072" s="13"/>
    </row>
    <row r="9073" spans="12:13" x14ac:dyDescent="0.2">
      <c r="L9073" s="12"/>
      <c r="M9073" s="13"/>
    </row>
    <row r="9074" spans="12:13" x14ac:dyDescent="0.2">
      <c r="L9074" s="12"/>
      <c r="M9074" s="13"/>
    </row>
    <row r="9075" spans="12:13" x14ac:dyDescent="0.2">
      <c r="L9075" s="12"/>
      <c r="M9075" s="13"/>
    </row>
    <row r="9076" spans="12:13" x14ac:dyDescent="0.2">
      <c r="L9076" s="12"/>
      <c r="M9076" s="13"/>
    </row>
    <row r="9077" spans="12:13" x14ac:dyDescent="0.2">
      <c r="L9077" s="12"/>
      <c r="M9077" s="13"/>
    </row>
    <row r="9078" spans="12:13" x14ac:dyDescent="0.2">
      <c r="L9078" s="12"/>
      <c r="M9078" s="13"/>
    </row>
    <row r="9079" spans="12:13" x14ac:dyDescent="0.2">
      <c r="L9079" s="12"/>
      <c r="M9079" s="13"/>
    </row>
    <row r="9080" spans="12:13" x14ac:dyDescent="0.2">
      <c r="L9080" s="12"/>
      <c r="M9080" s="13"/>
    </row>
    <row r="9081" spans="12:13" x14ac:dyDescent="0.2">
      <c r="L9081" s="12"/>
      <c r="M9081" s="13"/>
    </row>
    <row r="9082" spans="12:13" x14ac:dyDescent="0.2">
      <c r="L9082" s="12"/>
      <c r="M9082" s="13"/>
    </row>
    <row r="9083" spans="12:13" x14ac:dyDescent="0.2">
      <c r="L9083" s="12"/>
      <c r="M9083" s="13"/>
    </row>
    <row r="9084" spans="12:13" x14ac:dyDescent="0.2">
      <c r="L9084" s="12"/>
      <c r="M9084" s="13"/>
    </row>
    <row r="9085" spans="12:13" x14ac:dyDescent="0.2">
      <c r="L9085" s="12"/>
      <c r="M9085" s="13"/>
    </row>
    <row r="9086" spans="12:13" x14ac:dyDescent="0.2">
      <c r="L9086" s="12"/>
      <c r="M9086" s="13"/>
    </row>
    <row r="9087" spans="12:13" x14ac:dyDescent="0.2">
      <c r="L9087" s="12"/>
      <c r="M9087" s="13"/>
    </row>
    <row r="9088" spans="12:13" x14ac:dyDescent="0.2">
      <c r="L9088" s="12"/>
      <c r="M9088" s="13"/>
    </row>
    <row r="9089" spans="12:13" x14ac:dyDescent="0.2">
      <c r="L9089" s="12"/>
      <c r="M9089" s="13"/>
    </row>
    <row r="9090" spans="12:13" x14ac:dyDescent="0.2">
      <c r="L9090" s="12"/>
      <c r="M9090" s="13"/>
    </row>
    <row r="9091" spans="12:13" x14ac:dyDescent="0.2">
      <c r="L9091" s="12"/>
      <c r="M9091" s="13"/>
    </row>
    <row r="9092" spans="12:13" x14ac:dyDescent="0.2">
      <c r="L9092" s="12"/>
      <c r="M9092" s="13"/>
    </row>
    <row r="9093" spans="12:13" x14ac:dyDescent="0.2">
      <c r="L9093" s="12"/>
      <c r="M9093" s="13"/>
    </row>
    <row r="9094" spans="12:13" x14ac:dyDescent="0.2">
      <c r="L9094" s="12"/>
      <c r="M9094" s="13"/>
    </row>
    <row r="9095" spans="12:13" x14ac:dyDescent="0.2">
      <c r="L9095" s="12"/>
      <c r="M9095" s="13"/>
    </row>
    <row r="9096" spans="12:13" x14ac:dyDescent="0.2">
      <c r="L9096" s="12"/>
      <c r="M9096" s="13"/>
    </row>
    <row r="9097" spans="12:13" x14ac:dyDescent="0.2">
      <c r="L9097" s="12"/>
      <c r="M9097" s="13"/>
    </row>
    <row r="9098" spans="12:13" x14ac:dyDescent="0.2">
      <c r="L9098" s="12"/>
      <c r="M9098" s="13"/>
    </row>
    <row r="9099" spans="12:13" x14ac:dyDescent="0.2">
      <c r="L9099" s="12"/>
      <c r="M9099" s="13"/>
    </row>
    <row r="9100" spans="12:13" x14ac:dyDescent="0.2">
      <c r="L9100" s="12"/>
      <c r="M9100" s="13"/>
    </row>
    <row r="9101" spans="12:13" x14ac:dyDescent="0.2">
      <c r="L9101" s="12"/>
      <c r="M9101" s="13"/>
    </row>
    <row r="9102" spans="12:13" x14ac:dyDescent="0.2">
      <c r="L9102" s="12"/>
      <c r="M9102" s="13"/>
    </row>
    <row r="9103" spans="12:13" x14ac:dyDescent="0.2">
      <c r="L9103" s="12"/>
      <c r="M9103" s="13"/>
    </row>
    <row r="9104" spans="12:13" x14ac:dyDescent="0.2">
      <c r="L9104" s="12"/>
      <c r="M9104" s="13"/>
    </row>
    <row r="9105" spans="12:13" x14ac:dyDescent="0.2">
      <c r="L9105" s="12"/>
      <c r="M9105" s="13"/>
    </row>
    <row r="9106" spans="12:13" x14ac:dyDescent="0.2">
      <c r="L9106" s="12"/>
      <c r="M9106" s="13"/>
    </row>
    <row r="9107" spans="12:13" x14ac:dyDescent="0.2">
      <c r="L9107" s="12"/>
      <c r="M9107" s="13"/>
    </row>
    <row r="9108" spans="12:13" x14ac:dyDescent="0.2">
      <c r="L9108" s="12"/>
      <c r="M9108" s="13"/>
    </row>
    <row r="9109" spans="12:13" x14ac:dyDescent="0.2">
      <c r="L9109" s="12"/>
      <c r="M9109" s="13"/>
    </row>
    <row r="9110" spans="12:13" x14ac:dyDescent="0.2">
      <c r="L9110" s="12"/>
      <c r="M9110" s="13"/>
    </row>
    <row r="9111" spans="12:13" x14ac:dyDescent="0.2">
      <c r="L9111" s="12"/>
      <c r="M9111" s="13"/>
    </row>
    <row r="9112" spans="12:13" x14ac:dyDescent="0.2">
      <c r="L9112" s="12"/>
      <c r="M9112" s="13"/>
    </row>
    <row r="9113" spans="12:13" x14ac:dyDescent="0.2">
      <c r="L9113" s="12"/>
      <c r="M9113" s="13"/>
    </row>
    <row r="9114" spans="12:13" x14ac:dyDescent="0.2">
      <c r="L9114" s="12"/>
      <c r="M9114" s="13"/>
    </row>
    <row r="9115" spans="12:13" x14ac:dyDescent="0.2">
      <c r="L9115" s="12"/>
      <c r="M9115" s="13"/>
    </row>
    <row r="9116" spans="12:13" x14ac:dyDescent="0.2">
      <c r="L9116" s="12"/>
      <c r="M9116" s="13"/>
    </row>
    <row r="9117" spans="12:13" x14ac:dyDescent="0.2">
      <c r="L9117" s="12"/>
      <c r="M9117" s="13"/>
    </row>
    <row r="9118" spans="12:13" x14ac:dyDescent="0.2">
      <c r="L9118" s="12"/>
      <c r="M9118" s="13"/>
    </row>
    <row r="9119" spans="12:13" x14ac:dyDescent="0.2">
      <c r="L9119" s="12"/>
      <c r="M9119" s="13"/>
    </row>
    <row r="9120" spans="12:13" x14ac:dyDescent="0.2">
      <c r="L9120" s="12"/>
      <c r="M9120" s="13"/>
    </row>
    <row r="9121" spans="12:13" x14ac:dyDescent="0.2">
      <c r="L9121" s="12"/>
      <c r="M9121" s="13"/>
    </row>
    <row r="9122" spans="12:13" x14ac:dyDescent="0.2">
      <c r="L9122" s="12"/>
      <c r="M9122" s="13"/>
    </row>
    <row r="9123" spans="12:13" x14ac:dyDescent="0.2">
      <c r="L9123" s="12"/>
      <c r="M9123" s="13"/>
    </row>
    <row r="9124" spans="12:13" x14ac:dyDescent="0.2">
      <c r="L9124" s="12"/>
      <c r="M9124" s="13"/>
    </row>
    <row r="9125" spans="12:13" x14ac:dyDescent="0.2">
      <c r="L9125" s="12"/>
      <c r="M9125" s="13"/>
    </row>
    <row r="9126" spans="12:13" x14ac:dyDescent="0.2">
      <c r="L9126" s="12"/>
      <c r="M9126" s="13"/>
    </row>
    <row r="9127" spans="12:13" x14ac:dyDescent="0.2">
      <c r="L9127" s="12"/>
      <c r="M9127" s="13"/>
    </row>
    <row r="9128" spans="12:13" x14ac:dyDescent="0.2">
      <c r="L9128" s="12"/>
      <c r="M9128" s="13"/>
    </row>
    <row r="9129" spans="12:13" x14ac:dyDescent="0.2">
      <c r="L9129" s="12"/>
      <c r="M9129" s="13"/>
    </row>
    <row r="9130" spans="12:13" x14ac:dyDescent="0.2">
      <c r="L9130" s="12"/>
      <c r="M9130" s="13"/>
    </row>
    <row r="9131" spans="12:13" x14ac:dyDescent="0.2">
      <c r="L9131" s="12"/>
      <c r="M9131" s="13"/>
    </row>
    <row r="9132" spans="12:13" x14ac:dyDescent="0.2">
      <c r="L9132" s="12"/>
      <c r="M9132" s="13"/>
    </row>
    <row r="9133" spans="12:13" x14ac:dyDescent="0.2">
      <c r="L9133" s="12"/>
      <c r="M9133" s="13"/>
    </row>
    <row r="9134" spans="12:13" x14ac:dyDescent="0.2">
      <c r="L9134" s="12"/>
      <c r="M9134" s="13"/>
    </row>
    <row r="9135" spans="12:13" x14ac:dyDescent="0.2">
      <c r="L9135" s="12"/>
      <c r="M9135" s="13"/>
    </row>
    <row r="9136" spans="12:13" x14ac:dyDescent="0.2">
      <c r="L9136" s="12"/>
      <c r="M9136" s="13"/>
    </row>
    <row r="9137" spans="12:13" x14ac:dyDescent="0.2">
      <c r="L9137" s="12"/>
      <c r="M9137" s="13"/>
    </row>
    <row r="9138" spans="12:13" x14ac:dyDescent="0.2">
      <c r="L9138" s="12"/>
      <c r="M9138" s="13"/>
    </row>
    <row r="9139" spans="12:13" x14ac:dyDescent="0.2">
      <c r="L9139" s="12"/>
      <c r="M9139" s="13"/>
    </row>
    <row r="9140" spans="12:13" x14ac:dyDescent="0.2">
      <c r="L9140" s="12"/>
      <c r="M9140" s="13"/>
    </row>
    <row r="9141" spans="12:13" x14ac:dyDescent="0.2">
      <c r="L9141" s="12"/>
      <c r="M9141" s="13"/>
    </row>
    <row r="9142" spans="12:13" x14ac:dyDescent="0.2">
      <c r="L9142" s="12"/>
      <c r="M9142" s="13"/>
    </row>
    <row r="9143" spans="12:13" x14ac:dyDescent="0.2">
      <c r="L9143" s="12"/>
      <c r="M9143" s="13"/>
    </row>
    <row r="9144" spans="12:13" x14ac:dyDescent="0.2">
      <c r="L9144" s="12"/>
      <c r="M9144" s="13"/>
    </row>
    <row r="9145" spans="12:13" x14ac:dyDescent="0.2">
      <c r="L9145" s="12"/>
      <c r="M9145" s="13"/>
    </row>
    <row r="9146" spans="12:13" x14ac:dyDescent="0.2">
      <c r="L9146" s="12"/>
      <c r="M9146" s="13"/>
    </row>
    <row r="9147" spans="12:13" x14ac:dyDescent="0.2">
      <c r="L9147" s="12"/>
      <c r="M9147" s="13"/>
    </row>
    <row r="9148" spans="12:13" x14ac:dyDescent="0.2">
      <c r="L9148" s="12"/>
      <c r="M9148" s="13"/>
    </row>
    <row r="9149" spans="12:13" x14ac:dyDescent="0.2">
      <c r="L9149" s="12"/>
      <c r="M9149" s="13"/>
    </row>
    <row r="9150" spans="12:13" x14ac:dyDescent="0.2">
      <c r="L9150" s="12"/>
      <c r="M9150" s="13"/>
    </row>
    <row r="9151" spans="12:13" x14ac:dyDescent="0.2">
      <c r="L9151" s="12"/>
      <c r="M9151" s="13"/>
    </row>
    <row r="9152" spans="12:13" x14ac:dyDescent="0.2">
      <c r="L9152" s="12"/>
      <c r="M9152" s="13"/>
    </row>
    <row r="9153" spans="12:13" x14ac:dyDescent="0.2">
      <c r="L9153" s="12"/>
      <c r="M9153" s="13"/>
    </row>
    <row r="9154" spans="12:13" x14ac:dyDescent="0.2">
      <c r="L9154" s="12"/>
      <c r="M9154" s="13"/>
    </row>
    <row r="9155" spans="12:13" x14ac:dyDescent="0.2">
      <c r="L9155" s="12"/>
      <c r="M9155" s="13"/>
    </row>
    <row r="9156" spans="12:13" x14ac:dyDescent="0.2">
      <c r="L9156" s="12"/>
      <c r="M9156" s="13"/>
    </row>
    <row r="9157" spans="12:13" x14ac:dyDescent="0.2">
      <c r="L9157" s="12"/>
      <c r="M9157" s="13"/>
    </row>
    <row r="9158" spans="12:13" x14ac:dyDescent="0.2">
      <c r="L9158" s="12"/>
      <c r="M9158" s="13"/>
    </row>
    <row r="9159" spans="12:13" x14ac:dyDescent="0.2">
      <c r="L9159" s="12"/>
      <c r="M9159" s="13"/>
    </row>
    <row r="9160" spans="12:13" x14ac:dyDescent="0.2">
      <c r="L9160" s="12"/>
      <c r="M9160" s="13"/>
    </row>
    <row r="9161" spans="12:13" x14ac:dyDescent="0.2">
      <c r="L9161" s="12"/>
      <c r="M9161" s="13"/>
    </row>
    <row r="9162" spans="12:13" x14ac:dyDescent="0.2">
      <c r="L9162" s="12"/>
      <c r="M9162" s="13"/>
    </row>
    <row r="9163" spans="12:13" x14ac:dyDescent="0.2">
      <c r="L9163" s="12"/>
      <c r="M9163" s="13"/>
    </row>
    <row r="9164" spans="12:13" x14ac:dyDescent="0.2">
      <c r="L9164" s="12"/>
      <c r="M9164" s="13"/>
    </row>
    <row r="9165" spans="12:13" x14ac:dyDescent="0.2">
      <c r="L9165" s="12"/>
      <c r="M9165" s="13"/>
    </row>
    <row r="9166" spans="12:13" x14ac:dyDescent="0.2">
      <c r="L9166" s="12"/>
      <c r="M9166" s="13"/>
    </row>
    <row r="9167" spans="12:13" x14ac:dyDescent="0.2">
      <c r="L9167" s="12"/>
      <c r="M9167" s="13"/>
    </row>
    <row r="9168" spans="12:13" x14ac:dyDescent="0.2">
      <c r="L9168" s="12"/>
      <c r="M9168" s="13"/>
    </row>
    <row r="9169" spans="12:13" x14ac:dyDescent="0.2">
      <c r="L9169" s="12"/>
      <c r="M9169" s="13"/>
    </row>
    <row r="9170" spans="12:13" x14ac:dyDescent="0.2">
      <c r="L9170" s="12"/>
      <c r="M9170" s="13"/>
    </row>
    <row r="9171" spans="12:13" x14ac:dyDescent="0.2">
      <c r="L9171" s="12"/>
      <c r="M9171" s="13"/>
    </row>
    <row r="9172" spans="12:13" x14ac:dyDescent="0.2">
      <c r="L9172" s="12"/>
      <c r="M9172" s="13"/>
    </row>
    <row r="9173" spans="12:13" x14ac:dyDescent="0.2">
      <c r="L9173" s="12"/>
      <c r="M9173" s="13"/>
    </row>
    <row r="9174" spans="12:13" x14ac:dyDescent="0.2">
      <c r="L9174" s="12"/>
      <c r="M9174" s="13"/>
    </row>
    <row r="9175" spans="12:13" x14ac:dyDescent="0.2">
      <c r="L9175" s="12"/>
      <c r="M9175" s="13"/>
    </row>
    <row r="9176" spans="12:13" x14ac:dyDescent="0.2">
      <c r="L9176" s="12"/>
      <c r="M9176" s="13"/>
    </row>
    <row r="9177" spans="12:13" x14ac:dyDescent="0.2">
      <c r="L9177" s="12"/>
      <c r="M9177" s="13"/>
    </row>
    <row r="9178" spans="12:13" x14ac:dyDescent="0.2">
      <c r="L9178" s="12"/>
      <c r="M9178" s="13"/>
    </row>
    <row r="9179" spans="12:13" x14ac:dyDescent="0.2">
      <c r="L9179" s="12"/>
      <c r="M9179" s="13"/>
    </row>
    <row r="9180" spans="12:13" x14ac:dyDescent="0.2">
      <c r="L9180" s="12"/>
      <c r="M9180" s="13"/>
    </row>
    <row r="9181" spans="12:13" x14ac:dyDescent="0.2">
      <c r="L9181" s="12"/>
      <c r="M9181" s="13"/>
    </row>
    <row r="9182" spans="12:13" x14ac:dyDescent="0.2">
      <c r="L9182" s="12"/>
      <c r="M9182" s="13"/>
    </row>
    <row r="9183" spans="12:13" x14ac:dyDescent="0.2">
      <c r="L9183" s="12"/>
      <c r="M9183" s="13"/>
    </row>
    <row r="9184" spans="12:13" x14ac:dyDescent="0.2">
      <c r="L9184" s="12"/>
      <c r="M9184" s="13"/>
    </row>
    <row r="9185" spans="12:13" x14ac:dyDescent="0.2">
      <c r="L9185" s="12"/>
      <c r="M9185" s="13"/>
    </row>
    <row r="9186" spans="12:13" x14ac:dyDescent="0.2">
      <c r="L9186" s="12"/>
      <c r="M9186" s="13"/>
    </row>
    <row r="9187" spans="12:13" x14ac:dyDescent="0.2">
      <c r="L9187" s="12"/>
      <c r="M9187" s="13"/>
    </row>
    <row r="9188" spans="12:13" x14ac:dyDescent="0.2">
      <c r="L9188" s="12"/>
      <c r="M9188" s="13"/>
    </row>
    <row r="9189" spans="12:13" x14ac:dyDescent="0.2">
      <c r="L9189" s="12"/>
      <c r="M9189" s="13"/>
    </row>
    <row r="9190" spans="12:13" x14ac:dyDescent="0.2">
      <c r="L9190" s="12"/>
      <c r="M9190" s="13"/>
    </row>
    <row r="9191" spans="12:13" x14ac:dyDescent="0.2">
      <c r="L9191" s="12"/>
      <c r="M9191" s="13"/>
    </row>
    <row r="9192" spans="12:13" x14ac:dyDescent="0.2">
      <c r="L9192" s="12"/>
      <c r="M9192" s="13"/>
    </row>
    <row r="9193" spans="12:13" x14ac:dyDescent="0.2">
      <c r="L9193" s="12"/>
      <c r="M9193" s="13"/>
    </row>
    <row r="9194" spans="12:13" x14ac:dyDescent="0.2">
      <c r="L9194" s="12"/>
      <c r="M9194" s="13"/>
    </row>
    <row r="9195" spans="12:13" x14ac:dyDescent="0.2">
      <c r="L9195" s="12"/>
      <c r="M9195" s="13"/>
    </row>
    <row r="9196" spans="12:13" x14ac:dyDescent="0.2">
      <c r="L9196" s="12"/>
      <c r="M9196" s="13"/>
    </row>
    <row r="9197" spans="12:13" x14ac:dyDescent="0.2">
      <c r="L9197" s="12"/>
      <c r="M9197" s="13"/>
    </row>
    <row r="9198" spans="12:13" x14ac:dyDescent="0.2">
      <c r="L9198" s="12"/>
      <c r="M9198" s="13"/>
    </row>
    <row r="9199" spans="12:13" x14ac:dyDescent="0.2">
      <c r="L9199" s="12"/>
      <c r="M9199" s="13"/>
    </row>
    <row r="9200" spans="12:13" x14ac:dyDescent="0.2">
      <c r="L9200" s="12"/>
      <c r="M9200" s="13"/>
    </row>
    <row r="9201" spans="12:13" x14ac:dyDescent="0.2">
      <c r="L9201" s="12"/>
      <c r="M9201" s="13"/>
    </row>
    <row r="9202" spans="12:13" x14ac:dyDescent="0.2">
      <c r="L9202" s="12"/>
      <c r="M9202" s="13"/>
    </row>
    <row r="9203" spans="12:13" x14ac:dyDescent="0.2">
      <c r="L9203" s="12"/>
      <c r="M9203" s="13"/>
    </row>
    <row r="9204" spans="12:13" x14ac:dyDescent="0.2">
      <c r="L9204" s="12"/>
      <c r="M9204" s="13"/>
    </row>
    <row r="9205" spans="12:13" x14ac:dyDescent="0.2">
      <c r="L9205" s="12"/>
      <c r="M9205" s="13"/>
    </row>
    <row r="9206" spans="12:13" x14ac:dyDescent="0.2">
      <c r="L9206" s="12"/>
      <c r="M9206" s="13"/>
    </row>
    <row r="9207" spans="12:13" x14ac:dyDescent="0.2">
      <c r="L9207" s="12"/>
      <c r="M9207" s="13"/>
    </row>
    <row r="9208" spans="12:13" x14ac:dyDescent="0.2">
      <c r="L9208" s="12"/>
      <c r="M9208" s="13"/>
    </row>
    <row r="9209" spans="12:13" x14ac:dyDescent="0.2">
      <c r="L9209" s="12"/>
      <c r="M9209" s="13"/>
    </row>
    <row r="9210" spans="12:13" x14ac:dyDescent="0.2">
      <c r="L9210" s="12"/>
      <c r="M9210" s="13"/>
    </row>
    <row r="9211" spans="12:13" x14ac:dyDescent="0.2">
      <c r="L9211" s="12"/>
      <c r="M9211" s="13"/>
    </row>
    <row r="9212" spans="12:13" x14ac:dyDescent="0.2">
      <c r="L9212" s="12"/>
      <c r="M9212" s="13"/>
    </row>
    <row r="9213" spans="12:13" x14ac:dyDescent="0.2">
      <c r="L9213" s="12"/>
      <c r="M9213" s="13"/>
    </row>
    <row r="9214" spans="12:13" x14ac:dyDescent="0.2">
      <c r="L9214" s="12"/>
      <c r="M9214" s="13"/>
    </row>
    <row r="9215" spans="12:13" x14ac:dyDescent="0.2">
      <c r="L9215" s="12"/>
      <c r="M9215" s="13"/>
    </row>
    <row r="9216" spans="12:13" x14ac:dyDescent="0.2">
      <c r="L9216" s="12"/>
      <c r="M9216" s="13"/>
    </row>
    <row r="9217" spans="12:13" x14ac:dyDescent="0.2">
      <c r="L9217" s="12"/>
      <c r="M9217" s="13"/>
    </row>
    <row r="9218" spans="12:13" x14ac:dyDescent="0.2">
      <c r="L9218" s="17"/>
      <c r="M9218" s="18"/>
    </row>
    <row r="9219" spans="12:13" x14ac:dyDescent="0.2">
      <c r="L9219" s="12"/>
      <c r="M9219" s="13"/>
    </row>
    <row r="9220" spans="12:13" x14ac:dyDescent="0.2">
      <c r="L9220" s="12"/>
      <c r="M9220" s="13"/>
    </row>
    <row r="9221" spans="12:13" x14ac:dyDescent="0.2">
      <c r="L9221" s="12"/>
      <c r="M9221" s="13"/>
    </row>
    <row r="9222" spans="12:13" x14ac:dyDescent="0.2">
      <c r="L9222" s="12"/>
      <c r="M9222" s="13"/>
    </row>
    <row r="9223" spans="12:13" x14ac:dyDescent="0.2">
      <c r="L9223" s="12"/>
      <c r="M9223" s="13"/>
    </row>
    <row r="9224" spans="12:13" x14ac:dyDescent="0.2">
      <c r="L9224" s="12"/>
      <c r="M9224" s="13"/>
    </row>
    <row r="9225" spans="12:13" x14ac:dyDescent="0.2">
      <c r="L9225" s="12"/>
      <c r="M9225" s="13"/>
    </row>
    <row r="9226" spans="12:13" x14ac:dyDescent="0.2">
      <c r="L9226" s="12"/>
      <c r="M9226" s="13"/>
    </row>
    <row r="9227" spans="12:13" x14ac:dyDescent="0.2">
      <c r="L9227" s="12"/>
      <c r="M9227" s="13"/>
    </row>
    <row r="9228" spans="12:13" x14ac:dyDescent="0.2">
      <c r="L9228" s="12"/>
      <c r="M9228" s="13"/>
    </row>
    <row r="9229" spans="12:13" x14ac:dyDescent="0.2">
      <c r="L9229" s="12"/>
      <c r="M9229" s="13"/>
    </row>
    <row r="9230" spans="12:13" x14ac:dyDescent="0.2">
      <c r="L9230" s="12"/>
      <c r="M9230" s="13"/>
    </row>
    <row r="9231" spans="12:13" x14ac:dyDescent="0.2">
      <c r="L9231" s="12"/>
      <c r="M9231" s="13"/>
    </row>
    <row r="9232" spans="12:13" x14ac:dyDescent="0.2">
      <c r="L9232" s="12"/>
      <c r="M9232" s="13"/>
    </row>
    <row r="9233" spans="12:13" x14ac:dyDescent="0.2">
      <c r="L9233" s="12"/>
      <c r="M9233" s="13"/>
    </row>
    <row r="9234" spans="12:13" x14ac:dyDescent="0.2">
      <c r="L9234" s="12"/>
      <c r="M9234" s="13"/>
    </row>
    <row r="9235" spans="12:13" x14ac:dyDescent="0.2">
      <c r="L9235" s="12"/>
      <c r="M9235" s="13"/>
    </row>
    <row r="9236" spans="12:13" x14ac:dyDescent="0.2">
      <c r="L9236" s="12"/>
      <c r="M9236" s="13"/>
    </row>
    <row r="9237" spans="12:13" x14ac:dyDescent="0.2">
      <c r="L9237" s="12"/>
      <c r="M9237" s="13"/>
    </row>
    <row r="9238" spans="12:13" x14ac:dyDescent="0.2">
      <c r="L9238" s="12"/>
      <c r="M9238" s="13"/>
    </row>
    <row r="9239" spans="12:13" x14ac:dyDescent="0.2">
      <c r="L9239" s="12"/>
      <c r="M9239" s="13"/>
    </row>
    <row r="9240" spans="12:13" x14ac:dyDescent="0.2">
      <c r="L9240" s="12"/>
      <c r="M9240" s="13"/>
    </row>
    <row r="9241" spans="12:13" x14ac:dyDescent="0.2">
      <c r="L9241" s="12"/>
      <c r="M9241" s="13"/>
    </row>
    <row r="9242" spans="12:13" x14ac:dyDescent="0.2">
      <c r="L9242" s="12"/>
      <c r="M9242" s="13"/>
    </row>
    <row r="9243" spans="12:13" x14ac:dyDescent="0.2">
      <c r="L9243" s="12"/>
      <c r="M9243" s="13"/>
    </row>
    <row r="9244" spans="12:13" x14ac:dyDescent="0.2">
      <c r="L9244" s="12"/>
      <c r="M9244" s="13"/>
    </row>
    <row r="9245" spans="12:13" x14ac:dyDescent="0.2">
      <c r="L9245" s="12"/>
      <c r="M9245" s="13"/>
    </row>
    <row r="9246" spans="12:13" x14ac:dyDescent="0.2">
      <c r="L9246" s="12"/>
      <c r="M9246" s="13"/>
    </row>
    <row r="9247" spans="12:13" x14ac:dyDescent="0.2">
      <c r="L9247" s="12"/>
      <c r="M9247" s="13"/>
    </row>
    <row r="9248" spans="12:13" x14ac:dyDescent="0.2">
      <c r="L9248" s="12"/>
      <c r="M9248" s="13"/>
    </row>
    <row r="9249" spans="12:13" x14ac:dyDescent="0.2">
      <c r="L9249" s="12"/>
      <c r="M9249" s="13"/>
    </row>
    <row r="9250" spans="12:13" x14ac:dyDescent="0.2">
      <c r="L9250" s="12"/>
      <c r="M9250" s="13"/>
    </row>
    <row r="9251" spans="12:13" x14ac:dyDescent="0.2">
      <c r="L9251" s="12"/>
      <c r="M9251" s="13"/>
    </row>
    <row r="9252" spans="12:13" x14ac:dyDescent="0.2">
      <c r="L9252" s="12"/>
      <c r="M9252" s="13"/>
    </row>
    <row r="9253" spans="12:13" x14ac:dyDescent="0.2">
      <c r="L9253" s="12"/>
      <c r="M9253" s="13"/>
    </row>
    <row r="9254" spans="12:13" x14ac:dyDescent="0.2">
      <c r="L9254" s="12"/>
      <c r="M9254" s="13"/>
    </row>
    <row r="9255" spans="12:13" x14ac:dyDescent="0.2">
      <c r="L9255" s="12"/>
      <c r="M9255" s="13"/>
    </row>
    <row r="9256" spans="12:13" x14ac:dyDescent="0.2">
      <c r="L9256" s="12"/>
      <c r="M9256" s="13"/>
    </row>
    <row r="9257" spans="12:13" x14ac:dyDescent="0.2">
      <c r="L9257" s="12"/>
      <c r="M9257" s="13"/>
    </row>
    <row r="9258" spans="12:13" x14ac:dyDescent="0.2">
      <c r="L9258" s="12"/>
      <c r="M9258" s="13"/>
    </row>
    <row r="9259" spans="12:13" x14ac:dyDescent="0.2">
      <c r="L9259" s="12"/>
      <c r="M9259" s="13"/>
    </row>
    <row r="9260" spans="12:13" x14ac:dyDescent="0.2">
      <c r="L9260" s="12"/>
      <c r="M9260" s="13"/>
    </row>
    <row r="9261" spans="12:13" x14ac:dyDescent="0.2">
      <c r="L9261" s="12"/>
      <c r="M9261" s="13"/>
    </row>
    <row r="9262" spans="12:13" x14ac:dyDescent="0.2">
      <c r="L9262" s="12"/>
      <c r="M9262" s="13"/>
    </row>
    <row r="9263" spans="12:13" x14ac:dyDescent="0.2">
      <c r="L9263" s="12"/>
      <c r="M9263" s="13"/>
    </row>
    <row r="9264" spans="12:13" x14ac:dyDescent="0.2">
      <c r="L9264" s="12"/>
      <c r="M9264" s="13"/>
    </row>
    <row r="9265" spans="12:13" x14ac:dyDescent="0.2">
      <c r="L9265" s="12"/>
      <c r="M9265" s="13"/>
    </row>
    <row r="9266" spans="12:13" x14ac:dyDescent="0.2">
      <c r="L9266" s="12"/>
      <c r="M9266" s="13"/>
    </row>
    <row r="9267" spans="12:13" x14ac:dyDescent="0.2">
      <c r="L9267" s="12"/>
      <c r="M9267" s="13"/>
    </row>
    <row r="9268" spans="12:13" x14ac:dyDescent="0.2">
      <c r="L9268" s="12"/>
      <c r="M9268" s="13"/>
    </row>
    <row r="9269" spans="12:13" x14ac:dyDescent="0.2">
      <c r="L9269" s="12"/>
      <c r="M9269" s="13"/>
    </row>
    <row r="9270" spans="12:13" x14ac:dyDescent="0.2">
      <c r="L9270" s="12"/>
      <c r="M9270" s="13"/>
    </row>
    <row r="9271" spans="12:13" x14ac:dyDescent="0.2">
      <c r="L9271" s="12"/>
      <c r="M9271" s="13"/>
    </row>
    <row r="9272" spans="12:13" x14ac:dyDescent="0.2">
      <c r="L9272" s="12"/>
      <c r="M9272" s="13"/>
    </row>
    <row r="9273" spans="12:13" x14ac:dyDescent="0.2">
      <c r="L9273" s="12"/>
      <c r="M9273" s="13"/>
    </row>
    <row r="9274" spans="12:13" x14ac:dyDescent="0.2">
      <c r="L9274" s="12"/>
      <c r="M9274" s="13"/>
    </row>
    <row r="9275" spans="12:13" x14ac:dyDescent="0.2">
      <c r="L9275" s="12"/>
      <c r="M9275" s="13"/>
    </row>
    <row r="9276" spans="12:13" x14ac:dyDescent="0.2">
      <c r="L9276" s="12"/>
      <c r="M9276" s="13"/>
    </row>
    <row r="9277" spans="12:13" x14ac:dyDescent="0.2">
      <c r="L9277" s="12"/>
      <c r="M9277" s="13"/>
    </row>
    <row r="9278" spans="12:13" x14ac:dyDescent="0.2">
      <c r="L9278" s="12"/>
      <c r="M9278" s="13"/>
    </row>
    <row r="9279" spans="12:13" x14ac:dyDescent="0.2">
      <c r="L9279" s="12"/>
      <c r="M9279" s="13"/>
    </row>
    <row r="9280" spans="12:13" x14ac:dyDescent="0.2">
      <c r="L9280" s="12"/>
      <c r="M9280" s="13"/>
    </row>
    <row r="9281" spans="12:13" x14ac:dyDescent="0.2">
      <c r="L9281" s="12"/>
      <c r="M9281" s="13"/>
    </row>
    <row r="9282" spans="12:13" x14ac:dyDescent="0.2">
      <c r="L9282" s="12"/>
      <c r="M9282" s="13"/>
    </row>
    <row r="9283" spans="12:13" x14ac:dyDescent="0.2">
      <c r="L9283" s="12"/>
      <c r="M9283" s="13"/>
    </row>
    <row r="9284" spans="12:13" x14ac:dyDescent="0.2">
      <c r="L9284" s="12"/>
      <c r="M9284" s="13"/>
    </row>
    <row r="9285" spans="12:13" x14ac:dyDescent="0.2">
      <c r="L9285" s="12"/>
      <c r="M9285" s="13"/>
    </row>
    <row r="9286" spans="12:13" x14ac:dyDescent="0.2">
      <c r="L9286" s="12"/>
      <c r="M9286" s="13"/>
    </row>
    <row r="9287" spans="12:13" x14ac:dyDescent="0.2">
      <c r="L9287" s="12"/>
      <c r="M9287" s="13"/>
    </row>
    <row r="9288" spans="12:13" x14ac:dyDescent="0.2">
      <c r="L9288" s="12"/>
      <c r="M9288" s="13"/>
    </row>
    <row r="9289" spans="12:13" x14ac:dyDescent="0.2">
      <c r="L9289" s="12"/>
      <c r="M9289" s="13"/>
    </row>
    <row r="9290" spans="12:13" x14ac:dyDescent="0.2">
      <c r="L9290" s="12"/>
      <c r="M9290" s="13"/>
    </row>
    <row r="9291" spans="12:13" x14ac:dyDescent="0.2">
      <c r="L9291" s="12"/>
      <c r="M9291" s="13"/>
    </row>
    <row r="9292" spans="12:13" x14ac:dyDescent="0.2">
      <c r="L9292" s="12"/>
      <c r="M9292" s="13"/>
    </row>
    <row r="9293" spans="12:13" x14ac:dyDescent="0.2">
      <c r="L9293" s="12"/>
      <c r="M9293" s="13"/>
    </row>
    <row r="9294" spans="12:13" x14ac:dyDescent="0.2">
      <c r="L9294" s="12"/>
      <c r="M9294" s="13"/>
    </row>
    <row r="9295" spans="12:13" x14ac:dyDescent="0.2">
      <c r="L9295" s="12"/>
      <c r="M9295" s="13"/>
    </row>
    <row r="9296" spans="12:13" x14ac:dyDescent="0.2">
      <c r="L9296" s="12"/>
      <c r="M9296" s="13"/>
    </row>
    <row r="9297" spans="12:13" x14ac:dyDescent="0.2">
      <c r="L9297" s="12"/>
      <c r="M9297" s="13"/>
    </row>
    <row r="9298" spans="12:13" x14ac:dyDescent="0.2">
      <c r="L9298" s="12"/>
      <c r="M9298" s="13"/>
    </row>
    <row r="9299" spans="12:13" x14ac:dyDescent="0.2">
      <c r="L9299" s="12"/>
      <c r="M9299" s="13"/>
    </row>
    <row r="9300" spans="12:13" x14ac:dyDescent="0.2">
      <c r="L9300" s="12"/>
      <c r="M9300" s="13"/>
    </row>
    <row r="9301" spans="12:13" x14ac:dyDescent="0.2">
      <c r="L9301" s="12"/>
      <c r="M9301" s="13"/>
    </row>
    <row r="9302" spans="12:13" x14ac:dyDescent="0.2">
      <c r="L9302" s="12"/>
      <c r="M9302" s="13"/>
    </row>
    <row r="9303" spans="12:13" x14ac:dyDescent="0.2">
      <c r="L9303" s="12"/>
      <c r="M9303" s="13"/>
    </row>
    <row r="9304" spans="12:13" x14ac:dyDescent="0.2">
      <c r="L9304" s="12"/>
      <c r="M9304" s="13"/>
    </row>
    <row r="9305" spans="12:13" x14ac:dyDescent="0.2">
      <c r="L9305" s="12"/>
      <c r="M9305" s="13"/>
    </row>
    <row r="9306" spans="12:13" x14ac:dyDescent="0.2">
      <c r="L9306" s="12"/>
      <c r="M9306" s="13"/>
    </row>
    <row r="9307" spans="12:13" x14ac:dyDescent="0.2">
      <c r="L9307" s="12"/>
      <c r="M9307" s="13"/>
    </row>
    <row r="9308" spans="12:13" x14ac:dyDescent="0.2">
      <c r="L9308" s="12"/>
      <c r="M9308" s="13"/>
    </row>
    <row r="9309" spans="12:13" x14ac:dyDescent="0.2">
      <c r="L9309" s="12"/>
      <c r="M9309" s="13"/>
    </row>
    <row r="9310" spans="12:13" x14ac:dyDescent="0.2">
      <c r="L9310" s="12"/>
      <c r="M9310" s="13"/>
    </row>
    <row r="9311" spans="12:13" x14ac:dyDescent="0.2">
      <c r="L9311" s="12"/>
      <c r="M9311" s="13"/>
    </row>
    <row r="9312" spans="12:13" x14ac:dyDescent="0.2">
      <c r="L9312" s="12"/>
      <c r="M9312" s="13"/>
    </row>
    <row r="9313" spans="12:13" x14ac:dyDescent="0.2">
      <c r="L9313" s="12"/>
      <c r="M9313" s="13"/>
    </row>
    <row r="9314" spans="12:13" x14ac:dyDescent="0.2">
      <c r="L9314" s="12"/>
      <c r="M9314" s="13"/>
    </row>
    <row r="9315" spans="12:13" x14ac:dyDescent="0.2">
      <c r="L9315" s="12"/>
      <c r="M9315" s="13"/>
    </row>
    <row r="9316" spans="12:13" x14ac:dyDescent="0.2">
      <c r="L9316" s="12"/>
      <c r="M9316" s="13"/>
    </row>
    <row r="9317" spans="12:13" x14ac:dyDescent="0.2">
      <c r="L9317" s="12"/>
      <c r="M9317" s="13"/>
    </row>
    <row r="9318" spans="12:13" x14ac:dyDescent="0.2">
      <c r="L9318" s="12"/>
      <c r="M9318" s="13"/>
    </row>
    <row r="9319" spans="12:13" x14ac:dyDescent="0.2">
      <c r="L9319" s="12"/>
      <c r="M9319" s="13"/>
    </row>
    <row r="9320" spans="12:13" x14ac:dyDescent="0.2">
      <c r="L9320" s="12"/>
      <c r="M9320" s="13"/>
    </row>
    <row r="9321" spans="12:13" x14ac:dyDescent="0.2">
      <c r="L9321" s="12"/>
      <c r="M9321" s="13"/>
    </row>
    <row r="9322" spans="12:13" x14ac:dyDescent="0.2">
      <c r="L9322" s="12"/>
      <c r="M9322" s="13"/>
    </row>
    <row r="9323" spans="12:13" x14ac:dyDescent="0.2">
      <c r="L9323" s="12"/>
      <c r="M9323" s="13"/>
    </row>
    <row r="9324" spans="12:13" x14ac:dyDescent="0.2">
      <c r="L9324" s="12"/>
      <c r="M9324" s="13"/>
    </row>
    <row r="9325" spans="12:13" x14ac:dyDescent="0.2">
      <c r="L9325" s="12"/>
      <c r="M9325" s="13"/>
    </row>
    <row r="9326" spans="12:13" x14ac:dyDescent="0.2">
      <c r="L9326" s="12"/>
      <c r="M9326" s="13"/>
    </row>
    <row r="9327" spans="12:13" x14ac:dyDescent="0.2">
      <c r="L9327" s="12"/>
      <c r="M9327" s="13"/>
    </row>
    <row r="9328" spans="12:13" x14ac:dyDescent="0.2">
      <c r="L9328" s="12"/>
      <c r="M9328" s="13"/>
    </row>
    <row r="9329" spans="12:13" x14ac:dyDescent="0.2">
      <c r="L9329" s="12"/>
      <c r="M9329" s="13"/>
    </row>
    <row r="9330" spans="12:13" x14ac:dyDescent="0.2">
      <c r="L9330" s="12"/>
      <c r="M9330" s="13"/>
    </row>
    <row r="9331" spans="12:13" x14ac:dyDescent="0.2">
      <c r="L9331" s="12"/>
      <c r="M9331" s="13"/>
    </row>
    <row r="9332" spans="12:13" x14ac:dyDescent="0.2">
      <c r="L9332" s="12"/>
      <c r="M9332" s="13"/>
    </row>
    <row r="9333" spans="12:13" x14ac:dyDescent="0.2">
      <c r="L9333" s="12"/>
      <c r="M9333" s="13"/>
    </row>
    <row r="9334" spans="12:13" x14ac:dyDescent="0.2">
      <c r="L9334" s="12"/>
      <c r="M9334" s="13"/>
    </row>
    <row r="9335" spans="12:13" x14ac:dyDescent="0.2">
      <c r="L9335" s="12"/>
      <c r="M9335" s="13"/>
    </row>
    <row r="9336" spans="12:13" x14ac:dyDescent="0.2">
      <c r="L9336" s="12"/>
      <c r="M9336" s="13"/>
    </row>
    <row r="9337" spans="12:13" x14ac:dyDescent="0.2">
      <c r="L9337" s="12"/>
      <c r="M9337" s="13"/>
    </row>
    <row r="9338" spans="12:13" x14ac:dyDescent="0.2">
      <c r="L9338" s="12"/>
      <c r="M9338" s="13"/>
    </row>
    <row r="9339" spans="12:13" x14ac:dyDescent="0.2">
      <c r="L9339" s="12"/>
      <c r="M9339" s="13"/>
    </row>
    <row r="9340" spans="12:13" x14ac:dyDescent="0.2">
      <c r="L9340" s="12"/>
      <c r="M9340" s="13"/>
    </row>
    <row r="9341" spans="12:13" x14ac:dyDescent="0.2">
      <c r="L9341" s="12"/>
      <c r="M9341" s="13"/>
    </row>
    <row r="9342" spans="12:13" x14ac:dyDescent="0.2">
      <c r="L9342" s="12"/>
      <c r="M9342" s="13"/>
    </row>
    <row r="9343" spans="12:13" x14ac:dyDescent="0.2">
      <c r="L9343" s="12"/>
      <c r="M9343" s="13"/>
    </row>
    <row r="9344" spans="12:13" x14ac:dyDescent="0.2">
      <c r="L9344" s="12"/>
      <c r="M9344" s="13"/>
    </row>
    <row r="9345" spans="12:13" x14ac:dyDescent="0.2">
      <c r="L9345" s="12"/>
      <c r="M9345" s="13"/>
    </row>
    <row r="9346" spans="12:13" x14ac:dyDescent="0.2">
      <c r="L9346" s="12"/>
      <c r="M9346" s="13"/>
    </row>
    <row r="9347" spans="12:13" x14ac:dyDescent="0.2">
      <c r="L9347" s="12"/>
      <c r="M9347" s="13"/>
    </row>
    <row r="9348" spans="12:13" x14ac:dyDescent="0.2">
      <c r="L9348" s="12"/>
      <c r="M9348" s="13"/>
    </row>
    <row r="9349" spans="12:13" x14ac:dyDescent="0.2">
      <c r="L9349" s="12"/>
      <c r="M9349" s="13"/>
    </row>
    <row r="9350" spans="12:13" x14ac:dyDescent="0.2">
      <c r="L9350" s="12"/>
      <c r="M9350" s="13"/>
    </row>
    <row r="9351" spans="12:13" x14ac:dyDescent="0.2">
      <c r="L9351" s="12"/>
      <c r="M9351" s="13"/>
    </row>
    <row r="9352" spans="12:13" x14ac:dyDescent="0.2">
      <c r="L9352" s="12"/>
      <c r="M9352" s="13"/>
    </row>
    <row r="9353" spans="12:13" x14ac:dyDescent="0.2">
      <c r="L9353" s="12"/>
      <c r="M9353" s="13"/>
    </row>
    <row r="9354" spans="12:13" x14ac:dyDescent="0.2">
      <c r="L9354" s="12"/>
      <c r="M9354" s="13"/>
    </row>
    <row r="9355" spans="12:13" x14ac:dyDescent="0.2">
      <c r="L9355" s="12"/>
      <c r="M9355" s="13"/>
    </row>
    <row r="9356" spans="12:13" x14ac:dyDescent="0.2">
      <c r="L9356" s="12"/>
      <c r="M9356" s="13"/>
    </row>
    <row r="9357" spans="12:13" x14ac:dyDescent="0.2">
      <c r="L9357" s="12"/>
      <c r="M9357" s="13"/>
    </row>
    <row r="9358" spans="12:13" x14ac:dyDescent="0.2">
      <c r="L9358" s="12"/>
      <c r="M9358" s="13"/>
    </row>
    <row r="9359" spans="12:13" x14ac:dyDescent="0.2">
      <c r="L9359" s="12"/>
      <c r="M9359" s="13"/>
    </row>
    <row r="9360" spans="12:13" x14ac:dyDescent="0.2">
      <c r="L9360" s="12"/>
      <c r="M9360" s="13"/>
    </row>
    <row r="9361" spans="12:13" x14ac:dyDescent="0.2">
      <c r="L9361" s="12"/>
      <c r="M9361" s="13"/>
    </row>
    <row r="9362" spans="12:13" x14ac:dyDescent="0.2">
      <c r="L9362" s="12"/>
      <c r="M9362" s="13"/>
    </row>
    <row r="9363" spans="12:13" x14ac:dyDescent="0.2">
      <c r="L9363" s="12"/>
      <c r="M9363" s="13"/>
    </row>
    <row r="9364" spans="12:13" x14ac:dyDescent="0.2">
      <c r="L9364" s="12"/>
      <c r="M9364" s="13"/>
    </row>
    <row r="9365" spans="12:13" x14ac:dyDescent="0.2">
      <c r="L9365" s="12"/>
      <c r="M9365" s="13"/>
    </row>
    <row r="9366" spans="12:13" x14ac:dyDescent="0.2">
      <c r="L9366" s="12"/>
      <c r="M9366" s="13"/>
    </row>
    <row r="9367" spans="12:13" x14ac:dyDescent="0.2">
      <c r="L9367" s="12"/>
      <c r="M9367" s="13"/>
    </row>
    <row r="9368" spans="12:13" x14ac:dyDescent="0.2">
      <c r="L9368" s="12"/>
      <c r="M9368" s="13"/>
    </row>
    <row r="9369" spans="12:13" x14ac:dyDescent="0.2">
      <c r="L9369" s="12"/>
      <c r="M9369" s="13"/>
    </row>
    <row r="9370" spans="12:13" x14ac:dyDescent="0.2">
      <c r="L9370" s="12"/>
      <c r="M9370" s="13"/>
    </row>
    <row r="9371" spans="12:13" x14ac:dyDescent="0.2">
      <c r="L9371" s="12"/>
      <c r="M9371" s="13"/>
    </row>
    <row r="9372" spans="12:13" x14ac:dyDescent="0.2">
      <c r="L9372" s="12"/>
      <c r="M9372" s="13"/>
    </row>
    <row r="9373" spans="12:13" x14ac:dyDescent="0.2">
      <c r="L9373" s="12"/>
      <c r="M9373" s="13"/>
    </row>
    <row r="9374" spans="12:13" x14ac:dyDescent="0.2">
      <c r="L9374" s="12"/>
      <c r="M9374" s="13"/>
    </row>
    <row r="9375" spans="12:13" x14ac:dyDescent="0.2">
      <c r="L9375" s="12"/>
      <c r="M9375" s="13"/>
    </row>
    <row r="9376" spans="12:13" x14ac:dyDescent="0.2">
      <c r="L9376" s="12"/>
      <c r="M9376" s="13"/>
    </row>
    <row r="9377" spans="12:13" x14ac:dyDescent="0.2">
      <c r="L9377" s="12"/>
      <c r="M9377" s="13"/>
    </row>
    <row r="9378" spans="12:13" x14ac:dyDescent="0.2">
      <c r="L9378" s="12"/>
      <c r="M9378" s="13"/>
    </row>
    <row r="9379" spans="12:13" x14ac:dyDescent="0.2">
      <c r="L9379" s="12"/>
      <c r="M9379" s="13"/>
    </row>
    <row r="9380" spans="12:13" x14ac:dyDescent="0.2">
      <c r="L9380" s="12"/>
      <c r="M9380" s="13"/>
    </row>
    <row r="9381" spans="12:13" x14ac:dyDescent="0.2">
      <c r="L9381" s="12"/>
      <c r="M9381" s="13"/>
    </row>
    <row r="9382" spans="12:13" x14ac:dyDescent="0.2">
      <c r="L9382" s="12"/>
      <c r="M9382" s="13"/>
    </row>
    <row r="9383" spans="12:13" x14ac:dyDescent="0.2">
      <c r="L9383" s="12"/>
      <c r="M9383" s="13"/>
    </row>
    <row r="9384" spans="12:13" x14ac:dyDescent="0.2">
      <c r="L9384" s="12"/>
      <c r="M9384" s="13"/>
    </row>
    <row r="9385" spans="12:13" x14ac:dyDescent="0.2">
      <c r="L9385" s="12"/>
      <c r="M9385" s="13"/>
    </row>
    <row r="9386" spans="12:13" x14ac:dyDescent="0.2">
      <c r="L9386" s="12"/>
      <c r="M9386" s="13"/>
    </row>
    <row r="9387" spans="12:13" x14ac:dyDescent="0.2">
      <c r="L9387" s="12"/>
      <c r="M9387" s="13"/>
    </row>
    <row r="9388" spans="12:13" x14ac:dyDescent="0.2">
      <c r="L9388" s="12"/>
      <c r="M9388" s="13"/>
    </row>
    <row r="9389" spans="12:13" x14ac:dyDescent="0.2">
      <c r="L9389" s="12"/>
      <c r="M9389" s="13"/>
    </row>
    <row r="9390" spans="12:13" x14ac:dyDescent="0.2">
      <c r="L9390" s="12"/>
      <c r="M9390" s="13"/>
    </row>
    <row r="9391" spans="12:13" x14ac:dyDescent="0.2">
      <c r="L9391" s="12"/>
      <c r="M9391" s="13"/>
    </row>
    <row r="9392" spans="12:13" x14ac:dyDescent="0.2">
      <c r="L9392" s="12"/>
      <c r="M9392" s="13"/>
    </row>
    <row r="9393" spans="12:13" x14ac:dyDescent="0.2">
      <c r="L9393" s="12"/>
      <c r="M9393" s="13"/>
    </row>
    <row r="9394" spans="12:13" x14ac:dyDescent="0.2">
      <c r="L9394" s="12"/>
      <c r="M9394" s="13"/>
    </row>
    <row r="9395" spans="12:13" x14ac:dyDescent="0.2">
      <c r="L9395" s="12"/>
      <c r="M9395" s="13"/>
    </row>
    <row r="9396" spans="12:13" x14ac:dyDescent="0.2">
      <c r="L9396" s="12"/>
      <c r="M9396" s="13"/>
    </row>
    <row r="9397" spans="12:13" x14ac:dyDescent="0.2">
      <c r="L9397" s="12"/>
      <c r="M9397" s="13"/>
    </row>
    <row r="9398" spans="12:13" x14ac:dyDescent="0.2">
      <c r="L9398" s="12"/>
      <c r="M9398" s="13"/>
    </row>
    <row r="9399" spans="12:13" x14ac:dyDescent="0.2">
      <c r="L9399" s="12"/>
      <c r="M9399" s="13"/>
    </row>
    <row r="9400" spans="12:13" x14ac:dyDescent="0.2">
      <c r="L9400" s="12"/>
      <c r="M9400" s="13"/>
    </row>
    <row r="9401" spans="12:13" x14ac:dyDescent="0.2">
      <c r="L9401" s="12"/>
      <c r="M9401" s="13"/>
    </row>
    <row r="9402" spans="12:13" x14ac:dyDescent="0.2">
      <c r="L9402" s="12"/>
      <c r="M9402" s="13"/>
    </row>
    <row r="9403" spans="12:13" x14ac:dyDescent="0.2">
      <c r="L9403" s="12"/>
      <c r="M9403" s="13"/>
    </row>
    <row r="9404" spans="12:13" x14ac:dyDescent="0.2">
      <c r="L9404" s="12"/>
      <c r="M9404" s="13"/>
    </row>
    <row r="9405" spans="12:13" x14ac:dyDescent="0.2">
      <c r="L9405" s="12"/>
      <c r="M9405" s="13"/>
    </row>
    <row r="9406" spans="12:13" x14ac:dyDescent="0.2">
      <c r="L9406" s="12"/>
      <c r="M9406" s="13"/>
    </row>
    <row r="9407" spans="12:13" x14ac:dyDescent="0.2">
      <c r="L9407" s="12"/>
      <c r="M9407" s="13"/>
    </row>
    <row r="9408" spans="12:13" x14ac:dyDescent="0.2">
      <c r="L9408" s="12"/>
      <c r="M9408" s="13"/>
    </row>
    <row r="9409" spans="12:13" x14ac:dyDescent="0.2">
      <c r="L9409" s="12"/>
      <c r="M9409" s="13"/>
    </row>
    <row r="9410" spans="12:13" x14ac:dyDescent="0.2">
      <c r="L9410" s="12"/>
      <c r="M9410" s="13"/>
    </row>
    <row r="9411" spans="12:13" x14ac:dyDescent="0.2">
      <c r="L9411" s="12"/>
      <c r="M9411" s="13"/>
    </row>
    <row r="9412" spans="12:13" x14ac:dyDescent="0.2">
      <c r="L9412" s="12"/>
      <c r="M9412" s="13"/>
    </row>
    <row r="9413" spans="12:13" x14ac:dyDescent="0.2">
      <c r="L9413" s="12"/>
      <c r="M9413" s="13"/>
    </row>
    <row r="9414" spans="12:13" x14ac:dyDescent="0.2">
      <c r="L9414" s="12"/>
      <c r="M9414" s="13"/>
    </row>
    <row r="9415" spans="12:13" x14ac:dyDescent="0.2">
      <c r="L9415" s="12"/>
      <c r="M9415" s="13"/>
    </row>
    <row r="9416" spans="12:13" x14ac:dyDescent="0.2">
      <c r="L9416" s="12"/>
      <c r="M9416" s="13"/>
    </row>
    <row r="9417" spans="12:13" x14ac:dyDescent="0.2">
      <c r="L9417" s="12"/>
      <c r="M9417" s="13"/>
    </row>
    <row r="9418" spans="12:13" x14ac:dyDescent="0.2">
      <c r="L9418" s="12"/>
      <c r="M9418" s="13"/>
    </row>
    <row r="9419" spans="12:13" x14ac:dyDescent="0.2">
      <c r="L9419" s="12"/>
      <c r="M9419" s="13"/>
    </row>
    <row r="9420" spans="12:13" x14ac:dyDescent="0.2">
      <c r="L9420" s="12"/>
      <c r="M9420" s="13"/>
    </row>
    <row r="9421" spans="12:13" x14ac:dyDescent="0.2">
      <c r="L9421" s="12"/>
      <c r="M9421" s="13"/>
    </row>
    <row r="9422" spans="12:13" x14ac:dyDescent="0.2">
      <c r="L9422" s="12"/>
      <c r="M9422" s="13"/>
    </row>
    <row r="9423" spans="12:13" x14ac:dyDescent="0.2">
      <c r="L9423" s="12"/>
      <c r="M9423" s="13"/>
    </row>
    <row r="9424" spans="12:13" x14ac:dyDescent="0.2">
      <c r="L9424" s="12"/>
      <c r="M9424" s="13"/>
    </row>
    <row r="9425" spans="12:13" x14ac:dyDescent="0.2">
      <c r="L9425" s="12"/>
      <c r="M9425" s="13"/>
    </row>
    <row r="9426" spans="12:13" x14ac:dyDescent="0.2">
      <c r="L9426" s="12"/>
      <c r="M9426" s="13"/>
    </row>
    <row r="9427" spans="12:13" x14ac:dyDescent="0.2">
      <c r="L9427" s="12"/>
      <c r="M9427" s="13"/>
    </row>
    <row r="9428" spans="12:13" x14ac:dyDescent="0.2">
      <c r="L9428" s="12"/>
      <c r="M9428" s="13"/>
    </row>
    <row r="9429" spans="12:13" x14ac:dyDescent="0.2">
      <c r="L9429" s="12"/>
      <c r="M9429" s="13"/>
    </row>
    <row r="9430" spans="12:13" x14ac:dyDescent="0.2">
      <c r="L9430" s="12"/>
      <c r="M9430" s="13"/>
    </row>
    <row r="9431" spans="12:13" x14ac:dyDescent="0.2">
      <c r="L9431" s="12"/>
      <c r="M9431" s="13"/>
    </row>
    <row r="9432" spans="12:13" x14ac:dyDescent="0.2">
      <c r="L9432" s="12"/>
      <c r="M9432" s="13"/>
    </row>
    <row r="9433" spans="12:13" x14ac:dyDescent="0.2">
      <c r="L9433" s="12"/>
      <c r="M9433" s="13"/>
    </row>
    <row r="9434" spans="12:13" x14ac:dyDescent="0.2">
      <c r="L9434" s="12"/>
      <c r="M9434" s="13"/>
    </row>
    <row r="9435" spans="12:13" x14ac:dyDescent="0.2">
      <c r="L9435" s="12"/>
      <c r="M9435" s="13"/>
    </row>
    <row r="9436" spans="12:13" x14ac:dyDescent="0.2">
      <c r="L9436" s="12"/>
      <c r="M9436" s="13"/>
    </row>
    <row r="9437" spans="12:13" x14ac:dyDescent="0.2">
      <c r="L9437" s="12"/>
      <c r="M9437" s="13"/>
    </row>
    <row r="9438" spans="12:13" x14ac:dyDescent="0.2">
      <c r="L9438" s="12"/>
      <c r="M9438" s="13"/>
    </row>
    <row r="9439" spans="12:13" x14ac:dyDescent="0.2">
      <c r="L9439" s="12"/>
      <c r="M9439" s="13"/>
    </row>
    <row r="9440" spans="12:13" x14ac:dyDescent="0.2">
      <c r="L9440" s="12"/>
      <c r="M9440" s="13"/>
    </row>
    <row r="9441" spans="12:13" x14ac:dyDescent="0.2">
      <c r="L9441" s="12"/>
      <c r="M9441" s="13"/>
    </row>
    <row r="9442" spans="12:13" x14ac:dyDescent="0.2">
      <c r="L9442" s="12"/>
      <c r="M9442" s="13"/>
    </row>
    <row r="9443" spans="12:13" x14ac:dyDescent="0.2">
      <c r="L9443" s="12"/>
      <c r="M9443" s="13"/>
    </row>
    <row r="9444" spans="12:13" x14ac:dyDescent="0.2">
      <c r="L9444" s="12"/>
      <c r="M9444" s="13"/>
    </row>
    <row r="9445" spans="12:13" x14ac:dyDescent="0.2">
      <c r="L9445" s="12"/>
      <c r="M9445" s="13"/>
    </row>
    <row r="9446" spans="12:13" x14ac:dyDescent="0.2">
      <c r="L9446" s="12"/>
      <c r="M9446" s="13"/>
    </row>
    <row r="9447" spans="12:13" x14ac:dyDescent="0.2">
      <c r="L9447" s="12"/>
      <c r="M9447" s="13"/>
    </row>
    <row r="9448" spans="12:13" x14ac:dyDescent="0.2">
      <c r="L9448" s="12"/>
      <c r="M9448" s="13"/>
    </row>
    <row r="9449" spans="12:13" x14ac:dyDescent="0.2">
      <c r="L9449" s="12"/>
      <c r="M9449" s="13"/>
    </row>
    <row r="9450" spans="12:13" x14ac:dyDescent="0.2">
      <c r="L9450" s="12"/>
      <c r="M9450" s="13"/>
    </row>
    <row r="9451" spans="12:13" x14ac:dyDescent="0.2">
      <c r="L9451" s="12"/>
      <c r="M9451" s="13"/>
    </row>
    <row r="9452" spans="12:13" x14ac:dyDescent="0.2">
      <c r="L9452" s="12"/>
      <c r="M9452" s="13"/>
    </row>
    <row r="9453" spans="12:13" x14ac:dyDescent="0.2">
      <c r="L9453" s="12"/>
      <c r="M9453" s="13"/>
    </row>
    <row r="9454" spans="12:13" x14ac:dyDescent="0.2">
      <c r="L9454" s="12"/>
      <c r="M9454" s="13"/>
    </row>
    <row r="9455" spans="12:13" x14ac:dyDescent="0.2">
      <c r="L9455" s="12"/>
      <c r="M9455" s="13"/>
    </row>
    <row r="9456" spans="12:13" x14ac:dyDescent="0.2">
      <c r="L9456" s="12"/>
      <c r="M9456" s="13"/>
    </row>
    <row r="9457" spans="12:13" x14ac:dyDescent="0.2">
      <c r="L9457" s="12"/>
      <c r="M9457" s="13"/>
    </row>
    <row r="9458" spans="12:13" x14ac:dyDescent="0.2">
      <c r="L9458" s="12"/>
      <c r="M9458" s="13"/>
    </row>
    <row r="9459" spans="12:13" x14ac:dyDescent="0.2">
      <c r="L9459" s="12"/>
      <c r="M9459" s="13"/>
    </row>
    <row r="9460" spans="12:13" x14ac:dyDescent="0.2">
      <c r="L9460" s="12"/>
      <c r="M9460" s="13"/>
    </row>
    <row r="9461" spans="12:13" x14ac:dyDescent="0.2">
      <c r="L9461" s="12"/>
      <c r="M9461" s="13"/>
    </row>
    <row r="9462" spans="12:13" x14ac:dyDescent="0.2">
      <c r="L9462" s="12"/>
      <c r="M9462" s="13"/>
    </row>
    <row r="9463" spans="12:13" x14ac:dyDescent="0.2">
      <c r="L9463" s="12"/>
      <c r="M9463" s="13"/>
    </row>
    <row r="9464" spans="12:13" x14ac:dyDescent="0.2">
      <c r="L9464" s="12"/>
      <c r="M9464" s="13"/>
    </row>
    <row r="9465" spans="12:13" x14ac:dyDescent="0.2">
      <c r="L9465" s="12"/>
      <c r="M9465" s="13"/>
    </row>
    <row r="9466" spans="12:13" x14ac:dyDescent="0.2">
      <c r="L9466" s="12"/>
      <c r="M9466" s="13"/>
    </row>
    <row r="9467" spans="12:13" x14ac:dyDescent="0.2">
      <c r="L9467" s="12"/>
      <c r="M9467" s="13"/>
    </row>
    <row r="9468" spans="12:13" x14ac:dyDescent="0.2">
      <c r="L9468" s="12"/>
      <c r="M9468" s="13"/>
    </row>
    <row r="9469" spans="12:13" x14ac:dyDescent="0.2">
      <c r="L9469" s="12"/>
      <c r="M9469" s="13"/>
    </row>
    <row r="9470" spans="12:13" x14ac:dyDescent="0.2">
      <c r="L9470" s="12"/>
      <c r="M9470" s="13"/>
    </row>
    <row r="9471" spans="12:13" x14ac:dyDescent="0.2">
      <c r="L9471" s="12"/>
      <c r="M9471" s="13"/>
    </row>
    <row r="9472" spans="12:13" x14ac:dyDescent="0.2">
      <c r="L9472" s="12"/>
      <c r="M9472" s="13"/>
    </row>
    <row r="9473" spans="12:13" x14ac:dyDescent="0.2">
      <c r="L9473" s="12"/>
      <c r="M9473" s="13"/>
    </row>
    <row r="9474" spans="12:13" x14ac:dyDescent="0.2">
      <c r="L9474" s="17"/>
      <c r="M9474" s="18"/>
    </row>
    <row r="9475" spans="12:13" x14ac:dyDescent="0.2">
      <c r="L9475" s="12"/>
      <c r="M9475" s="13"/>
    </row>
    <row r="9476" spans="12:13" x14ac:dyDescent="0.2">
      <c r="L9476" s="12"/>
      <c r="M9476" s="13"/>
    </row>
    <row r="9477" spans="12:13" x14ac:dyDescent="0.2">
      <c r="L9477" s="12"/>
      <c r="M9477" s="13"/>
    </row>
    <row r="9478" spans="12:13" x14ac:dyDescent="0.2">
      <c r="L9478" s="12"/>
      <c r="M9478" s="13"/>
    </row>
    <row r="9479" spans="12:13" x14ac:dyDescent="0.2">
      <c r="L9479" s="12"/>
      <c r="M9479" s="13"/>
    </row>
    <row r="9480" spans="12:13" x14ac:dyDescent="0.2">
      <c r="L9480" s="12"/>
      <c r="M9480" s="13"/>
    </row>
    <row r="9481" spans="12:13" x14ac:dyDescent="0.2">
      <c r="L9481" s="12"/>
      <c r="M9481" s="13"/>
    </row>
    <row r="9482" spans="12:13" x14ac:dyDescent="0.2">
      <c r="L9482" s="12"/>
      <c r="M9482" s="13"/>
    </row>
    <row r="9483" spans="12:13" x14ac:dyDescent="0.2">
      <c r="L9483" s="12"/>
      <c r="M9483" s="13"/>
    </row>
    <row r="9484" spans="12:13" x14ac:dyDescent="0.2">
      <c r="L9484" s="12"/>
      <c r="M9484" s="13"/>
    </row>
    <row r="9485" spans="12:13" x14ac:dyDescent="0.2">
      <c r="L9485" s="12"/>
      <c r="M9485" s="13"/>
    </row>
    <row r="9486" spans="12:13" x14ac:dyDescent="0.2">
      <c r="L9486" s="12"/>
      <c r="M9486" s="13"/>
    </row>
    <row r="9487" spans="12:13" x14ac:dyDescent="0.2">
      <c r="L9487" s="12"/>
      <c r="M9487" s="13"/>
    </row>
    <row r="9488" spans="12:13" x14ac:dyDescent="0.2">
      <c r="L9488" s="12"/>
      <c r="M9488" s="13"/>
    </row>
    <row r="9489" spans="12:13" x14ac:dyDescent="0.2">
      <c r="L9489" s="12"/>
      <c r="M9489" s="13"/>
    </row>
    <row r="9490" spans="12:13" x14ac:dyDescent="0.2">
      <c r="L9490" s="12"/>
      <c r="M9490" s="13"/>
    </row>
    <row r="9491" spans="12:13" x14ac:dyDescent="0.2">
      <c r="L9491" s="12"/>
      <c r="M9491" s="13"/>
    </row>
    <row r="9492" spans="12:13" x14ac:dyDescent="0.2">
      <c r="L9492" s="12"/>
      <c r="M9492" s="13"/>
    </row>
    <row r="9493" spans="12:13" x14ac:dyDescent="0.2">
      <c r="L9493" s="12"/>
      <c r="M9493" s="13"/>
    </row>
    <row r="9494" spans="12:13" x14ac:dyDescent="0.2">
      <c r="L9494" s="12"/>
      <c r="M9494" s="13"/>
    </row>
    <row r="9495" spans="12:13" x14ac:dyDescent="0.2">
      <c r="L9495" s="12"/>
      <c r="M9495" s="13"/>
    </row>
    <row r="9496" spans="12:13" x14ac:dyDescent="0.2">
      <c r="L9496" s="12"/>
      <c r="M9496" s="13"/>
    </row>
    <row r="9497" spans="12:13" x14ac:dyDescent="0.2">
      <c r="L9497" s="12"/>
      <c r="M9497" s="13"/>
    </row>
    <row r="9498" spans="12:13" x14ac:dyDescent="0.2">
      <c r="L9498" s="12"/>
      <c r="M9498" s="13"/>
    </row>
    <row r="9499" spans="12:13" x14ac:dyDescent="0.2">
      <c r="L9499" s="12"/>
      <c r="M9499" s="13"/>
    </row>
    <row r="9500" spans="12:13" x14ac:dyDescent="0.2">
      <c r="L9500" s="12"/>
      <c r="M9500" s="13"/>
    </row>
    <row r="9501" spans="12:13" x14ac:dyDescent="0.2">
      <c r="L9501" s="12"/>
      <c r="M9501" s="13"/>
    </row>
    <row r="9502" spans="12:13" x14ac:dyDescent="0.2">
      <c r="L9502" s="12"/>
      <c r="M9502" s="13"/>
    </row>
    <row r="9503" spans="12:13" x14ac:dyDescent="0.2">
      <c r="L9503" s="12"/>
      <c r="M9503" s="13"/>
    </row>
    <row r="9504" spans="12:13" x14ac:dyDescent="0.2">
      <c r="L9504" s="12"/>
      <c r="M9504" s="13"/>
    </row>
    <row r="9505" spans="12:13" x14ac:dyDescent="0.2">
      <c r="L9505" s="12"/>
      <c r="M9505" s="13"/>
    </row>
    <row r="9506" spans="12:13" x14ac:dyDescent="0.2">
      <c r="L9506" s="12"/>
      <c r="M9506" s="13"/>
    </row>
    <row r="9507" spans="12:13" x14ac:dyDescent="0.2">
      <c r="L9507" s="12"/>
      <c r="M9507" s="13"/>
    </row>
    <row r="9508" spans="12:13" x14ac:dyDescent="0.2">
      <c r="L9508" s="12"/>
      <c r="M9508" s="13"/>
    </row>
    <row r="9509" spans="12:13" x14ac:dyDescent="0.2">
      <c r="L9509" s="12"/>
      <c r="M9509" s="13"/>
    </row>
    <row r="9510" spans="12:13" x14ac:dyDescent="0.2">
      <c r="L9510" s="12"/>
      <c r="M9510" s="13"/>
    </row>
    <row r="9511" spans="12:13" x14ac:dyDescent="0.2">
      <c r="L9511" s="12"/>
      <c r="M9511" s="13"/>
    </row>
    <row r="9512" spans="12:13" x14ac:dyDescent="0.2">
      <c r="L9512" s="12"/>
      <c r="M9512" s="13"/>
    </row>
    <row r="9513" spans="12:13" x14ac:dyDescent="0.2">
      <c r="L9513" s="12"/>
      <c r="M9513" s="13"/>
    </row>
    <row r="9514" spans="12:13" x14ac:dyDescent="0.2">
      <c r="L9514" s="12"/>
      <c r="M9514" s="13"/>
    </row>
    <row r="9515" spans="12:13" x14ac:dyDescent="0.2">
      <c r="L9515" s="12"/>
      <c r="M9515" s="13"/>
    </row>
    <row r="9516" spans="12:13" x14ac:dyDescent="0.2">
      <c r="L9516" s="12"/>
      <c r="M9516" s="13"/>
    </row>
    <row r="9517" spans="12:13" x14ac:dyDescent="0.2">
      <c r="L9517" s="12"/>
      <c r="M9517" s="13"/>
    </row>
    <row r="9518" spans="12:13" x14ac:dyDescent="0.2">
      <c r="L9518" s="12"/>
      <c r="M9518" s="13"/>
    </row>
    <row r="9519" spans="12:13" x14ac:dyDescent="0.2">
      <c r="L9519" s="12"/>
      <c r="M9519" s="13"/>
    </row>
    <row r="9520" spans="12:13" x14ac:dyDescent="0.2">
      <c r="L9520" s="12"/>
      <c r="M9520" s="13"/>
    </row>
    <row r="9521" spans="12:13" x14ac:dyDescent="0.2">
      <c r="L9521" s="12"/>
      <c r="M9521" s="13"/>
    </row>
    <row r="9522" spans="12:13" x14ac:dyDescent="0.2">
      <c r="L9522" s="12"/>
      <c r="M9522" s="13"/>
    </row>
    <row r="9523" spans="12:13" x14ac:dyDescent="0.2">
      <c r="L9523" s="12"/>
      <c r="M9523" s="13"/>
    </row>
    <row r="9524" spans="12:13" x14ac:dyDescent="0.2">
      <c r="L9524" s="12"/>
      <c r="M9524" s="13"/>
    </row>
    <row r="9525" spans="12:13" x14ac:dyDescent="0.2">
      <c r="L9525" s="12"/>
      <c r="M9525" s="13"/>
    </row>
    <row r="9526" spans="12:13" x14ac:dyDescent="0.2">
      <c r="L9526" s="12"/>
      <c r="M9526" s="13"/>
    </row>
    <row r="9527" spans="12:13" x14ac:dyDescent="0.2">
      <c r="L9527" s="12"/>
      <c r="M9527" s="13"/>
    </row>
    <row r="9528" spans="12:13" x14ac:dyDescent="0.2">
      <c r="L9528" s="12"/>
      <c r="M9528" s="13"/>
    </row>
    <row r="9529" spans="12:13" x14ac:dyDescent="0.2">
      <c r="L9529" s="12"/>
      <c r="M9529" s="13"/>
    </row>
    <row r="9530" spans="12:13" x14ac:dyDescent="0.2">
      <c r="L9530" s="12"/>
      <c r="M9530" s="13"/>
    </row>
    <row r="9531" spans="12:13" x14ac:dyDescent="0.2">
      <c r="L9531" s="12"/>
      <c r="M9531" s="13"/>
    </row>
    <row r="9532" spans="12:13" x14ac:dyDescent="0.2">
      <c r="L9532" s="12"/>
      <c r="M9532" s="13"/>
    </row>
    <row r="9533" spans="12:13" x14ac:dyDescent="0.2">
      <c r="L9533" s="12"/>
      <c r="M9533" s="13"/>
    </row>
    <row r="9534" spans="12:13" x14ac:dyDescent="0.2">
      <c r="L9534" s="12"/>
      <c r="M9534" s="13"/>
    </row>
    <row r="9535" spans="12:13" x14ac:dyDescent="0.2">
      <c r="L9535" s="12"/>
      <c r="M9535" s="13"/>
    </row>
    <row r="9536" spans="12:13" x14ac:dyDescent="0.2">
      <c r="L9536" s="12"/>
      <c r="M9536" s="13"/>
    </row>
    <row r="9537" spans="12:13" x14ac:dyDescent="0.2">
      <c r="L9537" s="12"/>
      <c r="M9537" s="13"/>
    </row>
    <row r="9538" spans="12:13" x14ac:dyDescent="0.2">
      <c r="L9538" s="12"/>
      <c r="M9538" s="13"/>
    </row>
    <row r="9539" spans="12:13" x14ac:dyDescent="0.2">
      <c r="L9539" s="12"/>
      <c r="M9539" s="13"/>
    </row>
    <row r="9540" spans="12:13" x14ac:dyDescent="0.2">
      <c r="L9540" s="12"/>
      <c r="M9540" s="13"/>
    </row>
    <row r="9541" spans="12:13" x14ac:dyDescent="0.2">
      <c r="L9541" s="12"/>
      <c r="M9541" s="13"/>
    </row>
    <row r="9542" spans="12:13" x14ac:dyDescent="0.2">
      <c r="L9542" s="12"/>
      <c r="M9542" s="13"/>
    </row>
    <row r="9543" spans="12:13" x14ac:dyDescent="0.2">
      <c r="L9543" s="12"/>
      <c r="M9543" s="13"/>
    </row>
    <row r="9544" spans="12:13" x14ac:dyDescent="0.2">
      <c r="L9544" s="12"/>
      <c r="M9544" s="13"/>
    </row>
    <row r="9545" spans="12:13" x14ac:dyDescent="0.2">
      <c r="L9545" s="12"/>
      <c r="M9545" s="13"/>
    </row>
    <row r="9546" spans="12:13" x14ac:dyDescent="0.2">
      <c r="L9546" s="12"/>
      <c r="M9546" s="13"/>
    </row>
    <row r="9547" spans="12:13" x14ac:dyDescent="0.2">
      <c r="L9547" s="12"/>
      <c r="M9547" s="13"/>
    </row>
    <row r="9548" spans="12:13" x14ac:dyDescent="0.2">
      <c r="L9548" s="12"/>
      <c r="M9548" s="13"/>
    </row>
    <row r="9549" spans="12:13" x14ac:dyDescent="0.2">
      <c r="L9549" s="12"/>
      <c r="M9549" s="13"/>
    </row>
    <row r="9550" spans="12:13" x14ac:dyDescent="0.2">
      <c r="L9550" s="12"/>
      <c r="M9550" s="13"/>
    </row>
    <row r="9551" spans="12:13" x14ac:dyDescent="0.2">
      <c r="L9551" s="12"/>
      <c r="M9551" s="13"/>
    </row>
    <row r="9552" spans="12:13" x14ac:dyDescent="0.2">
      <c r="L9552" s="12"/>
      <c r="M9552" s="13"/>
    </row>
    <row r="9553" spans="12:13" x14ac:dyDescent="0.2">
      <c r="L9553" s="12"/>
      <c r="M9553" s="13"/>
    </row>
    <row r="9554" spans="12:13" x14ac:dyDescent="0.2">
      <c r="L9554" s="12"/>
      <c r="M9554" s="13"/>
    </row>
    <row r="9555" spans="12:13" x14ac:dyDescent="0.2">
      <c r="L9555" s="12"/>
      <c r="M9555" s="13"/>
    </row>
    <row r="9556" spans="12:13" x14ac:dyDescent="0.2">
      <c r="L9556" s="12"/>
      <c r="M9556" s="13"/>
    </row>
    <row r="9557" spans="12:13" x14ac:dyDescent="0.2">
      <c r="L9557" s="12"/>
      <c r="M9557" s="13"/>
    </row>
    <row r="9558" spans="12:13" x14ac:dyDescent="0.2">
      <c r="L9558" s="12"/>
      <c r="M9558" s="13"/>
    </row>
    <row r="9559" spans="12:13" x14ac:dyDescent="0.2">
      <c r="L9559" s="12"/>
      <c r="M9559" s="13"/>
    </row>
    <row r="9560" spans="12:13" x14ac:dyDescent="0.2">
      <c r="L9560" s="12"/>
      <c r="M9560" s="13"/>
    </row>
    <row r="9561" spans="12:13" x14ac:dyDescent="0.2">
      <c r="L9561" s="12"/>
      <c r="M9561" s="13"/>
    </row>
    <row r="9562" spans="12:13" x14ac:dyDescent="0.2">
      <c r="L9562" s="12"/>
      <c r="M9562" s="13"/>
    </row>
    <row r="9563" spans="12:13" x14ac:dyDescent="0.2">
      <c r="L9563" s="12"/>
      <c r="M9563" s="13"/>
    </row>
    <row r="9564" spans="12:13" x14ac:dyDescent="0.2">
      <c r="L9564" s="12"/>
      <c r="M9564" s="13"/>
    </row>
    <row r="9565" spans="12:13" x14ac:dyDescent="0.2">
      <c r="L9565" s="12"/>
      <c r="M9565" s="13"/>
    </row>
    <row r="9566" spans="12:13" x14ac:dyDescent="0.2">
      <c r="L9566" s="12"/>
      <c r="M9566" s="13"/>
    </row>
    <row r="9567" spans="12:13" x14ac:dyDescent="0.2">
      <c r="L9567" s="12"/>
      <c r="M9567" s="13"/>
    </row>
    <row r="9568" spans="12:13" x14ac:dyDescent="0.2">
      <c r="L9568" s="12"/>
      <c r="M9568" s="13"/>
    </row>
    <row r="9569" spans="12:13" x14ac:dyDescent="0.2">
      <c r="L9569" s="12"/>
      <c r="M9569" s="13"/>
    </row>
    <row r="9570" spans="12:13" x14ac:dyDescent="0.2">
      <c r="L9570" s="12"/>
      <c r="M9570" s="13"/>
    </row>
    <row r="9571" spans="12:13" x14ac:dyDescent="0.2">
      <c r="L9571" s="12"/>
      <c r="M9571" s="13"/>
    </row>
    <row r="9572" spans="12:13" x14ac:dyDescent="0.2">
      <c r="L9572" s="12"/>
      <c r="M9572" s="13"/>
    </row>
    <row r="9573" spans="12:13" x14ac:dyDescent="0.2">
      <c r="L9573" s="12"/>
      <c r="M9573" s="13"/>
    </row>
    <row r="9574" spans="12:13" x14ac:dyDescent="0.2">
      <c r="L9574" s="12"/>
      <c r="M9574" s="13"/>
    </row>
    <row r="9575" spans="12:13" x14ac:dyDescent="0.2">
      <c r="L9575" s="12"/>
      <c r="M9575" s="13"/>
    </row>
    <row r="9576" spans="12:13" x14ac:dyDescent="0.2">
      <c r="L9576" s="12"/>
      <c r="M9576" s="13"/>
    </row>
    <row r="9577" spans="12:13" x14ac:dyDescent="0.2">
      <c r="L9577" s="12"/>
      <c r="M9577" s="13"/>
    </row>
    <row r="9578" spans="12:13" x14ac:dyDescent="0.2">
      <c r="L9578" s="12"/>
      <c r="M9578" s="13"/>
    </row>
    <row r="9579" spans="12:13" x14ac:dyDescent="0.2">
      <c r="L9579" s="12"/>
      <c r="M9579" s="13"/>
    </row>
    <row r="9580" spans="12:13" x14ac:dyDescent="0.2">
      <c r="L9580" s="12"/>
      <c r="M9580" s="13"/>
    </row>
    <row r="9581" spans="12:13" x14ac:dyDescent="0.2">
      <c r="L9581" s="12"/>
      <c r="M9581" s="13"/>
    </row>
    <row r="9582" spans="12:13" x14ac:dyDescent="0.2">
      <c r="L9582" s="12"/>
      <c r="M9582" s="13"/>
    </row>
    <row r="9583" spans="12:13" x14ac:dyDescent="0.2">
      <c r="L9583" s="12"/>
      <c r="M9583" s="13"/>
    </row>
    <row r="9584" spans="12:13" x14ac:dyDescent="0.2">
      <c r="L9584" s="12"/>
      <c r="M9584" s="13"/>
    </row>
    <row r="9585" spans="12:13" x14ac:dyDescent="0.2">
      <c r="L9585" s="12"/>
      <c r="M9585" s="13"/>
    </row>
    <row r="9586" spans="12:13" x14ac:dyDescent="0.2">
      <c r="L9586" s="12"/>
      <c r="M9586" s="13"/>
    </row>
    <row r="9587" spans="12:13" x14ac:dyDescent="0.2">
      <c r="L9587" s="12"/>
      <c r="M9587" s="13"/>
    </row>
    <row r="9588" spans="12:13" x14ac:dyDescent="0.2">
      <c r="L9588" s="12"/>
      <c r="M9588" s="13"/>
    </row>
    <row r="9589" spans="12:13" x14ac:dyDescent="0.2">
      <c r="L9589" s="12"/>
      <c r="M9589" s="13"/>
    </row>
    <row r="9590" spans="12:13" x14ac:dyDescent="0.2">
      <c r="L9590" s="12"/>
      <c r="M9590" s="13"/>
    </row>
    <row r="9591" spans="12:13" x14ac:dyDescent="0.2">
      <c r="L9591" s="12"/>
      <c r="M9591" s="13"/>
    </row>
    <row r="9592" spans="12:13" x14ac:dyDescent="0.2">
      <c r="L9592" s="12"/>
      <c r="M9592" s="13"/>
    </row>
    <row r="9593" spans="12:13" x14ac:dyDescent="0.2">
      <c r="L9593" s="12"/>
      <c r="M9593" s="13"/>
    </row>
    <row r="9594" spans="12:13" x14ac:dyDescent="0.2">
      <c r="L9594" s="12"/>
      <c r="M9594" s="13"/>
    </row>
    <row r="9595" spans="12:13" x14ac:dyDescent="0.2">
      <c r="L9595" s="12"/>
      <c r="M9595" s="13"/>
    </row>
    <row r="9596" spans="12:13" x14ac:dyDescent="0.2">
      <c r="L9596" s="12"/>
      <c r="M9596" s="13"/>
    </row>
    <row r="9597" spans="12:13" x14ac:dyDescent="0.2">
      <c r="L9597" s="12"/>
      <c r="M9597" s="13"/>
    </row>
    <row r="9598" spans="12:13" x14ac:dyDescent="0.2">
      <c r="L9598" s="12"/>
      <c r="M9598" s="13"/>
    </row>
    <row r="9599" spans="12:13" x14ac:dyDescent="0.2">
      <c r="L9599" s="12"/>
      <c r="M9599" s="13"/>
    </row>
    <row r="9600" spans="12:13" x14ac:dyDescent="0.2">
      <c r="L9600" s="12"/>
      <c r="M9600" s="13"/>
    </row>
    <row r="9601" spans="12:13" x14ac:dyDescent="0.2">
      <c r="L9601" s="12"/>
      <c r="M9601" s="13"/>
    </row>
    <row r="9602" spans="12:13" x14ac:dyDescent="0.2">
      <c r="L9602" s="12"/>
      <c r="M9602" s="13"/>
    </row>
    <row r="9603" spans="12:13" x14ac:dyDescent="0.2">
      <c r="L9603" s="12"/>
      <c r="M9603" s="13"/>
    </row>
    <row r="9604" spans="12:13" x14ac:dyDescent="0.2">
      <c r="L9604" s="12"/>
      <c r="M9604" s="13"/>
    </row>
    <row r="9605" spans="12:13" x14ac:dyDescent="0.2">
      <c r="L9605" s="12"/>
      <c r="M9605" s="13"/>
    </row>
    <row r="9606" spans="12:13" x14ac:dyDescent="0.2">
      <c r="L9606" s="12"/>
      <c r="M9606" s="13"/>
    </row>
    <row r="9607" spans="12:13" x14ac:dyDescent="0.2">
      <c r="L9607" s="12"/>
      <c r="M9607" s="13"/>
    </row>
    <row r="9608" spans="12:13" x14ac:dyDescent="0.2">
      <c r="L9608" s="12"/>
      <c r="M9608" s="13"/>
    </row>
    <row r="9609" spans="12:13" x14ac:dyDescent="0.2">
      <c r="L9609" s="12"/>
      <c r="M9609" s="13"/>
    </row>
    <row r="9610" spans="12:13" x14ac:dyDescent="0.2">
      <c r="L9610" s="12"/>
      <c r="M9610" s="13"/>
    </row>
    <row r="9611" spans="12:13" x14ac:dyDescent="0.2">
      <c r="L9611" s="12"/>
      <c r="M9611" s="13"/>
    </row>
    <row r="9612" spans="12:13" x14ac:dyDescent="0.2">
      <c r="L9612" s="12"/>
      <c r="M9612" s="13"/>
    </row>
    <row r="9613" spans="12:13" x14ac:dyDescent="0.2">
      <c r="L9613" s="12"/>
      <c r="M9613" s="13"/>
    </row>
    <row r="9614" spans="12:13" x14ac:dyDescent="0.2">
      <c r="L9614" s="12"/>
      <c r="M9614" s="13"/>
    </row>
    <row r="9615" spans="12:13" x14ac:dyDescent="0.2">
      <c r="L9615" s="12"/>
      <c r="M9615" s="13"/>
    </row>
    <row r="9616" spans="12:13" x14ac:dyDescent="0.2">
      <c r="L9616" s="12"/>
      <c r="M9616" s="13"/>
    </row>
    <row r="9617" spans="12:13" x14ac:dyDescent="0.2">
      <c r="L9617" s="12"/>
      <c r="M9617" s="13"/>
    </row>
    <row r="9618" spans="12:13" x14ac:dyDescent="0.2">
      <c r="L9618" s="12"/>
      <c r="M9618" s="13"/>
    </row>
    <row r="9619" spans="12:13" x14ac:dyDescent="0.2">
      <c r="L9619" s="12"/>
      <c r="M9619" s="13"/>
    </row>
    <row r="9620" spans="12:13" x14ac:dyDescent="0.2">
      <c r="L9620" s="12"/>
      <c r="M9620" s="13"/>
    </row>
    <row r="9621" spans="12:13" x14ac:dyDescent="0.2">
      <c r="L9621" s="12"/>
      <c r="M9621" s="13"/>
    </row>
    <row r="9622" spans="12:13" x14ac:dyDescent="0.2">
      <c r="L9622" s="12"/>
      <c r="M9622" s="13"/>
    </row>
    <row r="9623" spans="12:13" x14ac:dyDescent="0.2">
      <c r="L9623" s="12"/>
      <c r="M9623" s="13"/>
    </row>
    <row r="9624" spans="12:13" x14ac:dyDescent="0.2">
      <c r="L9624" s="12"/>
      <c r="M9624" s="13"/>
    </row>
    <row r="9625" spans="12:13" x14ac:dyDescent="0.2">
      <c r="L9625" s="12"/>
      <c r="M9625" s="13"/>
    </row>
    <row r="9626" spans="12:13" x14ac:dyDescent="0.2">
      <c r="L9626" s="12"/>
      <c r="M9626" s="13"/>
    </row>
    <row r="9627" spans="12:13" x14ac:dyDescent="0.2">
      <c r="L9627" s="12"/>
      <c r="M9627" s="13"/>
    </row>
    <row r="9628" spans="12:13" x14ac:dyDescent="0.2">
      <c r="L9628" s="12"/>
      <c r="M9628" s="13"/>
    </row>
    <row r="9629" spans="12:13" x14ac:dyDescent="0.2">
      <c r="L9629" s="12"/>
      <c r="M9629" s="13"/>
    </row>
    <row r="9630" spans="12:13" x14ac:dyDescent="0.2">
      <c r="L9630" s="12"/>
      <c r="M9630" s="13"/>
    </row>
    <row r="9631" spans="12:13" x14ac:dyDescent="0.2">
      <c r="L9631" s="12"/>
      <c r="M9631" s="13"/>
    </row>
    <row r="9632" spans="12:13" x14ac:dyDescent="0.2">
      <c r="L9632" s="12"/>
      <c r="M9632" s="13"/>
    </row>
    <row r="9633" spans="12:13" x14ac:dyDescent="0.2">
      <c r="L9633" s="12"/>
      <c r="M9633" s="13"/>
    </row>
    <row r="9634" spans="12:13" x14ac:dyDescent="0.2">
      <c r="L9634" s="12"/>
      <c r="M9634" s="13"/>
    </row>
    <row r="9635" spans="12:13" x14ac:dyDescent="0.2">
      <c r="L9635" s="12"/>
      <c r="M9635" s="13"/>
    </row>
    <row r="9636" spans="12:13" x14ac:dyDescent="0.2">
      <c r="L9636" s="12"/>
      <c r="M9636" s="13"/>
    </row>
    <row r="9637" spans="12:13" x14ac:dyDescent="0.2">
      <c r="L9637" s="12"/>
      <c r="M9637" s="13"/>
    </row>
    <row r="9638" spans="12:13" x14ac:dyDescent="0.2">
      <c r="L9638" s="12"/>
      <c r="M9638" s="13"/>
    </row>
    <row r="9639" spans="12:13" x14ac:dyDescent="0.2">
      <c r="L9639" s="12"/>
      <c r="M9639" s="13"/>
    </row>
    <row r="9640" spans="12:13" x14ac:dyDescent="0.2">
      <c r="L9640" s="12"/>
      <c r="M9640" s="13"/>
    </row>
    <row r="9641" spans="12:13" x14ac:dyDescent="0.2">
      <c r="L9641" s="12"/>
      <c r="M9641" s="13"/>
    </row>
    <row r="9642" spans="12:13" x14ac:dyDescent="0.2">
      <c r="L9642" s="12"/>
      <c r="M9642" s="13"/>
    </row>
    <row r="9643" spans="12:13" x14ac:dyDescent="0.2">
      <c r="L9643" s="12"/>
      <c r="M9643" s="13"/>
    </row>
    <row r="9644" spans="12:13" x14ac:dyDescent="0.2">
      <c r="L9644" s="12"/>
      <c r="M9644" s="13"/>
    </row>
    <row r="9645" spans="12:13" x14ac:dyDescent="0.2">
      <c r="L9645" s="12"/>
      <c r="M9645" s="13"/>
    </row>
    <row r="9646" spans="12:13" x14ac:dyDescent="0.2">
      <c r="L9646" s="12"/>
      <c r="M9646" s="13"/>
    </row>
    <row r="9647" spans="12:13" x14ac:dyDescent="0.2">
      <c r="L9647" s="12"/>
      <c r="M9647" s="13"/>
    </row>
    <row r="9648" spans="12:13" x14ac:dyDescent="0.2">
      <c r="L9648" s="12"/>
      <c r="M9648" s="13"/>
    </row>
    <row r="9649" spans="12:13" x14ac:dyDescent="0.2">
      <c r="L9649" s="12"/>
      <c r="M9649" s="13"/>
    </row>
    <row r="9650" spans="12:13" x14ac:dyDescent="0.2">
      <c r="L9650" s="12"/>
      <c r="M9650" s="13"/>
    </row>
    <row r="9651" spans="12:13" x14ac:dyDescent="0.2">
      <c r="L9651" s="12"/>
      <c r="M9651" s="13"/>
    </row>
    <row r="9652" spans="12:13" x14ac:dyDescent="0.2">
      <c r="L9652" s="12"/>
      <c r="M9652" s="13"/>
    </row>
    <row r="9653" spans="12:13" x14ac:dyDescent="0.2">
      <c r="L9653" s="12"/>
      <c r="M9653" s="13"/>
    </row>
    <row r="9654" spans="12:13" x14ac:dyDescent="0.2">
      <c r="L9654" s="12"/>
      <c r="M9654" s="13"/>
    </row>
    <row r="9655" spans="12:13" x14ac:dyDescent="0.2">
      <c r="L9655" s="12"/>
      <c r="M9655" s="13"/>
    </row>
    <row r="9656" spans="12:13" x14ac:dyDescent="0.2">
      <c r="L9656" s="12"/>
      <c r="M9656" s="13"/>
    </row>
    <row r="9657" spans="12:13" x14ac:dyDescent="0.2">
      <c r="L9657" s="12"/>
      <c r="M9657" s="13"/>
    </row>
    <row r="9658" spans="12:13" x14ac:dyDescent="0.2">
      <c r="L9658" s="12"/>
      <c r="M9658" s="13"/>
    </row>
    <row r="9659" spans="12:13" x14ac:dyDescent="0.2">
      <c r="L9659" s="12"/>
      <c r="M9659" s="13"/>
    </row>
    <row r="9660" spans="12:13" x14ac:dyDescent="0.2">
      <c r="L9660" s="12"/>
      <c r="M9660" s="13"/>
    </row>
    <row r="9661" spans="12:13" x14ac:dyDescent="0.2">
      <c r="L9661" s="12"/>
      <c r="M9661" s="13"/>
    </row>
    <row r="9662" spans="12:13" x14ac:dyDescent="0.2">
      <c r="L9662" s="12"/>
      <c r="M9662" s="13"/>
    </row>
    <row r="9663" spans="12:13" x14ac:dyDescent="0.2">
      <c r="L9663" s="12"/>
      <c r="M9663" s="13"/>
    </row>
    <row r="9664" spans="12:13" x14ac:dyDescent="0.2">
      <c r="L9664" s="12"/>
      <c r="M9664" s="13"/>
    </row>
    <row r="9665" spans="12:13" x14ac:dyDescent="0.2">
      <c r="L9665" s="12"/>
      <c r="M9665" s="13"/>
    </row>
    <row r="9666" spans="12:13" x14ac:dyDescent="0.2">
      <c r="L9666" s="12"/>
      <c r="M9666" s="13"/>
    </row>
    <row r="9667" spans="12:13" x14ac:dyDescent="0.2">
      <c r="L9667" s="12"/>
      <c r="M9667" s="13"/>
    </row>
    <row r="9668" spans="12:13" x14ac:dyDescent="0.2">
      <c r="L9668" s="12"/>
      <c r="M9668" s="13"/>
    </row>
    <row r="9669" spans="12:13" x14ac:dyDescent="0.2">
      <c r="L9669" s="12"/>
      <c r="M9669" s="13"/>
    </row>
    <row r="9670" spans="12:13" x14ac:dyDescent="0.2">
      <c r="L9670" s="12"/>
      <c r="M9670" s="13"/>
    </row>
    <row r="9671" spans="12:13" x14ac:dyDescent="0.2">
      <c r="L9671" s="12"/>
      <c r="M9671" s="13"/>
    </row>
    <row r="9672" spans="12:13" x14ac:dyDescent="0.2">
      <c r="L9672" s="12"/>
      <c r="M9672" s="13"/>
    </row>
    <row r="9673" spans="12:13" x14ac:dyDescent="0.2">
      <c r="L9673" s="12"/>
      <c r="M9673" s="13"/>
    </row>
    <row r="9674" spans="12:13" x14ac:dyDescent="0.2">
      <c r="L9674" s="12"/>
      <c r="M9674" s="13"/>
    </row>
    <row r="9675" spans="12:13" x14ac:dyDescent="0.2">
      <c r="L9675" s="12"/>
      <c r="M9675" s="13"/>
    </row>
    <row r="9676" spans="12:13" x14ac:dyDescent="0.2">
      <c r="L9676" s="12"/>
      <c r="M9676" s="13"/>
    </row>
    <row r="9677" spans="12:13" x14ac:dyDescent="0.2">
      <c r="L9677" s="12"/>
      <c r="M9677" s="13"/>
    </row>
    <row r="9678" spans="12:13" x14ac:dyDescent="0.2">
      <c r="L9678" s="12"/>
      <c r="M9678" s="13"/>
    </row>
    <row r="9679" spans="12:13" x14ac:dyDescent="0.2">
      <c r="L9679" s="12"/>
      <c r="M9679" s="13"/>
    </row>
    <row r="9680" spans="12:13" x14ac:dyDescent="0.2">
      <c r="L9680" s="12"/>
      <c r="M9680" s="13"/>
    </row>
    <row r="9681" spans="12:13" x14ac:dyDescent="0.2">
      <c r="L9681" s="12"/>
      <c r="M9681" s="13"/>
    </row>
    <row r="9682" spans="12:13" x14ac:dyDescent="0.2">
      <c r="L9682" s="12"/>
      <c r="M9682" s="13"/>
    </row>
    <row r="9683" spans="12:13" x14ac:dyDescent="0.2">
      <c r="L9683" s="12"/>
      <c r="M9683" s="13"/>
    </row>
    <row r="9684" spans="12:13" x14ac:dyDescent="0.2">
      <c r="L9684" s="12"/>
      <c r="M9684" s="13"/>
    </row>
    <row r="9685" spans="12:13" x14ac:dyDescent="0.2">
      <c r="L9685" s="12"/>
      <c r="M9685" s="13"/>
    </row>
    <row r="9686" spans="12:13" x14ac:dyDescent="0.2">
      <c r="L9686" s="12"/>
      <c r="M9686" s="13"/>
    </row>
    <row r="9687" spans="12:13" x14ac:dyDescent="0.2">
      <c r="L9687" s="12"/>
      <c r="M9687" s="13"/>
    </row>
    <row r="9688" spans="12:13" x14ac:dyDescent="0.2">
      <c r="L9688" s="12"/>
      <c r="M9688" s="13"/>
    </row>
    <row r="9689" spans="12:13" x14ac:dyDescent="0.2">
      <c r="L9689" s="12"/>
      <c r="M9689" s="13"/>
    </row>
    <row r="9690" spans="12:13" x14ac:dyDescent="0.2">
      <c r="L9690" s="12"/>
      <c r="M9690" s="13"/>
    </row>
    <row r="9691" spans="12:13" x14ac:dyDescent="0.2">
      <c r="L9691" s="12"/>
      <c r="M9691" s="13"/>
    </row>
    <row r="9692" spans="12:13" x14ac:dyDescent="0.2">
      <c r="L9692" s="12"/>
      <c r="M9692" s="13"/>
    </row>
    <row r="9693" spans="12:13" x14ac:dyDescent="0.2">
      <c r="L9693" s="12"/>
      <c r="M9693" s="13"/>
    </row>
    <row r="9694" spans="12:13" x14ac:dyDescent="0.2">
      <c r="L9694" s="12"/>
      <c r="M9694" s="13"/>
    </row>
    <row r="9695" spans="12:13" x14ac:dyDescent="0.2">
      <c r="L9695" s="12"/>
      <c r="M9695" s="13"/>
    </row>
    <row r="9696" spans="12:13" x14ac:dyDescent="0.2">
      <c r="L9696" s="12"/>
      <c r="M9696" s="13"/>
    </row>
    <row r="9697" spans="12:13" x14ac:dyDescent="0.2">
      <c r="L9697" s="12"/>
      <c r="M9697" s="13"/>
    </row>
    <row r="9698" spans="12:13" x14ac:dyDescent="0.2">
      <c r="L9698" s="12"/>
      <c r="M9698" s="13"/>
    </row>
    <row r="9699" spans="12:13" x14ac:dyDescent="0.2">
      <c r="L9699" s="12"/>
      <c r="M9699" s="13"/>
    </row>
    <row r="9700" spans="12:13" x14ac:dyDescent="0.2">
      <c r="L9700" s="12"/>
      <c r="M9700" s="13"/>
    </row>
    <row r="9701" spans="12:13" x14ac:dyDescent="0.2">
      <c r="L9701" s="12"/>
      <c r="M9701" s="13"/>
    </row>
    <row r="9702" spans="12:13" x14ac:dyDescent="0.2">
      <c r="L9702" s="12"/>
      <c r="M9702" s="13"/>
    </row>
    <row r="9703" spans="12:13" x14ac:dyDescent="0.2">
      <c r="L9703" s="12"/>
      <c r="M9703" s="13"/>
    </row>
    <row r="9704" spans="12:13" x14ac:dyDescent="0.2">
      <c r="L9704" s="12"/>
      <c r="M9704" s="13"/>
    </row>
    <row r="9705" spans="12:13" x14ac:dyDescent="0.2">
      <c r="L9705" s="12"/>
      <c r="M9705" s="13"/>
    </row>
    <row r="9706" spans="12:13" x14ac:dyDescent="0.2">
      <c r="L9706" s="12"/>
      <c r="M9706" s="13"/>
    </row>
    <row r="9707" spans="12:13" x14ac:dyDescent="0.2">
      <c r="L9707" s="12"/>
      <c r="M9707" s="13"/>
    </row>
    <row r="9708" spans="12:13" x14ac:dyDescent="0.2">
      <c r="L9708" s="12"/>
      <c r="M9708" s="13"/>
    </row>
    <row r="9709" spans="12:13" x14ac:dyDescent="0.2">
      <c r="L9709" s="12"/>
      <c r="M9709" s="13"/>
    </row>
    <row r="9710" spans="12:13" x14ac:dyDescent="0.2">
      <c r="L9710" s="12"/>
      <c r="M9710" s="13"/>
    </row>
    <row r="9711" spans="12:13" x14ac:dyDescent="0.2">
      <c r="L9711" s="12"/>
      <c r="M9711" s="13"/>
    </row>
    <row r="9712" spans="12:13" x14ac:dyDescent="0.2">
      <c r="L9712" s="12"/>
      <c r="M9712" s="13"/>
    </row>
    <row r="9713" spans="12:13" x14ac:dyDescent="0.2">
      <c r="L9713" s="12"/>
      <c r="M9713" s="13"/>
    </row>
    <row r="9714" spans="12:13" x14ac:dyDescent="0.2">
      <c r="L9714" s="12"/>
      <c r="M9714" s="13"/>
    </row>
    <row r="9715" spans="12:13" x14ac:dyDescent="0.2">
      <c r="L9715" s="12"/>
      <c r="M9715" s="13"/>
    </row>
    <row r="9716" spans="12:13" x14ac:dyDescent="0.2">
      <c r="L9716" s="12"/>
      <c r="M9716" s="13"/>
    </row>
    <row r="9717" spans="12:13" x14ac:dyDescent="0.2">
      <c r="L9717" s="12"/>
      <c r="M9717" s="13"/>
    </row>
    <row r="9718" spans="12:13" x14ac:dyDescent="0.2">
      <c r="L9718" s="12"/>
      <c r="M9718" s="13"/>
    </row>
    <row r="9719" spans="12:13" x14ac:dyDescent="0.2">
      <c r="L9719" s="12"/>
      <c r="M9719" s="13"/>
    </row>
    <row r="9720" spans="12:13" x14ac:dyDescent="0.2">
      <c r="L9720" s="12"/>
      <c r="M9720" s="13"/>
    </row>
    <row r="9721" spans="12:13" x14ac:dyDescent="0.2">
      <c r="L9721" s="12"/>
      <c r="M9721" s="13"/>
    </row>
    <row r="9722" spans="12:13" x14ac:dyDescent="0.2">
      <c r="L9722" s="12"/>
      <c r="M9722" s="13"/>
    </row>
    <row r="9723" spans="12:13" x14ac:dyDescent="0.2">
      <c r="L9723" s="12"/>
      <c r="M9723" s="13"/>
    </row>
    <row r="9724" spans="12:13" x14ac:dyDescent="0.2">
      <c r="L9724" s="12"/>
      <c r="M9724" s="13"/>
    </row>
    <row r="9725" spans="12:13" x14ac:dyDescent="0.2">
      <c r="L9725" s="12"/>
      <c r="M9725" s="13"/>
    </row>
    <row r="9726" spans="12:13" x14ac:dyDescent="0.2">
      <c r="L9726" s="12"/>
      <c r="M9726" s="13"/>
    </row>
    <row r="9727" spans="12:13" x14ac:dyDescent="0.2">
      <c r="L9727" s="12"/>
      <c r="M9727" s="13"/>
    </row>
    <row r="9728" spans="12:13" x14ac:dyDescent="0.2">
      <c r="L9728" s="12"/>
      <c r="M9728" s="13"/>
    </row>
    <row r="9729" spans="12:13" x14ac:dyDescent="0.2">
      <c r="L9729" s="12"/>
      <c r="M9729" s="13"/>
    </row>
    <row r="9730" spans="12:13" x14ac:dyDescent="0.2">
      <c r="L9730" s="17"/>
      <c r="M9730" s="18"/>
    </row>
    <row r="9731" spans="12:13" x14ac:dyDescent="0.2">
      <c r="L9731" s="12"/>
      <c r="M9731" s="13"/>
    </row>
    <row r="9732" spans="12:13" x14ac:dyDescent="0.2">
      <c r="L9732" s="12"/>
      <c r="M9732" s="13"/>
    </row>
    <row r="9733" spans="12:13" x14ac:dyDescent="0.2">
      <c r="L9733" s="12"/>
      <c r="M9733" s="13"/>
    </row>
    <row r="9734" spans="12:13" x14ac:dyDescent="0.2">
      <c r="L9734" s="12"/>
      <c r="M9734" s="13"/>
    </row>
    <row r="9735" spans="12:13" x14ac:dyDescent="0.2">
      <c r="L9735" s="12"/>
      <c r="M9735" s="13"/>
    </row>
    <row r="9736" spans="12:13" x14ac:dyDescent="0.2">
      <c r="L9736" s="12"/>
      <c r="M9736" s="13"/>
    </row>
    <row r="9737" spans="12:13" x14ac:dyDescent="0.2">
      <c r="L9737" s="12"/>
      <c r="M9737" s="13"/>
    </row>
    <row r="9738" spans="12:13" x14ac:dyDescent="0.2">
      <c r="L9738" s="12"/>
      <c r="M9738" s="13"/>
    </row>
    <row r="9739" spans="12:13" x14ac:dyDescent="0.2">
      <c r="L9739" s="12"/>
      <c r="M9739" s="13"/>
    </row>
    <row r="9740" spans="12:13" x14ac:dyDescent="0.2">
      <c r="L9740" s="12"/>
      <c r="M9740" s="13"/>
    </row>
    <row r="9741" spans="12:13" x14ac:dyDescent="0.2">
      <c r="L9741" s="12"/>
      <c r="M9741" s="13"/>
    </row>
    <row r="9742" spans="12:13" x14ac:dyDescent="0.2">
      <c r="L9742" s="12"/>
      <c r="M9742" s="13"/>
    </row>
    <row r="9743" spans="12:13" x14ac:dyDescent="0.2">
      <c r="L9743" s="12"/>
      <c r="M9743" s="13"/>
    </row>
    <row r="9744" spans="12:13" x14ac:dyDescent="0.2">
      <c r="L9744" s="12"/>
      <c r="M9744" s="13"/>
    </row>
    <row r="9745" spans="12:13" x14ac:dyDescent="0.2">
      <c r="L9745" s="12"/>
      <c r="M9745" s="13"/>
    </row>
    <row r="9746" spans="12:13" x14ac:dyDescent="0.2">
      <c r="L9746" s="12"/>
      <c r="M9746" s="13"/>
    </row>
    <row r="9747" spans="12:13" x14ac:dyDescent="0.2">
      <c r="L9747" s="12"/>
      <c r="M9747" s="13"/>
    </row>
    <row r="9748" spans="12:13" x14ac:dyDescent="0.2">
      <c r="L9748" s="12"/>
      <c r="M9748" s="13"/>
    </row>
    <row r="9749" spans="12:13" x14ac:dyDescent="0.2">
      <c r="L9749" s="12"/>
      <c r="M9749" s="13"/>
    </row>
    <row r="9750" spans="12:13" x14ac:dyDescent="0.2">
      <c r="L9750" s="12"/>
      <c r="M9750" s="13"/>
    </row>
    <row r="9751" spans="12:13" x14ac:dyDescent="0.2">
      <c r="L9751" s="12"/>
      <c r="M9751" s="13"/>
    </row>
    <row r="9752" spans="12:13" x14ac:dyDescent="0.2">
      <c r="L9752" s="12"/>
      <c r="M9752" s="13"/>
    </row>
    <row r="9753" spans="12:13" x14ac:dyDescent="0.2">
      <c r="L9753" s="12"/>
      <c r="M9753" s="13"/>
    </row>
    <row r="9754" spans="12:13" x14ac:dyDescent="0.2">
      <c r="L9754" s="12"/>
      <c r="M9754" s="13"/>
    </row>
    <row r="9755" spans="12:13" x14ac:dyDescent="0.2">
      <c r="L9755" s="12"/>
      <c r="M9755" s="13"/>
    </row>
    <row r="9756" spans="12:13" x14ac:dyDescent="0.2">
      <c r="L9756" s="12"/>
      <c r="M9756" s="13"/>
    </row>
    <row r="9757" spans="12:13" x14ac:dyDescent="0.2">
      <c r="L9757" s="12"/>
      <c r="M9757" s="13"/>
    </row>
    <row r="9758" spans="12:13" x14ac:dyDescent="0.2">
      <c r="L9758" s="12"/>
      <c r="M9758" s="13"/>
    </row>
    <row r="9759" spans="12:13" x14ac:dyDescent="0.2">
      <c r="L9759" s="12"/>
      <c r="M9759" s="13"/>
    </row>
    <row r="9760" spans="12:13" x14ac:dyDescent="0.2">
      <c r="L9760" s="12"/>
      <c r="M9760" s="13"/>
    </row>
    <row r="9761" spans="12:13" x14ac:dyDescent="0.2">
      <c r="L9761" s="12"/>
      <c r="M9761" s="13"/>
    </row>
    <row r="9762" spans="12:13" x14ac:dyDescent="0.2">
      <c r="L9762" s="12"/>
      <c r="M9762" s="13"/>
    </row>
    <row r="9763" spans="12:13" x14ac:dyDescent="0.2">
      <c r="L9763" s="12"/>
      <c r="M9763" s="13"/>
    </row>
    <row r="9764" spans="12:13" x14ac:dyDescent="0.2">
      <c r="L9764" s="12"/>
      <c r="M9764" s="13"/>
    </row>
    <row r="9765" spans="12:13" x14ac:dyDescent="0.2">
      <c r="L9765" s="12"/>
      <c r="M9765" s="13"/>
    </row>
    <row r="9766" spans="12:13" x14ac:dyDescent="0.2">
      <c r="L9766" s="12"/>
      <c r="M9766" s="13"/>
    </row>
    <row r="9767" spans="12:13" x14ac:dyDescent="0.2">
      <c r="L9767" s="12"/>
      <c r="M9767" s="13"/>
    </row>
    <row r="9768" spans="12:13" x14ac:dyDescent="0.2">
      <c r="L9768" s="12"/>
      <c r="M9768" s="13"/>
    </row>
    <row r="9769" spans="12:13" x14ac:dyDescent="0.2">
      <c r="L9769" s="12"/>
      <c r="M9769" s="13"/>
    </row>
    <row r="9770" spans="12:13" x14ac:dyDescent="0.2">
      <c r="L9770" s="12"/>
      <c r="M9770" s="13"/>
    </row>
    <row r="9771" spans="12:13" x14ac:dyDescent="0.2">
      <c r="L9771" s="12"/>
      <c r="M9771" s="13"/>
    </row>
    <row r="9772" spans="12:13" x14ac:dyDescent="0.2">
      <c r="L9772" s="12"/>
      <c r="M9772" s="13"/>
    </row>
    <row r="9773" spans="12:13" x14ac:dyDescent="0.2">
      <c r="L9773" s="12"/>
      <c r="M9773" s="13"/>
    </row>
    <row r="9774" spans="12:13" x14ac:dyDescent="0.2">
      <c r="L9774" s="12"/>
      <c r="M9774" s="13"/>
    </row>
    <row r="9775" spans="12:13" x14ac:dyDescent="0.2">
      <c r="L9775" s="12"/>
      <c r="M9775" s="13"/>
    </row>
    <row r="9776" spans="12:13" x14ac:dyDescent="0.2">
      <c r="L9776" s="12"/>
      <c r="M9776" s="13"/>
    </row>
    <row r="9777" spans="12:13" x14ac:dyDescent="0.2">
      <c r="L9777" s="12"/>
      <c r="M9777" s="13"/>
    </row>
    <row r="9778" spans="12:13" x14ac:dyDescent="0.2">
      <c r="L9778" s="12"/>
      <c r="M9778" s="13"/>
    </row>
    <row r="9779" spans="12:13" x14ac:dyDescent="0.2">
      <c r="L9779" s="12"/>
      <c r="M9779" s="13"/>
    </row>
    <row r="9780" spans="12:13" x14ac:dyDescent="0.2">
      <c r="L9780" s="12"/>
      <c r="M9780" s="13"/>
    </row>
    <row r="9781" spans="12:13" x14ac:dyDescent="0.2">
      <c r="L9781" s="12"/>
      <c r="M9781" s="13"/>
    </row>
    <row r="9782" spans="12:13" x14ac:dyDescent="0.2">
      <c r="L9782" s="12"/>
      <c r="M9782" s="13"/>
    </row>
    <row r="9783" spans="12:13" x14ac:dyDescent="0.2">
      <c r="L9783" s="12"/>
      <c r="M9783" s="13"/>
    </row>
    <row r="9784" spans="12:13" x14ac:dyDescent="0.2">
      <c r="L9784" s="12"/>
      <c r="M9784" s="13"/>
    </row>
    <row r="9785" spans="12:13" x14ac:dyDescent="0.2">
      <c r="L9785" s="12"/>
      <c r="M9785" s="13"/>
    </row>
    <row r="9786" spans="12:13" x14ac:dyDescent="0.2">
      <c r="L9786" s="12"/>
      <c r="M9786" s="13"/>
    </row>
    <row r="9787" spans="12:13" x14ac:dyDescent="0.2">
      <c r="L9787" s="12"/>
      <c r="M9787" s="13"/>
    </row>
    <row r="9788" spans="12:13" x14ac:dyDescent="0.2">
      <c r="L9788" s="12"/>
      <c r="M9788" s="13"/>
    </row>
    <row r="9789" spans="12:13" x14ac:dyDescent="0.2">
      <c r="L9789" s="12"/>
      <c r="M9789" s="13"/>
    </row>
    <row r="9790" spans="12:13" x14ac:dyDescent="0.2">
      <c r="L9790" s="12"/>
      <c r="M9790" s="13"/>
    </row>
    <row r="9791" spans="12:13" x14ac:dyDescent="0.2">
      <c r="L9791" s="12"/>
      <c r="M9791" s="13"/>
    </row>
    <row r="9792" spans="12:13" x14ac:dyDescent="0.2">
      <c r="L9792" s="12"/>
      <c r="M9792" s="13"/>
    </row>
    <row r="9793" spans="12:13" x14ac:dyDescent="0.2">
      <c r="L9793" s="12"/>
      <c r="M9793" s="13"/>
    </row>
    <row r="9794" spans="12:13" x14ac:dyDescent="0.2">
      <c r="L9794" s="12"/>
      <c r="M9794" s="13"/>
    </row>
    <row r="9795" spans="12:13" x14ac:dyDescent="0.2">
      <c r="L9795" s="12"/>
      <c r="M9795" s="13"/>
    </row>
    <row r="9796" spans="12:13" x14ac:dyDescent="0.2">
      <c r="L9796" s="12"/>
      <c r="M9796" s="13"/>
    </row>
    <row r="9797" spans="12:13" x14ac:dyDescent="0.2">
      <c r="L9797" s="12"/>
      <c r="M9797" s="13"/>
    </row>
    <row r="9798" spans="12:13" x14ac:dyDescent="0.2">
      <c r="L9798" s="12"/>
      <c r="M9798" s="13"/>
    </row>
    <row r="9799" spans="12:13" x14ac:dyDescent="0.2">
      <c r="L9799" s="12"/>
      <c r="M9799" s="13"/>
    </row>
    <row r="9800" spans="12:13" x14ac:dyDescent="0.2">
      <c r="L9800" s="12"/>
      <c r="M9800" s="13"/>
    </row>
    <row r="9801" spans="12:13" x14ac:dyDescent="0.2">
      <c r="L9801" s="12"/>
      <c r="M9801" s="13"/>
    </row>
    <row r="9802" spans="12:13" x14ac:dyDescent="0.2">
      <c r="L9802" s="12"/>
      <c r="M9802" s="13"/>
    </row>
    <row r="9803" spans="12:13" x14ac:dyDescent="0.2">
      <c r="L9803" s="12"/>
      <c r="M9803" s="13"/>
    </row>
    <row r="9804" spans="12:13" x14ac:dyDescent="0.2">
      <c r="L9804" s="12"/>
      <c r="M9804" s="13"/>
    </row>
    <row r="9805" spans="12:13" x14ac:dyDescent="0.2">
      <c r="L9805" s="12"/>
      <c r="M9805" s="13"/>
    </row>
    <row r="9806" spans="12:13" x14ac:dyDescent="0.2">
      <c r="L9806" s="12"/>
      <c r="M9806" s="13"/>
    </row>
    <row r="9807" spans="12:13" x14ac:dyDescent="0.2">
      <c r="L9807" s="12"/>
      <c r="M9807" s="13"/>
    </row>
    <row r="9808" spans="12:13" x14ac:dyDescent="0.2">
      <c r="L9808" s="12"/>
      <c r="M9808" s="13"/>
    </row>
    <row r="9809" spans="12:13" x14ac:dyDescent="0.2">
      <c r="L9809" s="12"/>
      <c r="M9809" s="13"/>
    </row>
    <row r="9810" spans="12:13" x14ac:dyDescent="0.2">
      <c r="L9810" s="12"/>
      <c r="M9810" s="13"/>
    </row>
    <row r="9811" spans="12:13" x14ac:dyDescent="0.2">
      <c r="L9811" s="12"/>
      <c r="M9811" s="13"/>
    </row>
    <row r="9812" spans="12:13" x14ac:dyDescent="0.2">
      <c r="L9812" s="12"/>
      <c r="M9812" s="13"/>
    </row>
    <row r="9813" spans="12:13" x14ac:dyDescent="0.2">
      <c r="L9813" s="12"/>
      <c r="M9813" s="13"/>
    </row>
    <row r="9814" spans="12:13" x14ac:dyDescent="0.2">
      <c r="L9814" s="12"/>
      <c r="M9814" s="13"/>
    </row>
    <row r="9815" spans="12:13" x14ac:dyDescent="0.2">
      <c r="L9815" s="12"/>
      <c r="M9815" s="13"/>
    </row>
    <row r="9816" spans="12:13" x14ac:dyDescent="0.2">
      <c r="L9816" s="12"/>
      <c r="M9816" s="13"/>
    </row>
    <row r="9817" spans="12:13" x14ac:dyDescent="0.2">
      <c r="L9817" s="12"/>
      <c r="M9817" s="13"/>
    </row>
    <row r="9818" spans="12:13" x14ac:dyDescent="0.2">
      <c r="L9818" s="12"/>
      <c r="M9818" s="13"/>
    </row>
    <row r="9819" spans="12:13" x14ac:dyDescent="0.2">
      <c r="L9819" s="12"/>
      <c r="M9819" s="13"/>
    </row>
    <row r="9820" spans="12:13" x14ac:dyDescent="0.2">
      <c r="L9820" s="12"/>
      <c r="M9820" s="13"/>
    </row>
    <row r="9821" spans="12:13" x14ac:dyDescent="0.2">
      <c r="L9821" s="12"/>
      <c r="M9821" s="13"/>
    </row>
    <row r="9822" spans="12:13" x14ac:dyDescent="0.2">
      <c r="L9822" s="12"/>
      <c r="M9822" s="13"/>
    </row>
    <row r="9823" spans="12:13" x14ac:dyDescent="0.2">
      <c r="L9823" s="12"/>
      <c r="M9823" s="13"/>
    </row>
    <row r="9824" spans="12:13" x14ac:dyDescent="0.2">
      <c r="L9824" s="12"/>
      <c r="M9824" s="13"/>
    </row>
    <row r="9825" spans="12:13" x14ac:dyDescent="0.2">
      <c r="L9825" s="12"/>
      <c r="M9825" s="13"/>
    </row>
    <row r="9826" spans="12:13" x14ac:dyDescent="0.2">
      <c r="L9826" s="12"/>
      <c r="M9826" s="13"/>
    </row>
    <row r="9827" spans="12:13" x14ac:dyDescent="0.2">
      <c r="L9827" s="12"/>
      <c r="M9827" s="13"/>
    </row>
    <row r="9828" spans="12:13" x14ac:dyDescent="0.2">
      <c r="L9828" s="12"/>
      <c r="M9828" s="13"/>
    </row>
    <row r="9829" spans="12:13" x14ac:dyDescent="0.2">
      <c r="L9829" s="12"/>
      <c r="M9829" s="13"/>
    </row>
    <row r="9830" spans="12:13" x14ac:dyDescent="0.2">
      <c r="L9830" s="12"/>
      <c r="M9830" s="13"/>
    </row>
    <row r="9831" spans="12:13" x14ac:dyDescent="0.2">
      <c r="L9831" s="12"/>
      <c r="M9831" s="13"/>
    </row>
    <row r="9832" spans="12:13" x14ac:dyDescent="0.2">
      <c r="L9832" s="12"/>
      <c r="M9832" s="13"/>
    </row>
    <row r="9833" spans="12:13" x14ac:dyDescent="0.2">
      <c r="L9833" s="12"/>
      <c r="M9833" s="13"/>
    </row>
    <row r="9834" spans="12:13" x14ac:dyDescent="0.2">
      <c r="L9834" s="12"/>
      <c r="M9834" s="13"/>
    </row>
    <row r="9835" spans="12:13" x14ac:dyDescent="0.2">
      <c r="L9835" s="12"/>
      <c r="M9835" s="13"/>
    </row>
    <row r="9836" spans="12:13" x14ac:dyDescent="0.2">
      <c r="L9836" s="12"/>
      <c r="M9836" s="13"/>
    </row>
    <row r="9837" spans="12:13" x14ac:dyDescent="0.2">
      <c r="L9837" s="12"/>
      <c r="M9837" s="13"/>
    </row>
    <row r="9838" spans="12:13" x14ac:dyDescent="0.2">
      <c r="L9838" s="12"/>
      <c r="M9838" s="13"/>
    </row>
    <row r="9839" spans="12:13" x14ac:dyDescent="0.2">
      <c r="L9839" s="12"/>
      <c r="M9839" s="13"/>
    </row>
    <row r="9840" spans="12:13" x14ac:dyDescent="0.2">
      <c r="L9840" s="12"/>
      <c r="M9840" s="13"/>
    </row>
    <row r="9841" spans="12:13" x14ac:dyDescent="0.2">
      <c r="L9841" s="12"/>
      <c r="M9841" s="13"/>
    </row>
    <row r="9842" spans="12:13" x14ac:dyDescent="0.2">
      <c r="L9842" s="12"/>
      <c r="M9842" s="13"/>
    </row>
    <row r="9843" spans="12:13" x14ac:dyDescent="0.2">
      <c r="L9843" s="12"/>
      <c r="M9843" s="13"/>
    </row>
    <row r="9844" spans="12:13" x14ac:dyDescent="0.2">
      <c r="L9844" s="12"/>
      <c r="M9844" s="13"/>
    </row>
    <row r="9845" spans="12:13" x14ac:dyDescent="0.2">
      <c r="L9845" s="12"/>
      <c r="M9845" s="13"/>
    </row>
    <row r="9846" spans="12:13" x14ac:dyDescent="0.2">
      <c r="L9846" s="12"/>
      <c r="M9846" s="13"/>
    </row>
    <row r="9847" spans="12:13" x14ac:dyDescent="0.2">
      <c r="L9847" s="12"/>
      <c r="M9847" s="13"/>
    </row>
    <row r="9848" spans="12:13" x14ac:dyDescent="0.2">
      <c r="L9848" s="12"/>
      <c r="M9848" s="13"/>
    </row>
    <row r="9849" spans="12:13" x14ac:dyDescent="0.2">
      <c r="L9849" s="12"/>
      <c r="M9849" s="13"/>
    </row>
    <row r="9850" spans="12:13" x14ac:dyDescent="0.2">
      <c r="L9850" s="12"/>
      <c r="M9850" s="13"/>
    </row>
    <row r="9851" spans="12:13" x14ac:dyDescent="0.2">
      <c r="L9851" s="12"/>
      <c r="M9851" s="13"/>
    </row>
    <row r="9852" spans="12:13" x14ac:dyDescent="0.2">
      <c r="L9852" s="12"/>
      <c r="M9852" s="13"/>
    </row>
    <row r="9853" spans="12:13" x14ac:dyDescent="0.2">
      <c r="L9853" s="12"/>
      <c r="M9853" s="13"/>
    </row>
    <row r="9854" spans="12:13" x14ac:dyDescent="0.2">
      <c r="L9854" s="12"/>
      <c r="M9854" s="13"/>
    </row>
    <row r="9855" spans="12:13" x14ac:dyDescent="0.2">
      <c r="L9855" s="12"/>
      <c r="M9855" s="13"/>
    </row>
    <row r="9856" spans="12:13" x14ac:dyDescent="0.2">
      <c r="L9856" s="12"/>
      <c r="M9856" s="13"/>
    </row>
    <row r="9857" spans="12:13" x14ac:dyDescent="0.2">
      <c r="L9857" s="12"/>
      <c r="M9857" s="13"/>
    </row>
    <row r="9858" spans="12:13" x14ac:dyDescent="0.2">
      <c r="L9858" s="12"/>
      <c r="M9858" s="13"/>
    </row>
    <row r="9859" spans="12:13" x14ac:dyDescent="0.2">
      <c r="L9859" s="12"/>
      <c r="M9859" s="13"/>
    </row>
    <row r="9860" spans="12:13" x14ac:dyDescent="0.2">
      <c r="L9860" s="12"/>
      <c r="M9860" s="13"/>
    </row>
    <row r="9861" spans="12:13" x14ac:dyDescent="0.2">
      <c r="L9861" s="12"/>
      <c r="M9861" s="13"/>
    </row>
    <row r="9862" spans="12:13" x14ac:dyDescent="0.2">
      <c r="L9862" s="12"/>
      <c r="M9862" s="13"/>
    </row>
    <row r="9863" spans="12:13" x14ac:dyDescent="0.2">
      <c r="L9863" s="12"/>
      <c r="M9863" s="13"/>
    </row>
    <row r="9864" spans="12:13" x14ac:dyDescent="0.2">
      <c r="L9864" s="12"/>
      <c r="M9864" s="13"/>
    </row>
    <row r="9865" spans="12:13" x14ac:dyDescent="0.2">
      <c r="L9865" s="12"/>
      <c r="M9865" s="13"/>
    </row>
    <row r="9866" spans="12:13" x14ac:dyDescent="0.2">
      <c r="L9866" s="12"/>
      <c r="M9866" s="13"/>
    </row>
    <row r="9867" spans="12:13" x14ac:dyDescent="0.2">
      <c r="L9867" s="12"/>
      <c r="M9867" s="13"/>
    </row>
    <row r="9868" spans="12:13" x14ac:dyDescent="0.2">
      <c r="L9868" s="12"/>
      <c r="M9868" s="13"/>
    </row>
    <row r="9869" spans="12:13" x14ac:dyDescent="0.2">
      <c r="L9869" s="12"/>
      <c r="M9869" s="13"/>
    </row>
    <row r="9870" spans="12:13" x14ac:dyDescent="0.2">
      <c r="L9870" s="12"/>
      <c r="M9870" s="13"/>
    </row>
    <row r="9871" spans="12:13" x14ac:dyDescent="0.2">
      <c r="L9871" s="12"/>
      <c r="M9871" s="13"/>
    </row>
    <row r="9872" spans="12:13" x14ac:dyDescent="0.2">
      <c r="L9872" s="12"/>
      <c r="M9872" s="13"/>
    </row>
    <row r="9873" spans="12:13" x14ac:dyDescent="0.2">
      <c r="L9873" s="12"/>
      <c r="M9873" s="13"/>
    </row>
    <row r="9874" spans="12:13" x14ac:dyDescent="0.2">
      <c r="L9874" s="12"/>
      <c r="M9874" s="13"/>
    </row>
    <row r="9875" spans="12:13" x14ac:dyDescent="0.2">
      <c r="L9875" s="12"/>
      <c r="M9875" s="13"/>
    </row>
    <row r="9876" spans="12:13" x14ac:dyDescent="0.2">
      <c r="L9876" s="12"/>
      <c r="M9876" s="13"/>
    </row>
    <row r="9877" spans="12:13" x14ac:dyDescent="0.2">
      <c r="L9877" s="12"/>
      <c r="M9877" s="13"/>
    </row>
    <row r="9878" spans="12:13" x14ac:dyDescent="0.2">
      <c r="L9878" s="12"/>
      <c r="M9878" s="13"/>
    </row>
    <row r="9879" spans="12:13" x14ac:dyDescent="0.2">
      <c r="L9879" s="12"/>
      <c r="M9879" s="13"/>
    </row>
    <row r="9880" spans="12:13" x14ac:dyDescent="0.2">
      <c r="L9880" s="12"/>
      <c r="M9880" s="13"/>
    </row>
    <row r="9881" spans="12:13" x14ac:dyDescent="0.2">
      <c r="L9881" s="12"/>
      <c r="M9881" s="13"/>
    </row>
    <row r="9882" spans="12:13" x14ac:dyDescent="0.2">
      <c r="L9882" s="12"/>
      <c r="M9882" s="13"/>
    </row>
    <row r="9883" spans="12:13" x14ac:dyDescent="0.2">
      <c r="L9883" s="12"/>
      <c r="M9883" s="13"/>
    </row>
    <row r="9884" spans="12:13" x14ac:dyDescent="0.2">
      <c r="L9884" s="12"/>
      <c r="M9884" s="13"/>
    </row>
    <row r="9885" spans="12:13" x14ac:dyDescent="0.2">
      <c r="L9885" s="12"/>
      <c r="M9885" s="13"/>
    </row>
    <row r="9886" spans="12:13" x14ac:dyDescent="0.2">
      <c r="L9886" s="12"/>
      <c r="M9886" s="13"/>
    </row>
    <row r="9887" spans="12:13" x14ac:dyDescent="0.2">
      <c r="L9887" s="12"/>
      <c r="M9887" s="13"/>
    </row>
    <row r="9888" spans="12:13" x14ac:dyDescent="0.2">
      <c r="L9888" s="12"/>
      <c r="M9888" s="13"/>
    </row>
    <row r="9889" spans="12:13" x14ac:dyDescent="0.2">
      <c r="L9889" s="12"/>
      <c r="M9889" s="13"/>
    </row>
    <row r="9890" spans="12:13" x14ac:dyDescent="0.2">
      <c r="L9890" s="12"/>
      <c r="M9890" s="13"/>
    </row>
    <row r="9891" spans="12:13" x14ac:dyDescent="0.2">
      <c r="L9891" s="12"/>
      <c r="M9891" s="13"/>
    </row>
    <row r="9892" spans="12:13" x14ac:dyDescent="0.2">
      <c r="L9892" s="12"/>
      <c r="M9892" s="13"/>
    </row>
    <row r="9893" spans="12:13" x14ac:dyDescent="0.2">
      <c r="L9893" s="12"/>
      <c r="M9893" s="13"/>
    </row>
    <row r="9894" spans="12:13" x14ac:dyDescent="0.2">
      <c r="L9894" s="12"/>
      <c r="M9894" s="13"/>
    </row>
    <row r="9895" spans="12:13" x14ac:dyDescent="0.2">
      <c r="L9895" s="12"/>
      <c r="M9895" s="13"/>
    </row>
    <row r="9896" spans="12:13" x14ac:dyDescent="0.2">
      <c r="L9896" s="12"/>
      <c r="M9896" s="13"/>
    </row>
    <row r="9897" spans="12:13" x14ac:dyDescent="0.2">
      <c r="L9897" s="12"/>
      <c r="M9897" s="13"/>
    </row>
    <row r="9898" spans="12:13" x14ac:dyDescent="0.2">
      <c r="L9898" s="12"/>
      <c r="M9898" s="13"/>
    </row>
    <row r="9899" spans="12:13" x14ac:dyDescent="0.2">
      <c r="L9899" s="12"/>
      <c r="M9899" s="13"/>
    </row>
    <row r="9900" spans="12:13" x14ac:dyDescent="0.2">
      <c r="L9900" s="12"/>
      <c r="M9900" s="13"/>
    </row>
    <row r="9901" spans="12:13" x14ac:dyDescent="0.2">
      <c r="L9901" s="12"/>
      <c r="M9901" s="13"/>
    </row>
    <row r="9902" spans="12:13" x14ac:dyDescent="0.2">
      <c r="L9902" s="12"/>
      <c r="M9902" s="13"/>
    </row>
    <row r="9903" spans="12:13" x14ac:dyDescent="0.2">
      <c r="L9903" s="12"/>
      <c r="M9903" s="13"/>
    </row>
    <row r="9904" spans="12:13" x14ac:dyDescent="0.2">
      <c r="L9904" s="12"/>
      <c r="M9904" s="13"/>
    </row>
    <row r="9905" spans="12:13" x14ac:dyDescent="0.2">
      <c r="L9905" s="12"/>
      <c r="M9905" s="13"/>
    </row>
    <row r="9906" spans="12:13" x14ac:dyDescent="0.2">
      <c r="L9906" s="12"/>
      <c r="M9906" s="13"/>
    </row>
    <row r="9907" spans="12:13" x14ac:dyDescent="0.2">
      <c r="L9907" s="12"/>
      <c r="M9907" s="13"/>
    </row>
    <row r="9908" spans="12:13" x14ac:dyDescent="0.2">
      <c r="L9908" s="12"/>
      <c r="M9908" s="13"/>
    </row>
    <row r="9909" spans="12:13" x14ac:dyDescent="0.2">
      <c r="L9909" s="12"/>
      <c r="M9909" s="13"/>
    </row>
    <row r="9910" spans="12:13" x14ac:dyDescent="0.2">
      <c r="L9910" s="12"/>
      <c r="M9910" s="13"/>
    </row>
    <row r="9911" spans="12:13" x14ac:dyDescent="0.2">
      <c r="L9911" s="12"/>
      <c r="M9911" s="13"/>
    </row>
    <row r="9912" spans="12:13" x14ac:dyDescent="0.2">
      <c r="L9912" s="12"/>
      <c r="M9912" s="13"/>
    </row>
    <row r="9913" spans="12:13" x14ac:dyDescent="0.2">
      <c r="L9913" s="12"/>
      <c r="M9913" s="13"/>
    </row>
    <row r="9914" spans="12:13" x14ac:dyDescent="0.2">
      <c r="L9914" s="12"/>
      <c r="M9914" s="13"/>
    </row>
    <row r="9915" spans="12:13" x14ac:dyDescent="0.2">
      <c r="L9915" s="12"/>
      <c r="M9915" s="13"/>
    </row>
    <row r="9916" spans="12:13" x14ac:dyDescent="0.2">
      <c r="L9916" s="12"/>
      <c r="M9916" s="13"/>
    </row>
    <row r="9917" spans="12:13" x14ac:dyDescent="0.2">
      <c r="L9917" s="12"/>
      <c r="M9917" s="13"/>
    </row>
    <row r="9918" spans="12:13" x14ac:dyDescent="0.2">
      <c r="L9918" s="12"/>
      <c r="M9918" s="13"/>
    </row>
    <row r="9919" spans="12:13" x14ac:dyDescent="0.2">
      <c r="L9919" s="12"/>
      <c r="M9919" s="13"/>
    </row>
    <row r="9920" spans="12:13" x14ac:dyDescent="0.2">
      <c r="L9920" s="12"/>
      <c r="M9920" s="13"/>
    </row>
    <row r="9921" spans="12:13" x14ac:dyDescent="0.2">
      <c r="L9921" s="12"/>
      <c r="M9921" s="13"/>
    </row>
    <row r="9922" spans="12:13" x14ac:dyDescent="0.2">
      <c r="L9922" s="12"/>
      <c r="M9922" s="13"/>
    </row>
    <row r="9923" spans="12:13" x14ac:dyDescent="0.2">
      <c r="L9923" s="12"/>
      <c r="M9923" s="13"/>
    </row>
    <row r="9924" spans="12:13" x14ac:dyDescent="0.2">
      <c r="L9924" s="12"/>
      <c r="M9924" s="13"/>
    </row>
    <row r="9925" spans="12:13" x14ac:dyDescent="0.2">
      <c r="L9925" s="12"/>
      <c r="M9925" s="13"/>
    </row>
    <row r="9926" spans="12:13" x14ac:dyDescent="0.2">
      <c r="L9926" s="12"/>
      <c r="M9926" s="13"/>
    </row>
    <row r="9927" spans="12:13" x14ac:dyDescent="0.2">
      <c r="L9927" s="12"/>
      <c r="M9927" s="13"/>
    </row>
    <row r="9928" spans="12:13" x14ac:dyDescent="0.2">
      <c r="L9928" s="12"/>
      <c r="M9928" s="13"/>
    </row>
    <row r="9929" spans="12:13" x14ac:dyDescent="0.2">
      <c r="L9929" s="12"/>
      <c r="M9929" s="13"/>
    </row>
    <row r="9930" spans="12:13" x14ac:dyDescent="0.2">
      <c r="L9930" s="12"/>
      <c r="M9930" s="13"/>
    </row>
    <row r="9931" spans="12:13" x14ac:dyDescent="0.2">
      <c r="L9931" s="12"/>
      <c r="M9931" s="13"/>
    </row>
    <row r="9932" spans="12:13" x14ac:dyDescent="0.2">
      <c r="L9932" s="12"/>
      <c r="M9932" s="13"/>
    </row>
    <row r="9933" spans="12:13" x14ac:dyDescent="0.2">
      <c r="L9933" s="12"/>
      <c r="M9933" s="13"/>
    </row>
    <row r="9934" spans="12:13" x14ac:dyDescent="0.2">
      <c r="L9934" s="12"/>
      <c r="M9934" s="13"/>
    </row>
    <row r="9935" spans="12:13" x14ac:dyDescent="0.2">
      <c r="L9935" s="12"/>
      <c r="M9935" s="13"/>
    </row>
    <row r="9936" spans="12:13" x14ac:dyDescent="0.2">
      <c r="L9936" s="12"/>
      <c r="M9936" s="13"/>
    </row>
    <row r="9937" spans="12:13" x14ac:dyDescent="0.2">
      <c r="L9937" s="12"/>
      <c r="M9937" s="13"/>
    </row>
    <row r="9938" spans="12:13" x14ac:dyDescent="0.2">
      <c r="L9938" s="12"/>
      <c r="M9938" s="13"/>
    </row>
    <row r="9939" spans="12:13" x14ac:dyDescent="0.2">
      <c r="L9939" s="12"/>
      <c r="M9939" s="13"/>
    </row>
    <row r="9940" spans="12:13" x14ac:dyDescent="0.2">
      <c r="L9940" s="12"/>
      <c r="M9940" s="13"/>
    </row>
    <row r="9941" spans="12:13" x14ac:dyDescent="0.2">
      <c r="L9941" s="12"/>
      <c r="M9941" s="13"/>
    </row>
    <row r="9942" spans="12:13" x14ac:dyDescent="0.2">
      <c r="L9942" s="12"/>
      <c r="M9942" s="13"/>
    </row>
    <row r="9943" spans="12:13" x14ac:dyDescent="0.2">
      <c r="L9943" s="12"/>
      <c r="M9943" s="13"/>
    </row>
    <row r="9944" spans="12:13" x14ac:dyDescent="0.2">
      <c r="L9944" s="12"/>
      <c r="M9944" s="13"/>
    </row>
    <row r="9945" spans="12:13" x14ac:dyDescent="0.2">
      <c r="L9945" s="12"/>
      <c r="M9945" s="13"/>
    </row>
    <row r="9946" spans="12:13" x14ac:dyDescent="0.2">
      <c r="L9946" s="12"/>
      <c r="M9946" s="13"/>
    </row>
    <row r="9947" spans="12:13" x14ac:dyDescent="0.2">
      <c r="L9947" s="12"/>
      <c r="M9947" s="13"/>
    </row>
    <row r="9948" spans="12:13" x14ac:dyDescent="0.2">
      <c r="L9948" s="12"/>
      <c r="M9948" s="13"/>
    </row>
    <row r="9949" spans="12:13" x14ac:dyDescent="0.2">
      <c r="L9949" s="12"/>
      <c r="M9949" s="13"/>
    </row>
    <row r="9950" spans="12:13" x14ac:dyDescent="0.2">
      <c r="L9950" s="12"/>
      <c r="M9950" s="13"/>
    </row>
    <row r="9951" spans="12:13" x14ac:dyDescent="0.2">
      <c r="L9951" s="12"/>
      <c r="M9951" s="13"/>
    </row>
    <row r="9952" spans="12:13" x14ac:dyDescent="0.2">
      <c r="L9952" s="12"/>
      <c r="M9952" s="13"/>
    </row>
    <row r="9953" spans="12:13" x14ac:dyDescent="0.2">
      <c r="L9953" s="12"/>
      <c r="M9953" s="13"/>
    </row>
    <row r="9954" spans="12:13" x14ac:dyDescent="0.2">
      <c r="L9954" s="12"/>
      <c r="M9954" s="13"/>
    </row>
    <row r="9955" spans="12:13" x14ac:dyDescent="0.2">
      <c r="L9955" s="12"/>
      <c r="M9955" s="13"/>
    </row>
    <row r="9956" spans="12:13" x14ac:dyDescent="0.2">
      <c r="L9956" s="12"/>
      <c r="M9956" s="13"/>
    </row>
    <row r="9957" spans="12:13" x14ac:dyDescent="0.2">
      <c r="L9957" s="12"/>
      <c r="M9957" s="13"/>
    </row>
    <row r="9958" spans="12:13" x14ac:dyDescent="0.2">
      <c r="L9958" s="12"/>
      <c r="M9958" s="13"/>
    </row>
    <row r="9959" spans="12:13" x14ac:dyDescent="0.2">
      <c r="L9959" s="12"/>
      <c r="M9959" s="13"/>
    </row>
    <row r="9960" spans="12:13" x14ac:dyDescent="0.2">
      <c r="L9960" s="12"/>
      <c r="M9960" s="13"/>
    </row>
    <row r="9961" spans="12:13" x14ac:dyDescent="0.2">
      <c r="L9961" s="12"/>
      <c r="M9961" s="13"/>
    </row>
    <row r="9962" spans="12:13" x14ac:dyDescent="0.2">
      <c r="L9962" s="12"/>
      <c r="M9962" s="13"/>
    </row>
    <row r="9963" spans="12:13" x14ac:dyDescent="0.2">
      <c r="L9963" s="12"/>
      <c r="M9963" s="13"/>
    </row>
    <row r="9964" spans="12:13" x14ac:dyDescent="0.2">
      <c r="L9964" s="12"/>
      <c r="M9964" s="13"/>
    </row>
    <row r="9965" spans="12:13" x14ac:dyDescent="0.2">
      <c r="L9965" s="12"/>
      <c r="M9965" s="13"/>
    </row>
    <row r="9966" spans="12:13" x14ac:dyDescent="0.2">
      <c r="L9966" s="12"/>
      <c r="M9966" s="13"/>
    </row>
    <row r="9967" spans="12:13" x14ac:dyDescent="0.2">
      <c r="L9967" s="12"/>
      <c r="M9967" s="13"/>
    </row>
    <row r="9968" spans="12:13" x14ac:dyDescent="0.2">
      <c r="L9968" s="12"/>
      <c r="M9968" s="13"/>
    </row>
    <row r="9969" spans="12:13" x14ac:dyDescent="0.2">
      <c r="L9969" s="12"/>
      <c r="M9969" s="13"/>
    </row>
    <row r="9970" spans="12:13" x14ac:dyDescent="0.2">
      <c r="L9970" s="12"/>
      <c r="M9970" s="13"/>
    </row>
    <row r="9971" spans="12:13" x14ac:dyDescent="0.2">
      <c r="L9971" s="12"/>
      <c r="M9971" s="13"/>
    </row>
    <row r="9972" spans="12:13" x14ac:dyDescent="0.2">
      <c r="L9972" s="12"/>
      <c r="M9972" s="13"/>
    </row>
    <row r="9973" spans="12:13" x14ac:dyDescent="0.2">
      <c r="L9973" s="12"/>
      <c r="M9973" s="13"/>
    </row>
    <row r="9974" spans="12:13" x14ac:dyDescent="0.2">
      <c r="L9974" s="12"/>
      <c r="M9974" s="13"/>
    </row>
    <row r="9975" spans="12:13" x14ac:dyDescent="0.2">
      <c r="L9975" s="12"/>
      <c r="M9975" s="13"/>
    </row>
    <row r="9976" spans="12:13" x14ac:dyDescent="0.2">
      <c r="L9976" s="12"/>
      <c r="M9976" s="13"/>
    </row>
    <row r="9977" spans="12:13" x14ac:dyDescent="0.2">
      <c r="L9977" s="12"/>
      <c r="M9977" s="13"/>
    </row>
    <row r="9978" spans="12:13" x14ac:dyDescent="0.2">
      <c r="L9978" s="12"/>
      <c r="M9978" s="13"/>
    </row>
    <row r="9979" spans="12:13" x14ac:dyDescent="0.2">
      <c r="L9979" s="12"/>
      <c r="M9979" s="13"/>
    </row>
    <row r="9980" spans="12:13" x14ac:dyDescent="0.2">
      <c r="L9980" s="12"/>
      <c r="M9980" s="13"/>
    </row>
    <row r="9981" spans="12:13" x14ac:dyDescent="0.2">
      <c r="L9981" s="12"/>
      <c r="M9981" s="13"/>
    </row>
    <row r="9982" spans="12:13" x14ac:dyDescent="0.2">
      <c r="L9982" s="12"/>
      <c r="M9982" s="13"/>
    </row>
    <row r="9983" spans="12:13" x14ac:dyDescent="0.2">
      <c r="L9983" s="12"/>
      <c r="M9983" s="13"/>
    </row>
    <row r="9984" spans="12:13" x14ac:dyDescent="0.2">
      <c r="L9984" s="12"/>
      <c r="M9984" s="13"/>
    </row>
    <row r="9985" spans="12:13" x14ac:dyDescent="0.2">
      <c r="L9985" s="12"/>
      <c r="M9985" s="13"/>
    </row>
    <row r="9986" spans="12:13" x14ac:dyDescent="0.2">
      <c r="L9986" s="17"/>
      <c r="M9986" s="18"/>
    </row>
    <row r="9987" spans="12:13" x14ac:dyDescent="0.2">
      <c r="L9987" s="12"/>
      <c r="M9987" s="13"/>
    </row>
    <row r="9988" spans="12:13" x14ac:dyDescent="0.2">
      <c r="L9988" s="12"/>
      <c r="M9988" s="13"/>
    </row>
    <row r="9989" spans="12:13" x14ac:dyDescent="0.2">
      <c r="L9989" s="12"/>
      <c r="M9989" s="13"/>
    </row>
    <row r="9990" spans="12:13" x14ac:dyDescent="0.2">
      <c r="L9990" s="12"/>
      <c r="M9990" s="13"/>
    </row>
    <row r="9991" spans="12:13" x14ac:dyDescent="0.2">
      <c r="L9991" s="12"/>
      <c r="M9991" s="13"/>
    </row>
    <row r="9992" spans="12:13" x14ac:dyDescent="0.2">
      <c r="L9992" s="12"/>
      <c r="M9992" s="13"/>
    </row>
    <row r="9993" spans="12:13" x14ac:dyDescent="0.2">
      <c r="L9993" s="12"/>
      <c r="M9993" s="13"/>
    </row>
    <row r="9994" spans="12:13" x14ac:dyDescent="0.2">
      <c r="L9994" s="12"/>
      <c r="M9994" s="13"/>
    </row>
    <row r="9995" spans="12:13" x14ac:dyDescent="0.2">
      <c r="L9995" s="12"/>
      <c r="M9995" s="13"/>
    </row>
    <row r="9996" spans="12:13" x14ac:dyDescent="0.2">
      <c r="L9996" s="12"/>
      <c r="M9996" s="13"/>
    </row>
    <row r="9997" spans="12:13" x14ac:dyDescent="0.2">
      <c r="L9997" s="12"/>
      <c r="M9997" s="13"/>
    </row>
    <row r="9998" spans="12:13" x14ac:dyDescent="0.2">
      <c r="L9998" s="12"/>
      <c r="M9998" s="13"/>
    </row>
    <row r="9999" spans="12:13" x14ac:dyDescent="0.2">
      <c r="L9999" s="12"/>
      <c r="M9999" s="13"/>
    </row>
    <row r="10000" spans="12:13" x14ac:dyDescent="0.2">
      <c r="L10000" s="12"/>
      <c r="M10000" s="13"/>
    </row>
    <row r="10001" spans="12:13" x14ac:dyDescent="0.2">
      <c r="L10001" s="12"/>
      <c r="M10001" s="13"/>
    </row>
    <row r="10002" spans="12:13" x14ac:dyDescent="0.2">
      <c r="L10002" s="12"/>
      <c r="M10002" s="13"/>
    </row>
    <row r="10003" spans="12:13" x14ac:dyDescent="0.2">
      <c r="L10003" s="12"/>
      <c r="M10003" s="13"/>
    </row>
    <row r="10004" spans="12:13" x14ac:dyDescent="0.2">
      <c r="L10004" s="12"/>
      <c r="M10004" s="13"/>
    </row>
    <row r="10005" spans="12:13" x14ac:dyDescent="0.2">
      <c r="L10005" s="12"/>
      <c r="M10005" s="13"/>
    </row>
    <row r="10006" spans="12:13" x14ac:dyDescent="0.2">
      <c r="L10006" s="12"/>
      <c r="M10006" s="13"/>
    </row>
    <row r="10007" spans="12:13" x14ac:dyDescent="0.2">
      <c r="L10007" s="12"/>
      <c r="M10007" s="13"/>
    </row>
    <row r="10008" spans="12:13" x14ac:dyDescent="0.2">
      <c r="L10008" s="12"/>
      <c r="M10008" s="13"/>
    </row>
    <row r="10009" spans="12:13" x14ac:dyDescent="0.2">
      <c r="L10009" s="12"/>
      <c r="M10009" s="13"/>
    </row>
    <row r="10010" spans="12:13" x14ac:dyDescent="0.2">
      <c r="L10010" s="12"/>
      <c r="M10010" s="13"/>
    </row>
    <row r="10011" spans="12:13" x14ac:dyDescent="0.2">
      <c r="L10011" s="12"/>
      <c r="M10011" s="13"/>
    </row>
    <row r="10012" spans="12:13" x14ac:dyDescent="0.2">
      <c r="L10012" s="12"/>
      <c r="M10012" s="13"/>
    </row>
    <row r="10013" spans="12:13" x14ac:dyDescent="0.2">
      <c r="L10013" s="12"/>
      <c r="M10013" s="13"/>
    </row>
    <row r="10014" spans="12:13" x14ac:dyDescent="0.2">
      <c r="L10014" s="12"/>
      <c r="M10014" s="13"/>
    </row>
    <row r="10015" spans="12:13" x14ac:dyDescent="0.2">
      <c r="L10015" s="12"/>
      <c r="M10015" s="13"/>
    </row>
    <row r="10016" spans="12:13" x14ac:dyDescent="0.2">
      <c r="L10016" s="12"/>
      <c r="M10016" s="13"/>
    </row>
    <row r="10017" spans="12:13" x14ac:dyDescent="0.2">
      <c r="L10017" s="12"/>
      <c r="M10017" s="13"/>
    </row>
    <row r="10018" spans="12:13" x14ac:dyDescent="0.2">
      <c r="L10018" s="12"/>
      <c r="M10018" s="13"/>
    </row>
    <row r="10019" spans="12:13" x14ac:dyDescent="0.2">
      <c r="L10019" s="12"/>
      <c r="M10019" s="13"/>
    </row>
    <row r="10020" spans="12:13" x14ac:dyDescent="0.2">
      <c r="L10020" s="12"/>
      <c r="M10020" s="13"/>
    </row>
    <row r="10021" spans="12:13" x14ac:dyDescent="0.2">
      <c r="L10021" s="12"/>
      <c r="M10021" s="13"/>
    </row>
    <row r="10022" spans="12:13" x14ac:dyDescent="0.2">
      <c r="L10022" s="12"/>
      <c r="M10022" s="13"/>
    </row>
    <row r="10023" spans="12:13" x14ac:dyDescent="0.2">
      <c r="L10023" s="12"/>
      <c r="M10023" s="13"/>
    </row>
    <row r="10024" spans="12:13" x14ac:dyDescent="0.2">
      <c r="L10024" s="12"/>
      <c r="M10024" s="13"/>
    </row>
    <row r="10025" spans="12:13" x14ac:dyDescent="0.2">
      <c r="L10025" s="12"/>
      <c r="M10025" s="13"/>
    </row>
    <row r="10026" spans="12:13" x14ac:dyDescent="0.2">
      <c r="L10026" s="12"/>
      <c r="M10026" s="13"/>
    </row>
    <row r="10027" spans="12:13" x14ac:dyDescent="0.2">
      <c r="L10027" s="12"/>
      <c r="M10027" s="13"/>
    </row>
    <row r="10028" spans="12:13" x14ac:dyDescent="0.2">
      <c r="L10028" s="12"/>
      <c r="M10028" s="13"/>
    </row>
    <row r="10029" spans="12:13" x14ac:dyDescent="0.2">
      <c r="L10029" s="12"/>
      <c r="M10029" s="13"/>
    </row>
    <row r="10030" spans="12:13" x14ac:dyDescent="0.2">
      <c r="L10030" s="12"/>
      <c r="M10030" s="13"/>
    </row>
    <row r="10031" spans="12:13" x14ac:dyDescent="0.2">
      <c r="L10031" s="12"/>
      <c r="M10031" s="13"/>
    </row>
    <row r="10032" spans="12:13" x14ac:dyDescent="0.2">
      <c r="L10032" s="12"/>
      <c r="M10032" s="13"/>
    </row>
    <row r="10033" spans="12:13" x14ac:dyDescent="0.2">
      <c r="L10033" s="12"/>
      <c r="M10033" s="13"/>
    </row>
    <row r="10034" spans="12:13" x14ac:dyDescent="0.2">
      <c r="L10034" s="12"/>
      <c r="M10034" s="13"/>
    </row>
    <row r="10035" spans="12:13" x14ac:dyDescent="0.2">
      <c r="L10035" s="12"/>
      <c r="M10035" s="13"/>
    </row>
    <row r="10036" spans="12:13" x14ac:dyDescent="0.2">
      <c r="L10036" s="12"/>
      <c r="M10036" s="13"/>
    </row>
    <row r="10037" spans="12:13" x14ac:dyDescent="0.2">
      <c r="L10037" s="12"/>
      <c r="M10037" s="13"/>
    </row>
    <row r="10038" spans="12:13" x14ac:dyDescent="0.2">
      <c r="L10038" s="12"/>
      <c r="M10038" s="13"/>
    </row>
    <row r="10039" spans="12:13" x14ac:dyDescent="0.2">
      <c r="L10039" s="12"/>
      <c r="M10039" s="13"/>
    </row>
    <row r="10040" spans="12:13" x14ac:dyDescent="0.2">
      <c r="L10040" s="12"/>
      <c r="M10040" s="13"/>
    </row>
    <row r="10041" spans="12:13" x14ac:dyDescent="0.2">
      <c r="L10041" s="12"/>
      <c r="M10041" s="13"/>
    </row>
    <row r="10042" spans="12:13" x14ac:dyDescent="0.2">
      <c r="L10042" s="12"/>
      <c r="M10042" s="13"/>
    </row>
    <row r="10043" spans="12:13" x14ac:dyDescent="0.2">
      <c r="L10043" s="12"/>
      <c r="M10043" s="13"/>
    </row>
    <row r="10044" spans="12:13" x14ac:dyDescent="0.2">
      <c r="L10044" s="12"/>
      <c r="M10044" s="13"/>
    </row>
    <row r="10045" spans="12:13" x14ac:dyDescent="0.2">
      <c r="L10045" s="12"/>
      <c r="M10045" s="13"/>
    </row>
    <row r="10046" spans="12:13" x14ac:dyDescent="0.2">
      <c r="L10046" s="12"/>
      <c r="M10046" s="13"/>
    </row>
    <row r="10047" spans="12:13" x14ac:dyDescent="0.2">
      <c r="L10047" s="12"/>
      <c r="M10047" s="13"/>
    </row>
    <row r="10048" spans="12:13" x14ac:dyDescent="0.2">
      <c r="L10048" s="12"/>
      <c r="M10048" s="13"/>
    </row>
    <row r="10049" spans="12:13" x14ac:dyDescent="0.2">
      <c r="L10049" s="12"/>
      <c r="M10049" s="13"/>
    </row>
    <row r="10050" spans="12:13" x14ac:dyDescent="0.2">
      <c r="L10050" s="12"/>
      <c r="M10050" s="13"/>
    </row>
    <row r="10051" spans="12:13" x14ac:dyDescent="0.2">
      <c r="L10051" s="12"/>
      <c r="M10051" s="13"/>
    </row>
    <row r="10052" spans="12:13" x14ac:dyDescent="0.2">
      <c r="L10052" s="12"/>
      <c r="M10052" s="13"/>
    </row>
    <row r="10053" spans="12:13" x14ac:dyDescent="0.2">
      <c r="L10053" s="12"/>
      <c r="M10053" s="13"/>
    </row>
    <row r="10054" spans="12:13" x14ac:dyDescent="0.2">
      <c r="L10054" s="12"/>
      <c r="M10054" s="13"/>
    </row>
    <row r="10055" spans="12:13" x14ac:dyDescent="0.2">
      <c r="L10055" s="12"/>
      <c r="M10055" s="13"/>
    </row>
    <row r="10056" spans="12:13" x14ac:dyDescent="0.2">
      <c r="L10056" s="12"/>
      <c r="M10056" s="13"/>
    </row>
    <row r="10057" spans="12:13" x14ac:dyDescent="0.2">
      <c r="L10057" s="12"/>
      <c r="M10057" s="13"/>
    </row>
    <row r="10058" spans="12:13" x14ac:dyDescent="0.2">
      <c r="L10058" s="12"/>
      <c r="M10058" s="13"/>
    </row>
    <row r="10059" spans="12:13" x14ac:dyDescent="0.2">
      <c r="L10059" s="12"/>
      <c r="M10059" s="13"/>
    </row>
    <row r="10060" spans="12:13" x14ac:dyDescent="0.2">
      <c r="L10060" s="12"/>
      <c r="M10060" s="13"/>
    </row>
    <row r="10061" spans="12:13" x14ac:dyDescent="0.2">
      <c r="L10061" s="12"/>
      <c r="M10061" s="13"/>
    </row>
    <row r="10062" spans="12:13" x14ac:dyDescent="0.2">
      <c r="L10062" s="12"/>
      <c r="M10062" s="13"/>
    </row>
    <row r="10063" spans="12:13" x14ac:dyDescent="0.2">
      <c r="L10063" s="12"/>
      <c r="M10063" s="13"/>
    </row>
    <row r="10064" spans="12:13" x14ac:dyDescent="0.2">
      <c r="L10064" s="12"/>
      <c r="M10064" s="13"/>
    </row>
    <row r="10065" spans="12:13" x14ac:dyDescent="0.2">
      <c r="L10065" s="12"/>
      <c r="M10065" s="13"/>
    </row>
    <row r="10066" spans="12:13" x14ac:dyDescent="0.2">
      <c r="L10066" s="12"/>
      <c r="M10066" s="13"/>
    </row>
    <row r="10067" spans="12:13" x14ac:dyDescent="0.2">
      <c r="L10067" s="12"/>
      <c r="M10067" s="13"/>
    </row>
    <row r="10068" spans="12:13" x14ac:dyDescent="0.2">
      <c r="L10068" s="12"/>
      <c r="M10068" s="13"/>
    </row>
    <row r="10069" spans="12:13" x14ac:dyDescent="0.2">
      <c r="L10069" s="12"/>
      <c r="M10069" s="13"/>
    </row>
    <row r="10070" spans="12:13" x14ac:dyDescent="0.2">
      <c r="L10070" s="12"/>
      <c r="M10070" s="13"/>
    </row>
    <row r="10071" spans="12:13" x14ac:dyDescent="0.2">
      <c r="L10071" s="12"/>
      <c r="M10071" s="13"/>
    </row>
    <row r="10072" spans="12:13" x14ac:dyDescent="0.2">
      <c r="L10072" s="12"/>
      <c r="M10072" s="13"/>
    </row>
    <row r="10073" spans="12:13" x14ac:dyDescent="0.2">
      <c r="L10073" s="12"/>
      <c r="M10073" s="13"/>
    </row>
    <row r="10074" spans="12:13" x14ac:dyDescent="0.2">
      <c r="L10074" s="12"/>
      <c r="M10074" s="13"/>
    </row>
    <row r="10075" spans="12:13" x14ac:dyDescent="0.2">
      <c r="L10075" s="12"/>
      <c r="M10075" s="13"/>
    </row>
    <row r="10076" spans="12:13" x14ac:dyDescent="0.2">
      <c r="L10076" s="12"/>
      <c r="M10076" s="13"/>
    </row>
    <row r="10077" spans="12:13" x14ac:dyDescent="0.2">
      <c r="L10077" s="12"/>
      <c r="M10077" s="13"/>
    </row>
    <row r="10078" spans="12:13" x14ac:dyDescent="0.2">
      <c r="L10078" s="12"/>
      <c r="M10078" s="13"/>
    </row>
    <row r="10079" spans="12:13" x14ac:dyDescent="0.2">
      <c r="L10079" s="12"/>
      <c r="M10079" s="13"/>
    </row>
    <row r="10080" spans="12:13" x14ac:dyDescent="0.2">
      <c r="L10080" s="12"/>
      <c r="M10080" s="13"/>
    </row>
    <row r="10081" spans="12:13" x14ac:dyDescent="0.2">
      <c r="L10081" s="12"/>
      <c r="M10081" s="13"/>
    </row>
    <row r="10082" spans="12:13" x14ac:dyDescent="0.2">
      <c r="L10082" s="12"/>
      <c r="M10082" s="13"/>
    </row>
    <row r="10083" spans="12:13" x14ac:dyDescent="0.2">
      <c r="L10083" s="12"/>
      <c r="M10083" s="13"/>
    </row>
    <row r="10084" spans="12:13" x14ac:dyDescent="0.2">
      <c r="L10084" s="12"/>
      <c r="M10084" s="13"/>
    </row>
    <row r="10085" spans="12:13" x14ac:dyDescent="0.2">
      <c r="L10085" s="12"/>
      <c r="M10085" s="13"/>
    </row>
    <row r="10086" spans="12:13" x14ac:dyDescent="0.2">
      <c r="L10086" s="12"/>
      <c r="M10086" s="13"/>
    </row>
    <row r="10087" spans="12:13" x14ac:dyDescent="0.2">
      <c r="L10087" s="12"/>
      <c r="M10087" s="13"/>
    </row>
    <row r="10088" spans="12:13" x14ac:dyDescent="0.2">
      <c r="L10088" s="12"/>
      <c r="M10088" s="13"/>
    </row>
    <row r="10089" spans="12:13" x14ac:dyDescent="0.2">
      <c r="L10089" s="12"/>
      <c r="M10089" s="13"/>
    </row>
    <row r="10090" spans="12:13" x14ac:dyDescent="0.2">
      <c r="L10090" s="12"/>
      <c r="M10090" s="13"/>
    </row>
    <row r="10091" spans="12:13" x14ac:dyDescent="0.2">
      <c r="L10091" s="12"/>
      <c r="M10091" s="13"/>
    </row>
    <row r="10092" spans="12:13" x14ac:dyDescent="0.2">
      <c r="L10092" s="12"/>
      <c r="M10092" s="13"/>
    </row>
    <row r="10093" spans="12:13" x14ac:dyDescent="0.2">
      <c r="L10093" s="12"/>
      <c r="M10093" s="13"/>
    </row>
    <row r="10094" spans="12:13" x14ac:dyDescent="0.2">
      <c r="L10094" s="12"/>
      <c r="M10094" s="13"/>
    </row>
    <row r="10095" spans="12:13" x14ac:dyDescent="0.2">
      <c r="L10095" s="12"/>
      <c r="M10095" s="13"/>
    </row>
    <row r="10096" spans="12:13" x14ac:dyDescent="0.2">
      <c r="L10096" s="12"/>
      <c r="M10096" s="13"/>
    </row>
    <row r="10097" spans="12:13" x14ac:dyDescent="0.2">
      <c r="L10097" s="12"/>
      <c r="M10097" s="13"/>
    </row>
    <row r="10098" spans="12:13" x14ac:dyDescent="0.2">
      <c r="L10098" s="12"/>
      <c r="M10098" s="13"/>
    </row>
    <row r="10099" spans="12:13" x14ac:dyDescent="0.2">
      <c r="L10099" s="12"/>
      <c r="M10099" s="13"/>
    </row>
    <row r="10100" spans="12:13" x14ac:dyDescent="0.2">
      <c r="L10100" s="12"/>
      <c r="M10100" s="13"/>
    </row>
    <row r="10101" spans="12:13" x14ac:dyDescent="0.2">
      <c r="L10101" s="12"/>
      <c r="M10101" s="13"/>
    </row>
    <row r="10102" spans="12:13" x14ac:dyDescent="0.2">
      <c r="L10102" s="12"/>
      <c r="M10102" s="13"/>
    </row>
    <row r="10103" spans="12:13" x14ac:dyDescent="0.2">
      <c r="L10103" s="12"/>
      <c r="M10103" s="13"/>
    </row>
    <row r="10104" spans="12:13" x14ac:dyDescent="0.2">
      <c r="L10104" s="12"/>
      <c r="M10104" s="13"/>
    </row>
    <row r="10105" spans="12:13" x14ac:dyDescent="0.2">
      <c r="L10105" s="12"/>
      <c r="M10105" s="13"/>
    </row>
    <row r="10106" spans="12:13" x14ac:dyDescent="0.2">
      <c r="L10106" s="12"/>
      <c r="M10106" s="13"/>
    </row>
    <row r="10107" spans="12:13" x14ac:dyDescent="0.2">
      <c r="L10107" s="12"/>
      <c r="M10107" s="13"/>
    </row>
    <row r="10108" spans="12:13" x14ac:dyDescent="0.2">
      <c r="L10108" s="12"/>
      <c r="M10108" s="13"/>
    </row>
    <row r="10109" spans="12:13" x14ac:dyDescent="0.2">
      <c r="L10109" s="12"/>
      <c r="M10109" s="13"/>
    </row>
    <row r="10110" spans="12:13" x14ac:dyDescent="0.2">
      <c r="L10110" s="12"/>
      <c r="M10110" s="13"/>
    </row>
    <row r="10111" spans="12:13" x14ac:dyDescent="0.2">
      <c r="L10111" s="12"/>
      <c r="M10111" s="13"/>
    </row>
    <row r="10112" spans="12:13" x14ac:dyDescent="0.2">
      <c r="L10112" s="12"/>
      <c r="M10112" s="13"/>
    </row>
    <row r="10113" spans="12:13" x14ac:dyDescent="0.2">
      <c r="L10113" s="12"/>
      <c r="M10113" s="13"/>
    </row>
    <row r="10114" spans="12:13" x14ac:dyDescent="0.2">
      <c r="L10114" s="12"/>
      <c r="M10114" s="13"/>
    </row>
    <row r="10115" spans="12:13" x14ac:dyDescent="0.2">
      <c r="L10115" s="12"/>
      <c r="M10115" s="13"/>
    </row>
    <row r="10116" spans="12:13" x14ac:dyDescent="0.2">
      <c r="L10116" s="12"/>
      <c r="M10116" s="13"/>
    </row>
    <row r="10117" spans="12:13" x14ac:dyDescent="0.2">
      <c r="L10117" s="12"/>
      <c r="M10117" s="13"/>
    </row>
    <row r="10118" spans="12:13" x14ac:dyDescent="0.2">
      <c r="L10118" s="12"/>
      <c r="M10118" s="13"/>
    </row>
    <row r="10119" spans="12:13" x14ac:dyDescent="0.2">
      <c r="L10119" s="12"/>
      <c r="M10119" s="13"/>
    </row>
    <row r="10120" spans="12:13" x14ac:dyDescent="0.2">
      <c r="L10120" s="12"/>
      <c r="M10120" s="13"/>
    </row>
    <row r="10121" spans="12:13" x14ac:dyDescent="0.2">
      <c r="L10121" s="12"/>
      <c r="M10121" s="13"/>
    </row>
    <row r="10122" spans="12:13" x14ac:dyDescent="0.2">
      <c r="L10122" s="12"/>
      <c r="M10122" s="13"/>
    </row>
    <row r="10123" spans="12:13" x14ac:dyDescent="0.2">
      <c r="L10123" s="12"/>
      <c r="M10123" s="13"/>
    </row>
    <row r="10124" spans="12:13" x14ac:dyDescent="0.2">
      <c r="L10124" s="12"/>
      <c r="M10124" s="13"/>
    </row>
    <row r="10125" spans="12:13" x14ac:dyDescent="0.2">
      <c r="L10125" s="12"/>
      <c r="M10125" s="13"/>
    </row>
    <row r="10126" spans="12:13" x14ac:dyDescent="0.2">
      <c r="L10126" s="12"/>
      <c r="M10126" s="13"/>
    </row>
    <row r="10127" spans="12:13" x14ac:dyDescent="0.2">
      <c r="L10127" s="12"/>
      <c r="M10127" s="13"/>
    </row>
    <row r="10128" spans="12:13" x14ac:dyDescent="0.2">
      <c r="L10128" s="12"/>
      <c r="M10128" s="13"/>
    </row>
    <row r="10129" spans="12:13" x14ac:dyDescent="0.2">
      <c r="L10129" s="12"/>
      <c r="M10129" s="13"/>
    </row>
    <row r="10130" spans="12:13" x14ac:dyDescent="0.2">
      <c r="L10130" s="12"/>
      <c r="M10130" s="13"/>
    </row>
    <row r="10131" spans="12:13" x14ac:dyDescent="0.2">
      <c r="L10131" s="12"/>
      <c r="M10131" s="13"/>
    </row>
    <row r="10132" spans="12:13" x14ac:dyDescent="0.2">
      <c r="L10132" s="12"/>
      <c r="M10132" s="13"/>
    </row>
    <row r="10133" spans="12:13" x14ac:dyDescent="0.2">
      <c r="L10133" s="12"/>
      <c r="M10133" s="13"/>
    </row>
    <row r="10134" spans="12:13" x14ac:dyDescent="0.2">
      <c r="L10134" s="12"/>
      <c r="M10134" s="13"/>
    </row>
    <row r="10135" spans="12:13" x14ac:dyDescent="0.2">
      <c r="L10135" s="12"/>
      <c r="M10135" s="13"/>
    </row>
    <row r="10136" spans="12:13" x14ac:dyDescent="0.2">
      <c r="L10136" s="12"/>
      <c r="M10136" s="13"/>
    </row>
    <row r="10137" spans="12:13" x14ac:dyDescent="0.2">
      <c r="L10137" s="12"/>
      <c r="M10137" s="13"/>
    </row>
    <row r="10138" spans="12:13" x14ac:dyDescent="0.2">
      <c r="L10138" s="12"/>
      <c r="M10138" s="13"/>
    </row>
    <row r="10139" spans="12:13" x14ac:dyDescent="0.2">
      <c r="L10139" s="12"/>
      <c r="M10139" s="13"/>
    </row>
    <row r="10140" spans="12:13" x14ac:dyDescent="0.2">
      <c r="L10140" s="12"/>
      <c r="M10140" s="13"/>
    </row>
    <row r="10141" spans="12:13" x14ac:dyDescent="0.2">
      <c r="L10141" s="12"/>
      <c r="M10141" s="13"/>
    </row>
    <row r="10142" spans="12:13" x14ac:dyDescent="0.2">
      <c r="L10142" s="12"/>
      <c r="M10142" s="13"/>
    </row>
    <row r="10143" spans="12:13" x14ac:dyDescent="0.2">
      <c r="L10143" s="12"/>
      <c r="M10143" s="13"/>
    </row>
    <row r="10144" spans="12:13" x14ac:dyDescent="0.2">
      <c r="L10144" s="12"/>
      <c r="M10144" s="13"/>
    </row>
    <row r="10145" spans="12:13" x14ac:dyDescent="0.2">
      <c r="L10145" s="12"/>
      <c r="M10145" s="13"/>
    </row>
    <row r="10146" spans="12:13" x14ac:dyDescent="0.2">
      <c r="L10146" s="12"/>
      <c r="M10146" s="13"/>
    </row>
    <row r="10147" spans="12:13" x14ac:dyDescent="0.2">
      <c r="L10147" s="12"/>
      <c r="M10147" s="13"/>
    </row>
    <row r="10148" spans="12:13" x14ac:dyDescent="0.2">
      <c r="L10148" s="12"/>
      <c r="M10148" s="13"/>
    </row>
    <row r="10149" spans="12:13" x14ac:dyDescent="0.2">
      <c r="L10149" s="12"/>
      <c r="M10149" s="13"/>
    </row>
    <row r="10150" spans="12:13" x14ac:dyDescent="0.2">
      <c r="L10150" s="12"/>
      <c r="M10150" s="13"/>
    </row>
    <row r="10151" spans="12:13" x14ac:dyDescent="0.2">
      <c r="L10151" s="12"/>
      <c r="M10151" s="13"/>
    </row>
    <row r="10152" spans="12:13" x14ac:dyDescent="0.2">
      <c r="L10152" s="12"/>
      <c r="M10152" s="13"/>
    </row>
    <row r="10153" spans="12:13" x14ac:dyDescent="0.2">
      <c r="L10153" s="12"/>
      <c r="M10153" s="13"/>
    </row>
    <row r="10154" spans="12:13" x14ac:dyDescent="0.2">
      <c r="L10154" s="12"/>
      <c r="M10154" s="13"/>
    </row>
    <row r="10155" spans="12:13" x14ac:dyDescent="0.2">
      <c r="L10155" s="12"/>
      <c r="M10155" s="13"/>
    </row>
    <row r="10156" spans="12:13" x14ac:dyDescent="0.2">
      <c r="L10156" s="12"/>
      <c r="M10156" s="13"/>
    </row>
    <row r="10157" spans="12:13" x14ac:dyDescent="0.2">
      <c r="L10157" s="12"/>
      <c r="M10157" s="13"/>
    </row>
    <row r="10158" spans="12:13" x14ac:dyDescent="0.2">
      <c r="L10158" s="12"/>
      <c r="M10158" s="13"/>
    </row>
    <row r="10159" spans="12:13" x14ac:dyDescent="0.2">
      <c r="L10159" s="12"/>
      <c r="M10159" s="13"/>
    </row>
    <row r="10160" spans="12:13" x14ac:dyDescent="0.2">
      <c r="L10160" s="12"/>
      <c r="M10160" s="13"/>
    </row>
    <row r="10161" spans="12:13" x14ac:dyDescent="0.2">
      <c r="L10161" s="12"/>
      <c r="M10161" s="13"/>
    </row>
    <row r="10162" spans="12:13" x14ac:dyDescent="0.2">
      <c r="L10162" s="12"/>
      <c r="M10162" s="13"/>
    </row>
    <row r="10163" spans="12:13" x14ac:dyDescent="0.2">
      <c r="L10163" s="12"/>
      <c r="M10163" s="13"/>
    </row>
    <row r="10164" spans="12:13" x14ac:dyDescent="0.2">
      <c r="L10164" s="12"/>
      <c r="M10164" s="13"/>
    </row>
    <row r="10165" spans="12:13" x14ac:dyDescent="0.2">
      <c r="L10165" s="12"/>
      <c r="M10165" s="13"/>
    </row>
    <row r="10166" spans="12:13" x14ac:dyDescent="0.2">
      <c r="L10166" s="12"/>
      <c r="M10166" s="13"/>
    </row>
    <row r="10167" spans="12:13" x14ac:dyDescent="0.2">
      <c r="L10167" s="12"/>
      <c r="M10167" s="13"/>
    </row>
    <row r="10168" spans="12:13" x14ac:dyDescent="0.2">
      <c r="L10168" s="12"/>
      <c r="M10168" s="13"/>
    </row>
    <row r="10169" spans="12:13" x14ac:dyDescent="0.2">
      <c r="L10169" s="12"/>
      <c r="M10169" s="13"/>
    </row>
    <row r="10170" spans="12:13" x14ac:dyDescent="0.2">
      <c r="L10170" s="12"/>
      <c r="M10170" s="13"/>
    </row>
    <row r="10171" spans="12:13" x14ac:dyDescent="0.2">
      <c r="L10171" s="12"/>
      <c r="M10171" s="13"/>
    </row>
    <row r="10172" spans="12:13" x14ac:dyDescent="0.2">
      <c r="L10172" s="12"/>
      <c r="M10172" s="13"/>
    </row>
    <row r="10173" spans="12:13" x14ac:dyDescent="0.2">
      <c r="L10173" s="12"/>
      <c r="M10173" s="13"/>
    </row>
    <row r="10174" spans="12:13" x14ac:dyDescent="0.2">
      <c r="L10174" s="12"/>
      <c r="M10174" s="13"/>
    </row>
    <row r="10175" spans="12:13" x14ac:dyDescent="0.2">
      <c r="L10175" s="12"/>
      <c r="M10175" s="13"/>
    </row>
    <row r="10176" spans="12:13" x14ac:dyDescent="0.2">
      <c r="L10176" s="12"/>
      <c r="M10176" s="13"/>
    </row>
    <row r="10177" spans="12:13" x14ac:dyDescent="0.2">
      <c r="L10177" s="12"/>
      <c r="M10177" s="13"/>
    </row>
    <row r="10178" spans="12:13" x14ac:dyDescent="0.2">
      <c r="L10178" s="12"/>
      <c r="M10178" s="13"/>
    </row>
    <row r="10179" spans="12:13" x14ac:dyDescent="0.2">
      <c r="L10179" s="12"/>
      <c r="M10179" s="13"/>
    </row>
    <row r="10180" spans="12:13" x14ac:dyDescent="0.2">
      <c r="L10180" s="12"/>
      <c r="M10180" s="13"/>
    </row>
    <row r="10181" spans="12:13" x14ac:dyDescent="0.2">
      <c r="L10181" s="12"/>
      <c r="M10181" s="13"/>
    </row>
    <row r="10182" spans="12:13" x14ac:dyDescent="0.2">
      <c r="L10182" s="12"/>
      <c r="M10182" s="13"/>
    </row>
    <row r="10183" spans="12:13" x14ac:dyDescent="0.2">
      <c r="L10183" s="12"/>
      <c r="M10183" s="13"/>
    </row>
    <row r="10184" spans="12:13" x14ac:dyDescent="0.2">
      <c r="L10184" s="12"/>
      <c r="M10184" s="13"/>
    </row>
    <row r="10185" spans="12:13" x14ac:dyDescent="0.2">
      <c r="L10185" s="12"/>
      <c r="M10185" s="13"/>
    </row>
    <row r="10186" spans="12:13" x14ac:dyDescent="0.2">
      <c r="L10186" s="12"/>
      <c r="M10186" s="13"/>
    </row>
    <row r="10187" spans="12:13" x14ac:dyDescent="0.2">
      <c r="L10187" s="12"/>
      <c r="M10187" s="13"/>
    </row>
    <row r="10188" spans="12:13" x14ac:dyDescent="0.2">
      <c r="L10188" s="12"/>
      <c r="M10188" s="13"/>
    </row>
    <row r="10189" spans="12:13" x14ac:dyDescent="0.2">
      <c r="L10189" s="12"/>
      <c r="M10189" s="13"/>
    </row>
    <row r="10190" spans="12:13" x14ac:dyDescent="0.2">
      <c r="L10190" s="12"/>
      <c r="M10190" s="13"/>
    </row>
    <row r="10191" spans="12:13" x14ac:dyDescent="0.2">
      <c r="L10191" s="12"/>
      <c r="M10191" s="13"/>
    </row>
    <row r="10192" spans="12:13" x14ac:dyDescent="0.2">
      <c r="L10192" s="12"/>
      <c r="M10192" s="13"/>
    </row>
    <row r="10193" spans="12:13" x14ac:dyDescent="0.2">
      <c r="L10193" s="12"/>
      <c r="M10193" s="13"/>
    </row>
    <row r="10194" spans="12:13" x14ac:dyDescent="0.2">
      <c r="L10194" s="12"/>
      <c r="M10194" s="13"/>
    </row>
    <row r="10195" spans="12:13" x14ac:dyDescent="0.2">
      <c r="L10195" s="12"/>
      <c r="M10195" s="13"/>
    </row>
    <row r="10196" spans="12:13" x14ac:dyDescent="0.2">
      <c r="L10196" s="12"/>
      <c r="M10196" s="13"/>
    </row>
    <row r="10197" spans="12:13" x14ac:dyDescent="0.2">
      <c r="L10197" s="12"/>
      <c r="M10197" s="13"/>
    </row>
    <row r="10198" spans="12:13" x14ac:dyDescent="0.2">
      <c r="L10198" s="12"/>
      <c r="M10198" s="13"/>
    </row>
    <row r="10199" spans="12:13" x14ac:dyDescent="0.2">
      <c r="L10199" s="12"/>
      <c r="M10199" s="13"/>
    </row>
    <row r="10200" spans="12:13" x14ac:dyDescent="0.2">
      <c r="L10200" s="12"/>
      <c r="M10200" s="13"/>
    </row>
    <row r="10201" spans="12:13" x14ac:dyDescent="0.2">
      <c r="L10201" s="12"/>
      <c r="M10201" s="13"/>
    </row>
    <row r="10202" spans="12:13" x14ac:dyDescent="0.2">
      <c r="L10202" s="12"/>
      <c r="M10202" s="13"/>
    </row>
    <row r="10203" spans="12:13" x14ac:dyDescent="0.2">
      <c r="L10203" s="12"/>
      <c r="M10203" s="13"/>
    </row>
    <row r="10204" spans="12:13" x14ac:dyDescent="0.2">
      <c r="L10204" s="12"/>
      <c r="M10204" s="13"/>
    </row>
    <row r="10205" spans="12:13" x14ac:dyDescent="0.2">
      <c r="L10205" s="12"/>
      <c r="M10205" s="13"/>
    </row>
    <row r="10206" spans="12:13" x14ac:dyDescent="0.2">
      <c r="L10206" s="12"/>
      <c r="M10206" s="13"/>
    </row>
    <row r="10207" spans="12:13" x14ac:dyDescent="0.2">
      <c r="L10207" s="12"/>
      <c r="M10207" s="13"/>
    </row>
    <row r="10208" spans="12:13" x14ac:dyDescent="0.2">
      <c r="L10208" s="12"/>
      <c r="M10208" s="13"/>
    </row>
    <row r="10209" spans="12:13" x14ac:dyDescent="0.2">
      <c r="L10209" s="12"/>
      <c r="M10209" s="13"/>
    </row>
    <row r="10210" spans="12:13" x14ac:dyDescent="0.2">
      <c r="L10210" s="12"/>
      <c r="M10210" s="13"/>
    </row>
    <row r="10211" spans="12:13" x14ac:dyDescent="0.2">
      <c r="L10211" s="12"/>
      <c r="M10211" s="13"/>
    </row>
    <row r="10212" spans="12:13" x14ac:dyDescent="0.2">
      <c r="L10212" s="12"/>
      <c r="M10212" s="13"/>
    </row>
    <row r="10213" spans="12:13" x14ac:dyDescent="0.2">
      <c r="L10213" s="12"/>
      <c r="M10213" s="13"/>
    </row>
    <row r="10214" spans="12:13" x14ac:dyDescent="0.2">
      <c r="L10214" s="12"/>
      <c r="M10214" s="13"/>
    </row>
    <row r="10215" spans="12:13" x14ac:dyDescent="0.2">
      <c r="L10215" s="12"/>
      <c r="M10215" s="13"/>
    </row>
    <row r="10216" spans="12:13" x14ac:dyDescent="0.2">
      <c r="L10216" s="12"/>
      <c r="M10216" s="13"/>
    </row>
    <row r="10217" spans="12:13" x14ac:dyDescent="0.2">
      <c r="L10217" s="12"/>
      <c r="M10217" s="13"/>
    </row>
    <row r="10218" spans="12:13" x14ac:dyDescent="0.2">
      <c r="L10218" s="12"/>
      <c r="M10218" s="13"/>
    </row>
    <row r="10219" spans="12:13" x14ac:dyDescent="0.2">
      <c r="L10219" s="12"/>
      <c r="M10219" s="13"/>
    </row>
    <row r="10220" spans="12:13" x14ac:dyDescent="0.2">
      <c r="L10220" s="12"/>
      <c r="M10220" s="13"/>
    </row>
    <row r="10221" spans="12:13" x14ac:dyDescent="0.2">
      <c r="L10221" s="12"/>
      <c r="M10221" s="13"/>
    </row>
    <row r="10222" spans="12:13" x14ac:dyDescent="0.2">
      <c r="L10222" s="12"/>
      <c r="M10222" s="13"/>
    </row>
    <row r="10223" spans="12:13" x14ac:dyDescent="0.2">
      <c r="L10223" s="12"/>
      <c r="M10223" s="13"/>
    </row>
    <row r="10224" spans="12:13" x14ac:dyDescent="0.2">
      <c r="L10224" s="12"/>
      <c r="M10224" s="13"/>
    </row>
    <row r="10225" spans="12:13" x14ac:dyDescent="0.2">
      <c r="L10225" s="12"/>
      <c r="M10225" s="13"/>
    </row>
    <row r="10226" spans="12:13" x14ac:dyDescent="0.2">
      <c r="L10226" s="12"/>
      <c r="M10226" s="13"/>
    </row>
    <row r="10227" spans="12:13" x14ac:dyDescent="0.2">
      <c r="L10227" s="12"/>
      <c r="M10227" s="13"/>
    </row>
    <row r="10228" spans="12:13" x14ac:dyDescent="0.2">
      <c r="L10228" s="12"/>
      <c r="M10228" s="13"/>
    </row>
    <row r="10229" spans="12:13" x14ac:dyDescent="0.2">
      <c r="L10229" s="12"/>
      <c r="M10229" s="13"/>
    </row>
    <row r="10230" spans="12:13" x14ac:dyDescent="0.2">
      <c r="L10230" s="12"/>
      <c r="M10230" s="13"/>
    </row>
    <row r="10231" spans="12:13" x14ac:dyDescent="0.2">
      <c r="L10231" s="12"/>
      <c r="M10231" s="13"/>
    </row>
    <row r="10232" spans="12:13" x14ac:dyDescent="0.2">
      <c r="L10232" s="12"/>
      <c r="M10232" s="13"/>
    </row>
    <row r="10233" spans="12:13" x14ac:dyDescent="0.2">
      <c r="L10233" s="12"/>
      <c r="M10233" s="13"/>
    </row>
    <row r="10234" spans="12:13" x14ac:dyDescent="0.2">
      <c r="L10234" s="12"/>
      <c r="M10234" s="13"/>
    </row>
    <row r="10235" spans="12:13" x14ac:dyDescent="0.2">
      <c r="L10235" s="12"/>
      <c r="M10235" s="13"/>
    </row>
    <row r="10236" spans="12:13" x14ac:dyDescent="0.2">
      <c r="L10236" s="12"/>
      <c r="M10236" s="13"/>
    </row>
    <row r="10237" spans="12:13" x14ac:dyDescent="0.2">
      <c r="L10237" s="12"/>
      <c r="M10237" s="13"/>
    </row>
    <row r="10238" spans="12:13" x14ac:dyDescent="0.2">
      <c r="L10238" s="12"/>
      <c r="M10238" s="13"/>
    </row>
    <row r="10239" spans="12:13" x14ac:dyDescent="0.2">
      <c r="L10239" s="12"/>
      <c r="M10239" s="13"/>
    </row>
    <row r="10240" spans="12:13" x14ac:dyDescent="0.2">
      <c r="L10240" s="12"/>
      <c r="M10240" s="13"/>
    </row>
    <row r="10241" spans="12:13" x14ac:dyDescent="0.2">
      <c r="L10241" s="12"/>
      <c r="M10241" s="13"/>
    </row>
    <row r="10242" spans="12:13" x14ac:dyDescent="0.2">
      <c r="L10242" s="17"/>
      <c r="M10242" s="18"/>
    </row>
    <row r="10243" spans="12:13" x14ac:dyDescent="0.2">
      <c r="L10243" s="12"/>
      <c r="M10243" s="13"/>
    </row>
    <row r="10244" spans="12:13" x14ac:dyDescent="0.2">
      <c r="L10244" s="12"/>
      <c r="M10244" s="13"/>
    </row>
    <row r="10245" spans="12:13" x14ac:dyDescent="0.2">
      <c r="L10245" s="12"/>
      <c r="M10245" s="13"/>
    </row>
    <row r="10246" spans="12:13" x14ac:dyDescent="0.2">
      <c r="L10246" s="12"/>
      <c r="M10246" s="13"/>
    </row>
    <row r="10247" spans="12:13" x14ac:dyDescent="0.2">
      <c r="L10247" s="12"/>
      <c r="M10247" s="13"/>
    </row>
    <row r="10248" spans="12:13" x14ac:dyDescent="0.2">
      <c r="L10248" s="12"/>
      <c r="M10248" s="13"/>
    </row>
    <row r="10249" spans="12:13" x14ac:dyDescent="0.2">
      <c r="L10249" s="12"/>
      <c r="M10249" s="13"/>
    </row>
    <row r="10250" spans="12:13" x14ac:dyDescent="0.2">
      <c r="L10250" s="12"/>
      <c r="M10250" s="13"/>
    </row>
    <row r="10251" spans="12:13" x14ac:dyDescent="0.2">
      <c r="L10251" s="12"/>
      <c r="M10251" s="13"/>
    </row>
    <row r="10252" spans="12:13" x14ac:dyDescent="0.2">
      <c r="L10252" s="12"/>
      <c r="M10252" s="13"/>
    </row>
    <row r="10253" spans="12:13" x14ac:dyDescent="0.2">
      <c r="L10253" s="12"/>
      <c r="M10253" s="13"/>
    </row>
    <row r="10254" spans="12:13" x14ac:dyDescent="0.2">
      <c r="L10254" s="12"/>
      <c r="M10254" s="13"/>
    </row>
    <row r="10255" spans="12:13" x14ac:dyDescent="0.2">
      <c r="L10255" s="12"/>
      <c r="M10255" s="13"/>
    </row>
    <row r="10256" spans="12:13" x14ac:dyDescent="0.2">
      <c r="L10256" s="12"/>
      <c r="M10256" s="13"/>
    </row>
    <row r="10257" spans="12:13" x14ac:dyDescent="0.2">
      <c r="L10257" s="12"/>
      <c r="M10257" s="13"/>
    </row>
    <row r="10258" spans="12:13" x14ac:dyDescent="0.2">
      <c r="L10258" s="12"/>
      <c r="M10258" s="13"/>
    </row>
    <row r="10259" spans="12:13" x14ac:dyDescent="0.2">
      <c r="L10259" s="12"/>
      <c r="M10259" s="13"/>
    </row>
    <row r="10260" spans="12:13" x14ac:dyDescent="0.2">
      <c r="L10260" s="12"/>
      <c r="M10260" s="13"/>
    </row>
    <row r="10261" spans="12:13" x14ac:dyDescent="0.2">
      <c r="L10261" s="12"/>
      <c r="M10261" s="13"/>
    </row>
    <row r="10262" spans="12:13" x14ac:dyDescent="0.2">
      <c r="L10262" s="12"/>
      <c r="M10262" s="13"/>
    </row>
    <row r="10263" spans="12:13" x14ac:dyDescent="0.2">
      <c r="L10263" s="12"/>
      <c r="M10263" s="13"/>
    </row>
    <row r="10264" spans="12:13" x14ac:dyDescent="0.2">
      <c r="L10264" s="12"/>
      <c r="M10264" s="13"/>
    </row>
    <row r="10265" spans="12:13" x14ac:dyDescent="0.2">
      <c r="L10265" s="12"/>
      <c r="M10265" s="13"/>
    </row>
    <row r="10266" spans="12:13" x14ac:dyDescent="0.2">
      <c r="L10266" s="12"/>
      <c r="M10266" s="13"/>
    </row>
    <row r="10267" spans="12:13" x14ac:dyDescent="0.2">
      <c r="L10267" s="12"/>
      <c r="M10267" s="13"/>
    </row>
    <row r="10268" spans="12:13" x14ac:dyDescent="0.2">
      <c r="L10268" s="12"/>
      <c r="M10268" s="13"/>
    </row>
    <row r="10269" spans="12:13" x14ac:dyDescent="0.2">
      <c r="L10269" s="12"/>
      <c r="M10269" s="13"/>
    </row>
    <row r="10270" spans="12:13" x14ac:dyDescent="0.2">
      <c r="L10270" s="12"/>
      <c r="M10270" s="13"/>
    </row>
    <row r="10271" spans="12:13" x14ac:dyDescent="0.2">
      <c r="L10271" s="12"/>
      <c r="M10271" s="13"/>
    </row>
    <row r="10272" spans="12:13" x14ac:dyDescent="0.2">
      <c r="L10272" s="12"/>
      <c r="M10272" s="13"/>
    </row>
    <row r="10273" spans="12:13" x14ac:dyDescent="0.2">
      <c r="L10273" s="12"/>
      <c r="M10273" s="13"/>
    </row>
    <row r="10274" spans="12:13" x14ac:dyDescent="0.2">
      <c r="L10274" s="12"/>
      <c r="M10274" s="13"/>
    </row>
    <row r="10275" spans="12:13" x14ac:dyDescent="0.2">
      <c r="L10275" s="12"/>
      <c r="M10275" s="13"/>
    </row>
    <row r="10276" spans="12:13" x14ac:dyDescent="0.2">
      <c r="L10276" s="12"/>
      <c r="M10276" s="13"/>
    </row>
    <row r="10277" spans="12:13" x14ac:dyDescent="0.2">
      <c r="L10277" s="12"/>
      <c r="M10277" s="13"/>
    </row>
    <row r="10278" spans="12:13" x14ac:dyDescent="0.2">
      <c r="L10278" s="12"/>
      <c r="M10278" s="13"/>
    </row>
    <row r="10279" spans="12:13" x14ac:dyDescent="0.2">
      <c r="L10279" s="12"/>
      <c r="M10279" s="13"/>
    </row>
    <row r="10280" spans="12:13" x14ac:dyDescent="0.2">
      <c r="L10280" s="12"/>
      <c r="M10280" s="13"/>
    </row>
    <row r="10281" spans="12:13" x14ac:dyDescent="0.2">
      <c r="L10281" s="12"/>
      <c r="M10281" s="13"/>
    </row>
    <row r="10282" spans="12:13" x14ac:dyDescent="0.2">
      <c r="L10282" s="12"/>
      <c r="M10282" s="13"/>
    </row>
    <row r="10283" spans="12:13" x14ac:dyDescent="0.2">
      <c r="L10283" s="12"/>
      <c r="M10283" s="13"/>
    </row>
    <row r="10284" spans="12:13" x14ac:dyDescent="0.2">
      <c r="L10284" s="12"/>
      <c r="M10284" s="13"/>
    </row>
    <row r="10285" spans="12:13" x14ac:dyDescent="0.2">
      <c r="L10285" s="12"/>
      <c r="M10285" s="13"/>
    </row>
    <row r="10286" spans="12:13" x14ac:dyDescent="0.2">
      <c r="L10286" s="12"/>
      <c r="M10286" s="13"/>
    </row>
    <row r="10287" spans="12:13" x14ac:dyDescent="0.2">
      <c r="L10287" s="12"/>
      <c r="M10287" s="13"/>
    </row>
    <row r="10288" spans="12:13" x14ac:dyDescent="0.2">
      <c r="L10288" s="12"/>
      <c r="M10288" s="13"/>
    </row>
    <row r="10289" spans="12:13" x14ac:dyDescent="0.2">
      <c r="L10289" s="12"/>
      <c r="M10289" s="13"/>
    </row>
    <row r="10290" spans="12:13" x14ac:dyDescent="0.2">
      <c r="L10290" s="12"/>
      <c r="M10290" s="13"/>
    </row>
    <row r="10291" spans="12:13" x14ac:dyDescent="0.2">
      <c r="L10291" s="12"/>
      <c r="M10291" s="13"/>
    </row>
    <row r="10292" spans="12:13" x14ac:dyDescent="0.2">
      <c r="L10292" s="12"/>
      <c r="M10292" s="13"/>
    </row>
    <row r="10293" spans="12:13" x14ac:dyDescent="0.2">
      <c r="L10293" s="12"/>
      <c r="M10293" s="13"/>
    </row>
    <row r="10294" spans="12:13" x14ac:dyDescent="0.2">
      <c r="L10294" s="12"/>
      <c r="M10294" s="13"/>
    </row>
    <row r="10295" spans="12:13" x14ac:dyDescent="0.2">
      <c r="L10295" s="12"/>
      <c r="M10295" s="13"/>
    </row>
    <row r="10296" spans="12:13" x14ac:dyDescent="0.2">
      <c r="L10296" s="12"/>
      <c r="M10296" s="13"/>
    </row>
    <row r="10297" spans="12:13" x14ac:dyDescent="0.2">
      <c r="L10297" s="12"/>
      <c r="M10297" s="13"/>
    </row>
    <row r="10298" spans="12:13" x14ac:dyDescent="0.2">
      <c r="L10298" s="12"/>
      <c r="M10298" s="13"/>
    </row>
    <row r="10299" spans="12:13" x14ac:dyDescent="0.2">
      <c r="L10299" s="12"/>
      <c r="M10299" s="13"/>
    </row>
    <row r="10300" spans="12:13" x14ac:dyDescent="0.2">
      <c r="L10300" s="12"/>
      <c r="M10300" s="13"/>
    </row>
    <row r="10301" spans="12:13" x14ac:dyDescent="0.2">
      <c r="L10301" s="12"/>
      <c r="M10301" s="13"/>
    </row>
    <row r="10302" spans="12:13" x14ac:dyDescent="0.2">
      <c r="L10302" s="12"/>
      <c r="M10302" s="13"/>
    </row>
    <row r="10303" spans="12:13" x14ac:dyDescent="0.2">
      <c r="L10303" s="12"/>
      <c r="M10303" s="13"/>
    </row>
    <row r="10304" spans="12:13" x14ac:dyDescent="0.2">
      <c r="L10304" s="12"/>
      <c r="M10304" s="13"/>
    </row>
    <row r="10305" spans="12:13" x14ac:dyDescent="0.2">
      <c r="L10305" s="12"/>
      <c r="M10305" s="13"/>
    </row>
    <row r="10306" spans="12:13" x14ac:dyDescent="0.2">
      <c r="L10306" s="12"/>
      <c r="M10306" s="13"/>
    </row>
    <row r="10307" spans="12:13" x14ac:dyDescent="0.2">
      <c r="L10307" s="12"/>
      <c r="M10307" s="13"/>
    </row>
    <row r="10308" spans="12:13" x14ac:dyDescent="0.2">
      <c r="L10308" s="12"/>
      <c r="M10308" s="13"/>
    </row>
    <row r="10309" spans="12:13" x14ac:dyDescent="0.2">
      <c r="L10309" s="12"/>
      <c r="M10309" s="13"/>
    </row>
    <row r="10310" spans="12:13" x14ac:dyDescent="0.2">
      <c r="L10310" s="12"/>
      <c r="M10310" s="13"/>
    </row>
    <row r="10311" spans="12:13" x14ac:dyDescent="0.2">
      <c r="L10311" s="12"/>
      <c r="M10311" s="13"/>
    </row>
    <row r="10312" spans="12:13" x14ac:dyDescent="0.2">
      <c r="L10312" s="12"/>
      <c r="M10312" s="13"/>
    </row>
    <row r="10313" spans="12:13" x14ac:dyDescent="0.2">
      <c r="L10313" s="12"/>
      <c r="M10313" s="13"/>
    </row>
    <row r="10314" spans="12:13" x14ac:dyDescent="0.2">
      <c r="L10314" s="12"/>
      <c r="M10314" s="13"/>
    </row>
    <row r="10315" spans="12:13" x14ac:dyDescent="0.2">
      <c r="L10315" s="12"/>
      <c r="M10315" s="13"/>
    </row>
    <row r="10316" spans="12:13" x14ac:dyDescent="0.2">
      <c r="L10316" s="12"/>
      <c r="M10316" s="13"/>
    </row>
    <row r="10317" spans="12:13" x14ac:dyDescent="0.2">
      <c r="L10317" s="12"/>
      <c r="M10317" s="13"/>
    </row>
    <row r="10318" spans="12:13" x14ac:dyDescent="0.2">
      <c r="L10318" s="12"/>
      <c r="M10318" s="13"/>
    </row>
    <row r="10319" spans="12:13" x14ac:dyDescent="0.2">
      <c r="L10319" s="12"/>
      <c r="M10319" s="13"/>
    </row>
    <row r="10320" spans="12:13" x14ac:dyDescent="0.2">
      <c r="L10320" s="12"/>
      <c r="M10320" s="13"/>
    </row>
    <row r="10321" spans="12:13" x14ac:dyDescent="0.2">
      <c r="L10321" s="12"/>
      <c r="M10321" s="13"/>
    </row>
    <row r="10322" spans="12:13" x14ac:dyDescent="0.2">
      <c r="L10322" s="12"/>
      <c r="M10322" s="13"/>
    </row>
    <row r="10323" spans="12:13" x14ac:dyDescent="0.2">
      <c r="L10323" s="12"/>
      <c r="M10323" s="13"/>
    </row>
    <row r="10324" spans="12:13" x14ac:dyDescent="0.2">
      <c r="L10324" s="12"/>
      <c r="M10324" s="13"/>
    </row>
    <row r="10325" spans="12:13" x14ac:dyDescent="0.2">
      <c r="L10325" s="12"/>
      <c r="M10325" s="13"/>
    </row>
    <row r="10326" spans="12:13" x14ac:dyDescent="0.2">
      <c r="L10326" s="12"/>
      <c r="M10326" s="13"/>
    </row>
    <row r="10327" spans="12:13" x14ac:dyDescent="0.2">
      <c r="L10327" s="12"/>
      <c r="M10327" s="13"/>
    </row>
    <row r="10328" spans="12:13" x14ac:dyDescent="0.2">
      <c r="L10328" s="12"/>
      <c r="M10328" s="13"/>
    </row>
    <row r="10329" spans="12:13" x14ac:dyDescent="0.2">
      <c r="L10329" s="12"/>
      <c r="M10329" s="13"/>
    </row>
    <row r="10330" spans="12:13" x14ac:dyDescent="0.2">
      <c r="L10330" s="12"/>
      <c r="M10330" s="13"/>
    </row>
    <row r="10331" spans="12:13" x14ac:dyDescent="0.2">
      <c r="L10331" s="12"/>
      <c r="M10331" s="13"/>
    </row>
    <row r="10332" spans="12:13" x14ac:dyDescent="0.2">
      <c r="L10332" s="12"/>
      <c r="M10332" s="13"/>
    </row>
    <row r="10333" spans="12:13" x14ac:dyDescent="0.2">
      <c r="L10333" s="12"/>
      <c r="M10333" s="13"/>
    </row>
    <row r="10334" spans="12:13" x14ac:dyDescent="0.2">
      <c r="L10334" s="12"/>
      <c r="M10334" s="13"/>
    </row>
    <row r="10335" spans="12:13" x14ac:dyDescent="0.2">
      <c r="L10335" s="12"/>
      <c r="M10335" s="13"/>
    </row>
    <row r="10336" spans="12:13" x14ac:dyDescent="0.2">
      <c r="L10336" s="12"/>
      <c r="M10336" s="13"/>
    </row>
    <row r="10337" spans="12:13" x14ac:dyDescent="0.2">
      <c r="L10337" s="12"/>
      <c r="M10337" s="13"/>
    </row>
    <row r="10338" spans="12:13" x14ac:dyDescent="0.2">
      <c r="L10338" s="12"/>
      <c r="M10338" s="13"/>
    </row>
    <row r="10339" spans="12:13" x14ac:dyDescent="0.2">
      <c r="L10339" s="12"/>
      <c r="M10339" s="13"/>
    </row>
    <row r="10340" spans="12:13" x14ac:dyDescent="0.2">
      <c r="L10340" s="12"/>
      <c r="M10340" s="13"/>
    </row>
    <row r="10341" spans="12:13" x14ac:dyDescent="0.2">
      <c r="L10341" s="12"/>
      <c r="M10341" s="13"/>
    </row>
    <row r="10342" spans="12:13" x14ac:dyDescent="0.2">
      <c r="L10342" s="12"/>
      <c r="M10342" s="13"/>
    </row>
    <row r="10343" spans="12:13" x14ac:dyDescent="0.2">
      <c r="L10343" s="12"/>
      <c r="M10343" s="13"/>
    </row>
    <row r="10344" spans="12:13" x14ac:dyDescent="0.2">
      <c r="L10344" s="12"/>
      <c r="M10344" s="13"/>
    </row>
    <row r="10345" spans="12:13" x14ac:dyDescent="0.2">
      <c r="L10345" s="12"/>
      <c r="M10345" s="13"/>
    </row>
    <row r="10346" spans="12:13" x14ac:dyDescent="0.2">
      <c r="L10346" s="12"/>
      <c r="M10346" s="13"/>
    </row>
    <row r="10347" spans="12:13" x14ac:dyDescent="0.2">
      <c r="L10347" s="12"/>
      <c r="M10347" s="13"/>
    </row>
    <row r="10348" spans="12:13" x14ac:dyDescent="0.2">
      <c r="L10348" s="12"/>
      <c r="M10348" s="13"/>
    </row>
    <row r="10349" spans="12:13" x14ac:dyDescent="0.2">
      <c r="L10349" s="12"/>
      <c r="M10349" s="13"/>
    </row>
    <row r="10350" spans="12:13" x14ac:dyDescent="0.2">
      <c r="L10350" s="12"/>
      <c r="M10350" s="13"/>
    </row>
    <row r="10351" spans="12:13" x14ac:dyDescent="0.2">
      <c r="L10351" s="12"/>
      <c r="M10351" s="13"/>
    </row>
    <row r="10352" spans="12:13" x14ac:dyDescent="0.2">
      <c r="L10352" s="12"/>
      <c r="M10352" s="13"/>
    </row>
    <row r="10353" spans="12:13" x14ac:dyDescent="0.2">
      <c r="L10353" s="12"/>
      <c r="M10353" s="13"/>
    </row>
    <row r="10354" spans="12:13" x14ac:dyDescent="0.2">
      <c r="L10354" s="12"/>
      <c r="M10354" s="13"/>
    </row>
    <row r="10355" spans="12:13" x14ac:dyDescent="0.2">
      <c r="L10355" s="12"/>
      <c r="M10355" s="13"/>
    </row>
    <row r="10356" spans="12:13" x14ac:dyDescent="0.2">
      <c r="L10356" s="12"/>
      <c r="M10356" s="13"/>
    </row>
    <row r="10357" spans="12:13" x14ac:dyDescent="0.2">
      <c r="L10357" s="12"/>
      <c r="M10357" s="13"/>
    </row>
    <row r="10358" spans="12:13" x14ac:dyDescent="0.2">
      <c r="L10358" s="12"/>
      <c r="M10358" s="13"/>
    </row>
    <row r="10359" spans="12:13" x14ac:dyDescent="0.2">
      <c r="L10359" s="12"/>
      <c r="M10359" s="13"/>
    </row>
    <row r="10360" spans="12:13" x14ac:dyDescent="0.2">
      <c r="L10360" s="12"/>
      <c r="M10360" s="13"/>
    </row>
    <row r="10361" spans="12:13" x14ac:dyDescent="0.2">
      <c r="L10361" s="12"/>
      <c r="M10361" s="13"/>
    </row>
    <row r="10362" spans="12:13" x14ac:dyDescent="0.2">
      <c r="L10362" s="12"/>
      <c r="M10362" s="13"/>
    </row>
    <row r="10363" spans="12:13" x14ac:dyDescent="0.2">
      <c r="L10363" s="12"/>
      <c r="M10363" s="13"/>
    </row>
    <row r="10364" spans="12:13" x14ac:dyDescent="0.2">
      <c r="L10364" s="12"/>
      <c r="M10364" s="13"/>
    </row>
    <row r="10365" spans="12:13" x14ac:dyDescent="0.2">
      <c r="L10365" s="12"/>
      <c r="M10365" s="13"/>
    </row>
    <row r="10366" spans="12:13" x14ac:dyDescent="0.2">
      <c r="L10366" s="12"/>
      <c r="M10366" s="13"/>
    </row>
    <row r="10367" spans="12:13" x14ac:dyDescent="0.2">
      <c r="L10367" s="12"/>
      <c r="M10367" s="13"/>
    </row>
    <row r="10368" spans="12:13" x14ac:dyDescent="0.2">
      <c r="L10368" s="12"/>
      <c r="M10368" s="13"/>
    </row>
    <row r="10369" spans="12:13" x14ac:dyDescent="0.2">
      <c r="L10369" s="12"/>
      <c r="M10369" s="13"/>
    </row>
    <row r="10370" spans="12:13" x14ac:dyDescent="0.2">
      <c r="L10370" s="12"/>
      <c r="M10370" s="13"/>
    </row>
    <row r="10371" spans="12:13" x14ac:dyDescent="0.2">
      <c r="L10371" s="12"/>
      <c r="M10371" s="13"/>
    </row>
    <row r="10372" spans="12:13" x14ac:dyDescent="0.2">
      <c r="L10372" s="12"/>
      <c r="M10372" s="13"/>
    </row>
    <row r="10373" spans="12:13" x14ac:dyDescent="0.2">
      <c r="L10373" s="12"/>
      <c r="M10373" s="13"/>
    </row>
    <row r="10374" spans="12:13" x14ac:dyDescent="0.2">
      <c r="L10374" s="12"/>
      <c r="M10374" s="13"/>
    </row>
    <row r="10375" spans="12:13" x14ac:dyDescent="0.2">
      <c r="L10375" s="12"/>
      <c r="M10375" s="13"/>
    </row>
    <row r="10376" spans="12:13" x14ac:dyDescent="0.2">
      <c r="L10376" s="12"/>
      <c r="M10376" s="13"/>
    </row>
    <row r="10377" spans="12:13" x14ac:dyDescent="0.2">
      <c r="L10377" s="12"/>
      <c r="M10377" s="13"/>
    </row>
    <row r="10378" spans="12:13" x14ac:dyDescent="0.2">
      <c r="L10378" s="12"/>
      <c r="M10378" s="13"/>
    </row>
    <row r="10379" spans="12:13" x14ac:dyDescent="0.2">
      <c r="L10379" s="12"/>
      <c r="M10379" s="13"/>
    </row>
    <row r="10380" spans="12:13" x14ac:dyDescent="0.2">
      <c r="L10380" s="12"/>
      <c r="M10380" s="13"/>
    </row>
    <row r="10381" spans="12:13" x14ac:dyDescent="0.2">
      <c r="L10381" s="12"/>
      <c r="M10381" s="13"/>
    </row>
    <row r="10382" spans="12:13" x14ac:dyDescent="0.2">
      <c r="L10382" s="12"/>
      <c r="M10382" s="13"/>
    </row>
    <row r="10383" spans="12:13" x14ac:dyDescent="0.2">
      <c r="L10383" s="12"/>
      <c r="M10383" s="13"/>
    </row>
    <row r="10384" spans="12:13" x14ac:dyDescent="0.2">
      <c r="L10384" s="12"/>
      <c r="M10384" s="13"/>
    </row>
    <row r="10385" spans="12:13" x14ac:dyDescent="0.2">
      <c r="L10385" s="12"/>
      <c r="M10385" s="13"/>
    </row>
    <row r="10386" spans="12:13" x14ac:dyDescent="0.2">
      <c r="L10386" s="12"/>
      <c r="M10386" s="13"/>
    </row>
    <row r="10387" spans="12:13" x14ac:dyDescent="0.2">
      <c r="L10387" s="12"/>
      <c r="M10387" s="13"/>
    </row>
    <row r="10388" spans="12:13" x14ac:dyDescent="0.2">
      <c r="L10388" s="12"/>
      <c r="M10388" s="13"/>
    </row>
    <row r="10389" spans="12:13" x14ac:dyDescent="0.2">
      <c r="L10389" s="12"/>
      <c r="M10389" s="13"/>
    </row>
    <row r="10390" spans="12:13" x14ac:dyDescent="0.2">
      <c r="L10390" s="12"/>
      <c r="M10390" s="13"/>
    </row>
    <row r="10391" spans="12:13" x14ac:dyDescent="0.2">
      <c r="L10391" s="12"/>
      <c r="M10391" s="13"/>
    </row>
    <row r="10392" spans="12:13" x14ac:dyDescent="0.2">
      <c r="L10392" s="12"/>
      <c r="M10392" s="13"/>
    </row>
    <row r="10393" spans="12:13" x14ac:dyDescent="0.2">
      <c r="L10393" s="12"/>
      <c r="M10393" s="13"/>
    </row>
    <row r="10394" spans="12:13" x14ac:dyDescent="0.2">
      <c r="L10394" s="12"/>
      <c r="M10394" s="13"/>
    </row>
    <row r="10395" spans="12:13" x14ac:dyDescent="0.2">
      <c r="L10395" s="12"/>
      <c r="M10395" s="13"/>
    </row>
    <row r="10396" spans="12:13" x14ac:dyDescent="0.2">
      <c r="L10396" s="12"/>
      <c r="M10396" s="13"/>
    </row>
    <row r="10397" spans="12:13" x14ac:dyDescent="0.2">
      <c r="L10397" s="12"/>
      <c r="M10397" s="13"/>
    </row>
    <row r="10398" spans="12:13" x14ac:dyDescent="0.2">
      <c r="L10398" s="12"/>
      <c r="M10398" s="13"/>
    </row>
    <row r="10399" spans="12:13" x14ac:dyDescent="0.2">
      <c r="L10399" s="12"/>
      <c r="M10399" s="13"/>
    </row>
    <row r="10400" spans="12:13" x14ac:dyDescent="0.2">
      <c r="L10400" s="12"/>
      <c r="M10400" s="13"/>
    </row>
    <row r="10401" spans="12:13" x14ac:dyDescent="0.2">
      <c r="L10401" s="12"/>
      <c r="M10401" s="13"/>
    </row>
    <row r="10402" spans="12:13" x14ac:dyDescent="0.2">
      <c r="L10402" s="12"/>
      <c r="M10402" s="13"/>
    </row>
    <row r="10403" spans="12:13" x14ac:dyDescent="0.2">
      <c r="L10403" s="12"/>
      <c r="M10403" s="13"/>
    </row>
    <row r="10404" spans="12:13" x14ac:dyDescent="0.2">
      <c r="L10404" s="12"/>
      <c r="M10404" s="13"/>
    </row>
    <row r="10405" spans="12:13" x14ac:dyDescent="0.2">
      <c r="L10405" s="12"/>
      <c r="M10405" s="13"/>
    </row>
    <row r="10406" spans="12:13" x14ac:dyDescent="0.2">
      <c r="L10406" s="12"/>
      <c r="M10406" s="13"/>
    </row>
    <row r="10407" spans="12:13" x14ac:dyDescent="0.2">
      <c r="L10407" s="12"/>
      <c r="M10407" s="13"/>
    </row>
    <row r="10408" spans="12:13" x14ac:dyDescent="0.2">
      <c r="L10408" s="12"/>
      <c r="M10408" s="13"/>
    </row>
    <row r="10409" spans="12:13" x14ac:dyDescent="0.2">
      <c r="L10409" s="12"/>
      <c r="M10409" s="13"/>
    </row>
    <row r="10410" spans="12:13" x14ac:dyDescent="0.2">
      <c r="L10410" s="12"/>
      <c r="M10410" s="13"/>
    </row>
    <row r="10411" spans="12:13" x14ac:dyDescent="0.2">
      <c r="L10411" s="12"/>
      <c r="M10411" s="13"/>
    </row>
    <row r="10412" spans="12:13" x14ac:dyDescent="0.2">
      <c r="L10412" s="12"/>
      <c r="M10412" s="13"/>
    </row>
    <row r="10413" spans="12:13" x14ac:dyDescent="0.2">
      <c r="L10413" s="12"/>
      <c r="M10413" s="13"/>
    </row>
    <row r="10414" spans="12:13" x14ac:dyDescent="0.2">
      <c r="L10414" s="12"/>
      <c r="M10414" s="13"/>
    </row>
    <row r="10415" spans="12:13" x14ac:dyDescent="0.2">
      <c r="L10415" s="12"/>
      <c r="M10415" s="13"/>
    </row>
    <row r="10416" spans="12:13" x14ac:dyDescent="0.2">
      <c r="L10416" s="12"/>
      <c r="M10416" s="13"/>
    </row>
    <row r="10417" spans="12:13" x14ac:dyDescent="0.2">
      <c r="L10417" s="12"/>
      <c r="M10417" s="13"/>
    </row>
    <row r="10418" spans="12:13" x14ac:dyDescent="0.2">
      <c r="L10418" s="12"/>
      <c r="M10418" s="13"/>
    </row>
    <row r="10419" spans="12:13" x14ac:dyDescent="0.2">
      <c r="L10419" s="12"/>
      <c r="M10419" s="13"/>
    </row>
    <row r="10420" spans="12:13" x14ac:dyDescent="0.2">
      <c r="L10420" s="12"/>
      <c r="M10420" s="13"/>
    </row>
    <row r="10421" spans="12:13" x14ac:dyDescent="0.2">
      <c r="L10421" s="12"/>
      <c r="M10421" s="13"/>
    </row>
    <row r="10422" spans="12:13" x14ac:dyDescent="0.2">
      <c r="L10422" s="12"/>
      <c r="M10422" s="13"/>
    </row>
    <row r="10423" spans="12:13" x14ac:dyDescent="0.2">
      <c r="L10423" s="12"/>
      <c r="M10423" s="13"/>
    </row>
    <row r="10424" spans="12:13" x14ac:dyDescent="0.2">
      <c r="L10424" s="12"/>
      <c r="M10424" s="13"/>
    </row>
    <row r="10425" spans="12:13" x14ac:dyDescent="0.2">
      <c r="L10425" s="12"/>
      <c r="M10425" s="13"/>
    </row>
    <row r="10426" spans="12:13" x14ac:dyDescent="0.2">
      <c r="L10426" s="12"/>
      <c r="M10426" s="13"/>
    </row>
    <row r="10427" spans="12:13" x14ac:dyDescent="0.2">
      <c r="L10427" s="12"/>
      <c r="M10427" s="13"/>
    </row>
    <row r="10428" spans="12:13" x14ac:dyDescent="0.2">
      <c r="L10428" s="12"/>
      <c r="M10428" s="13"/>
    </row>
    <row r="10429" spans="12:13" x14ac:dyDescent="0.2">
      <c r="L10429" s="12"/>
      <c r="M10429" s="13"/>
    </row>
    <row r="10430" spans="12:13" x14ac:dyDescent="0.2">
      <c r="L10430" s="12"/>
      <c r="M10430" s="13"/>
    </row>
    <row r="10431" spans="12:13" x14ac:dyDescent="0.2">
      <c r="L10431" s="12"/>
      <c r="M10431" s="13"/>
    </row>
    <row r="10432" spans="12:13" x14ac:dyDescent="0.2">
      <c r="L10432" s="12"/>
      <c r="M10432" s="13"/>
    </row>
    <row r="10433" spans="12:13" x14ac:dyDescent="0.2">
      <c r="L10433" s="12"/>
      <c r="M10433" s="13"/>
    </row>
    <row r="10434" spans="12:13" x14ac:dyDescent="0.2">
      <c r="L10434" s="12"/>
      <c r="M10434" s="13"/>
    </row>
    <row r="10435" spans="12:13" x14ac:dyDescent="0.2">
      <c r="L10435" s="12"/>
      <c r="M10435" s="13"/>
    </row>
    <row r="10436" spans="12:13" x14ac:dyDescent="0.2">
      <c r="L10436" s="12"/>
      <c r="M10436" s="13"/>
    </row>
    <row r="10437" spans="12:13" x14ac:dyDescent="0.2">
      <c r="L10437" s="12"/>
      <c r="M10437" s="13"/>
    </row>
    <row r="10438" spans="12:13" x14ac:dyDescent="0.2">
      <c r="L10438" s="12"/>
      <c r="M10438" s="13"/>
    </row>
    <row r="10439" spans="12:13" x14ac:dyDescent="0.2">
      <c r="L10439" s="12"/>
      <c r="M10439" s="13"/>
    </row>
    <row r="10440" spans="12:13" x14ac:dyDescent="0.2">
      <c r="L10440" s="12"/>
      <c r="M10440" s="13"/>
    </row>
    <row r="10441" spans="12:13" x14ac:dyDescent="0.2">
      <c r="L10441" s="12"/>
      <c r="M10441" s="13"/>
    </row>
    <row r="10442" spans="12:13" x14ac:dyDescent="0.2">
      <c r="L10442" s="12"/>
      <c r="M10442" s="13"/>
    </row>
    <row r="10443" spans="12:13" x14ac:dyDescent="0.2">
      <c r="L10443" s="12"/>
      <c r="M10443" s="13"/>
    </row>
    <row r="10444" spans="12:13" x14ac:dyDescent="0.2">
      <c r="L10444" s="12"/>
      <c r="M10444" s="13"/>
    </row>
    <row r="10445" spans="12:13" x14ac:dyDescent="0.2">
      <c r="L10445" s="12"/>
      <c r="M10445" s="13"/>
    </row>
    <row r="10446" spans="12:13" x14ac:dyDescent="0.2">
      <c r="L10446" s="12"/>
      <c r="M10446" s="13"/>
    </row>
    <row r="10447" spans="12:13" x14ac:dyDescent="0.2">
      <c r="L10447" s="12"/>
      <c r="M10447" s="13"/>
    </row>
    <row r="10448" spans="12:13" x14ac:dyDescent="0.2">
      <c r="L10448" s="12"/>
      <c r="M10448" s="13"/>
    </row>
    <row r="10449" spans="12:13" x14ac:dyDescent="0.2">
      <c r="L10449" s="12"/>
      <c r="M10449" s="13"/>
    </row>
    <row r="10450" spans="12:13" x14ac:dyDescent="0.2">
      <c r="L10450" s="12"/>
      <c r="M10450" s="13"/>
    </row>
    <row r="10451" spans="12:13" x14ac:dyDescent="0.2">
      <c r="L10451" s="12"/>
      <c r="M10451" s="13"/>
    </row>
    <row r="10452" spans="12:13" x14ac:dyDescent="0.2">
      <c r="L10452" s="12"/>
      <c r="M10452" s="13"/>
    </row>
    <row r="10453" spans="12:13" x14ac:dyDescent="0.2">
      <c r="L10453" s="12"/>
      <c r="M10453" s="13"/>
    </row>
    <row r="10454" spans="12:13" x14ac:dyDescent="0.2">
      <c r="L10454" s="12"/>
      <c r="M10454" s="13"/>
    </row>
    <row r="10455" spans="12:13" x14ac:dyDescent="0.2">
      <c r="L10455" s="12"/>
      <c r="M10455" s="13"/>
    </row>
    <row r="10456" spans="12:13" x14ac:dyDescent="0.2">
      <c r="L10456" s="12"/>
      <c r="M10456" s="13"/>
    </row>
    <row r="10457" spans="12:13" x14ac:dyDescent="0.2">
      <c r="L10457" s="12"/>
      <c r="M10457" s="13"/>
    </row>
    <row r="10458" spans="12:13" x14ac:dyDescent="0.2">
      <c r="L10458" s="12"/>
      <c r="M10458" s="13"/>
    </row>
    <row r="10459" spans="12:13" x14ac:dyDescent="0.2">
      <c r="L10459" s="12"/>
      <c r="M10459" s="13"/>
    </row>
    <row r="10460" spans="12:13" x14ac:dyDescent="0.2">
      <c r="L10460" s="12"/>
      <c r="M10460" s="13"/>
    </row>
    <row r="10461" spans="12:13" x14ac:dyDescent="0.2">
      <c r="L10461" s="12"/>
      <c r="M10461" s="13"/>
    </row>
    <row r="10462" spans="12:13" x14ac:dyDescent="0.2">
      <c r="L10462" s="12"/>
      <c r="M10462" s="13"/>
    </row>
    <row r="10463" spans="12:13" x14ac:dyDescent="0.2">
      <c r="L10463" s="12"/>
      <c r="M10463" s="13"/>
    </row>
    <row r="10464" spans="12:13" x14ac:dyDescent="0.2">
      <c r="L10464" s="12"/>
      <c r="M10464" s="13"/>
    </row>
    <row r="10465" spans="12:13" x14ac:dyDescent="0.2">
      <c r="L10465" s="12"/>
      <c r="M10465" s="13"/>
    </row>
    <row r="10466" spans="12:13" x14ac:dyDescent="0.2">
      <c r="L10466" s="12"/>
      <c r="M10466" s="13"/>
    </row>
    <row r="10467" spans="12:13" x14ac:dyDescent="0.2">
      <c r="L10467" s="12"/>
      <c r="M10467" s="13"/>
    </row>
    <row r="10468" spans="12:13" x14ac:dyDescent="0.2">
      <c r="L10468" s="12"/>
      <c r="M10468" s="13"/>
    </row>
    <row r="10469" spans="12:13" x14ac:dyDescent="0.2">
      <c r="L10469" s="12"/>
      <c r="M10469" s="13"/>
    </row>
    <row r="10470" spans="12:13" x14ac:dyDescent="0.2">
      <c r="L10470" s="12"/>
      <c r="M10470" s="13"/>
    </row>
    <row r="10471" spans="12:13" x14ac:dyDescent="0.2">
      <c r="L10471" s="12"/>
      <c r="M10471" s="13"/>
    </row>
    <row r="10472" spans="12:13" x14ac:dyDescent="0.2">
      <c r="L10472" s="12"/>
      <c r="M10472" s="13"/>
    </row>
    <row r="10473" spans="12:13" x14ac:dyDescent="0.2">
      <c r="L10473" s="12"/>
      <c r="M10473" s="13"/>
    </row>
    <row r="10474" spans="12:13" x14ac:dyDescent="0.2">
      <c r="L10474" s="12"/>
      <c r="M10474" s="13"/>
    </row>
    <row r="10475" spans="12:13" x14ac:dyDescent="0.2">
      <c r="L10475" s="12"/>
      <c r="M10475" s="13"/>
    </row>
    <row r="10476" spans="12:13" x14ac:dyDescent="0.2">
      <c r="L10476" s="12"/>
      <c r="M10476" s="13"/>
    </row>
    <row r="10477" spans="12:13" x14ac:dyDescent="0.2">
      <c r="L10477" s="12"/>
      <c r="M10477" s="13"/>
    </row>
    <row r="10478" spans="12:13" x14ac:dyDescent="0.2">
      <c r="L10478" s="12"/>
      <c r="M10478" s="13"/>
    </row>
    <row r="10479" spans="12:13" x14ac:dyDescent="0.2">
      <c r="L10479" s="12"/>
      <c r="M10479" s="13"/>
    </row>
    <row r="10480" spans="12:13" x14ac:dyDescent="0.2">
      <c r="L10480" s="12"/>
      <c r="M10480" s="13"/>
    </row>
    <row r="10481" spans="12:13" x14ac:dyDescent="0.2">
      <c r="L10481" s="12"/>
      <c r="M10481" s="13"/>
    </row>
    <row r="10482" spans="12:13" x14ac:dyDescent="0.2">
      <c r="L10482" s="12"/>
      <c r="M10482" s="13"/>
    </row>
    <row r="10483" spans="12:13" x14ac:dyDescent="0.2">
      <c r="L10483" s="12"/>
      <c r="M10483" s="13"/>
    </row>
    <row r="10484" spans="12:13" x14ac:dyDescent="0.2">
      <c r="L10484" s="12"/>
      <c r="M10484" s="13"/>
    </row>
    <row r="10485" spans="12:13" x14ac:dyDescent="0.2">
      <c r="L10485" s="12"/>
      <c r="M10485" s="13"/>
    </row>
    <row r="10486" spans="12:13" x14ac:dyDescent="0.2">
      <c r="L10486" s="12"/>
      <c r="M10486" s="13"/>
    </row>
    <row r="10487" spans="12:13" x14ac:dyDescent="0.2">
      <c r="L10487" s="12"/>
      <c r="M10487" s="13"/>
    </row>
    <row r="10488" spans="12:13" x14ac:dyDescent="0.2">
      <c r="L10488" s="12"/>
      <c r="M10488" s="13"/>
    </row>
    <row r="10489" spans="12:13" x14ac:dyDescent="0.2">
      <c r="L10489" s="12"/>
      <c r="M10489" s="13"/>
    </row>
    <row r="10490" spans="12:13" x14ac:dyDescent="0.2">
      <c r="L10490" s="12"/>
      <c r="M10490" s="13"/>
    </row>
    <row r="10491" spans="12:13" x14ac:dyDescent="0.2">
      <c r="L10491" s="12"/>
      <c r="M10491" s="13"/>
    </row>
    <row r="10492" spans="12:13" x14ac:dyDescent="0.2">
      <c r="L10492" s="12"/>
      <c r="M10492" s="13"/>
    </row>
    <row r="10493" spans="12:13" x14ac:dyDescent="0.2">
      <c r="L10493" s="12"/>
      <c r="M10493" s="13"/>
    </row>
    <row r="10494" spans="12:13" x14ac:dyDescent="0.2">
      <c r="L10494" s="12"/>
      <c r="M10494" s="13"/>
    </row>
    <row r="10495" spans="12:13" x14ac:dyDescent="0.2">
      <c r="L10495" s="12"/>
      <c r="M10495" s="13"/>
    </row>
    <row r="10496" spans="12:13" x14ac:dyDescent="0.2">
      <c r="L10496" s="12"/>
      <c r="M10496" s="13"/>
    </row>
    <row r="10497" spans="12:13" x14ac:dyDescent="0.2">
      <c r="L10497" s="12"/>
      <c r="M10497" s="13"/>
    </row>
    <row r="10498" spans="12:13" x14ac:dyDescent="0.2">
      <c r="L10498" s="17"/>
      <c r="M10498" s="18"/>
    </row>
    <row r="10499" spans="12:13" x14ac:dyDescent="0.2">
      <c r="L10499" s="12"/>
      <c r="M10499" s="13"/>
    </row>
    <row r="10500" spans="12:13" x14ac:dyDescent="0.2">
      <c r="L10500" s="12"/>
      <c r="M10500" s="13"/>
    </row>
    <row r="10501" spans="12:13" x14ac:dyDescent="0.2">
      <c r="L10501" s="12"/>
      <c r="M10501" s="13"/>
    </row>
    <row r="10502" spans="12:13" x14ac:dyDescent="0.2">
      <c r="L10502" s="12"/>
      <c r="M10502" s="13"/>
    </row>
    <row r="10503" spans="12:13" x14ac:dyDescent="0.2">
      <c r="L10503" s="12"/>
      <c r="M10503" s="13"/>
    </row>
    <row r="10504" spans="12:13" x14ac:dyDescent="0.2">
      <c r="L10504" s="12"/>
      <c r="M10504" s="13"/>
    </row>
    <row r="10505" spans="12:13" x14ac:dyDescent="0.2">
      <c r="L10505" s="12"/>
      <c r="M10505" s="13"/>
    </row>
    <row r="10506" spans="12:13" x14ac:dyDescent="0.2">
      <c r="L10506" s="12"/>
      <c r="M10506" s="13"/>
    </row>
    <row r="10507" spans="12:13" x14ac:dyDescent="0.2">
      <c r="L10507" s="12"/>
      <c r="M10507" s="13"/>
    </row>
    <row r="10508" spans="12:13" x14ac:dyDescent="0.2">
      <c r="L10508" s="12"/>
      <c r="M10508" s="13"/>
    </row>
    <row r="10509" spans="12:13" x14ac:dyDescent="0.2">
      <c r="L10509" s="12"/>
      <c r="M10509" s="13"/>
    </row>
    <row r="10510" spans="12:13" x14ac:dyDescent="0.2">
      <c r="L10510" s="12"/>
      <c r="M10510" s="13"/>
    </row>
    <row r="10511" spans="12:13" x14ac:dyDescent="0.2">
      <c r="L10511" s="12"/>
      <c r="M10511" s="13"/>
    </row>
    <row r="10512" spans="12:13" x14ac:dyDescent="0.2">
      <c r="L10512" s="12"/>
      <c r="M10512" s="13"/>
    </row>
    <row r="10513" spans="12:13" x14ac:dyDescent="0.2">
      <c r="L10513" s="12"/>
      <c r="M10513" s="13"/>
    </row>
    <row r="10514" spans="12:13" x14ac:dyDescent="0.2">
      <c r="L10514" s="12"/>
      <c r="M10514" s="13"/>
    </row>
    <row r="10515" spans="12:13" x14ac:dyDescent="0.2">
      <c r="L10515" s="12"/>
      <c r="M10515" s="13"/>
    </row>
    <row r="10516" spans="12:13" x14ac:dyDescent="0.2">
      <c r="L10516" s="12"/>
      <c r="M10516" s="13"/>
    </row>
    <row r="10517" spans="12:13" x14ac:dyDescent="0.2">
      <c r="L10517" s="12"/>
      <c r="M10517" s="13"/>
    </row>
    <row r="10518" spans="12:13" x14ac:dyDescent="0.2">
      <c r="L10518" s="12"/>
      <c r="M10518" s="13"/>
    </row>
    <row r="10519" spans="12:13" x14ac:dyDescent="0.2">
      <c r="L10519" s="12"/>
      <c r="M10519" s="13"/>
    </row>
    <row r="10520" spans="12:13" x14ac:dyDescent="0.2">
      <c r="L10520" s="12"/>
      <c r="M10520" s="13"/>
    </row>
    <row r="10521" spans="12:13" x14ac:dyDescent="0.2">
      <c r="L10521" s="12"/>
      <c r="M10521" s="13"/>
    </row>
    <row r="10522" spans="12:13" x14ac:dyDescent="0.2">
      <c r="L10522" s="12"/>
      <c r="M10522" s="13"/>
    </row>
    <row r="10523" spans="12:13" x14ac:dyDescent="0.2">
      <c r="L10523" s="12"/>
      <c r="M10523" s="13"/>
    </row>
    <row r="10524" spans="12:13" x14ac:dyDescent="0.2">
      <c r="L10524" s="12"/>
      <c r="M10524" s="13"/>
    </row>
    <row r="10525" spans="12:13" x14ac:dyDescent="0.2">
      <c r="L10525" s="12"/>
      <c r="M10525" s="13"/>
    </row>
    <row r="10526" spans="12:13" x14ac:dyDescent="0.2">
      <c r="L10526" s="12"/>
      <c r="M10526" s="13"/>
    </row>
    <row r="10527" spans="12:13" x14ac:dyDescent="0.2">
      <c r="L10527" s="12"/>
      <c r="M10527" s="13"/>
    </row>
    <row r="10528" spans="12:13" x14ac:dyDescent="0.2">
      <c r="L10528" s="12"/>
      <c r="M10528" s="13"/>
    </row>
    <row r="10529" spans="12:13" x14ac:dyDescent="0.2">
      <c r="L10529" s="12"/>
      <c r="M10529" s="13"/>
    </row>
    <row r="10530" spans="12:13" x14ac:dyDescent="0.2">
      <c r="L10530" s="12"/>
      <c r="M10530" s="13"/>
    </row>
    <row r="10531" spans="12:13" x14ac:dyDescent="0.2">
      <c r="L10531" s="12"/>
      <c r="M10531" s="13"/>
    </row>
    <row r="10532" spans="12:13" x14ac:dyDescent="0.2">
      <c r="L10532" s="12"/>
      <c r="M10532" s="13"/>
    </row>
    <row r="10533" spans="12:13" x14ac:dyDescent="0.2">
      <c r="L10533" s="12"/>
      <c r="M10533" s="13"/>
    </row>
    <row r="10534" spans="12:13" x14ac:dyDescent="0.2">
      <c r="L10534" s="12"/>
      <c r="M10534" s="13"/>
    </row>
    <row r="10535" spans="12:13" x14ac:dyDescent="0.2">
      <c r="L10535" s="12"/>
      <c r="M10535" s="13"/>
    </row>
    <row r="10536" spans="12:13" x14ac:dyDescent="0.2">
      <c r="L10536" s="12"/>
      <c r="M10536" s="13"/>
    </row>
    <row r="10537" spans="12:13" x14ac:dyDescent="0.2">
      <c r="L10537" s="12"/>
      <c r="M10537" s="13"/>
    </row>
    <row r="10538" spans="12:13" x14ac:dyDescent="0.2">
      <c r="L10538" s="12"/>
      <c r="M10538" s="13"/>
    </row>
    <row r="10539" spans="12:13" x14ac:dyDescent="0.2">
      <c r="L10539" s="12"/>
      <c r="M10539" s="13"/>
    </row>
    <row r="10540" spans="12:13" x14ac:dyDescent="0.2">
      <c r="L10540" s="12"/>
      <c r="M10540" s="13"/>
    </row>
    <row r="10541" spans="12:13" x14ac:dyDescent="0.2">
      <c r="L10541" s="12"/>
      <c r="M10541" s="13"/>
    </row>
    <row r="10542" spans="12:13" x14ac:dyDescent="0.2">
      <c r="L10542" s="12"/>
      <c r="M10542" s="13"/>
    </row>
    <row r="10543" spans="12:13" x14ac:dyDescent="0.2">
      <c r="L10543" s="12"/>
      <c r="M10543" s="13"/>
    </row>
    <row r="10544" spans="12:13" x14ac:dyDescent="0.2">
      <c r="L10544" s="12"/>
      <c r="M10544" s="13"/>
    </row>
    <row r="10545" spans="12:13" x14ac:dyDescent="0.2">
      <c r="L10545" s="12"/>
      <c r="M10545" s="13"/>
    </row>
    <row r="10546" spans="12:13" x14ac:dyDescent="0.2">
      <c r="L10546" s="12"/>
      <c r="M10546" s="13"/>
    </row>
    <row r="10547" spans="12:13" x14ac:dyDescent="0.2">
      <c r="L10547" s="12"/>
      <c r="M10547" s="13"/>
    </row>
    <row r="10548" spans="12:13" x14ac:dyDescent="0.2">
      <c r="L10548" s="12"/>
      <c r="M10548" s="13"/>
    </row>
    <row r="10549" spans="12:13" x14ac:dyDescent="0.2">
      <c r="L10549" s="12"/>
      <c r="M10549" s="13"/>
    </row>
    <row r="10550" spans="12:13" x14ac:dyDescent="0.2">
      <c r="L10550" s="12"/>
      <c r="M10550" s="13"/>
    </row>
    <row r="10551" spans="12:13" x14ac:dyDescent="0.2">
      <c r="L10551" s="12"/>
      <c r="M10551" s="13"/>
    </row>
    <row r="10552" spans="12:13" x14ac:dyDescent="0.2">
      <c r="L10552" s="12"/>
      <c r="M10552" s="13"/>
    </row>
    <row r="10553" spans="12:13" x14ac:dyDescent="0.2">
      <c r="L10553" s="12"/>
      <c r="M10553" s="13"/>
    </row>
    <row r="10554" spans="12:13" x14ac:dyDescent="0.2">
      <c r="L10554" s="12"/>
      <c r="M10554" s="13"/>
    </row>
    <row r="10555" spans="12:13" x14ac:dyDescent="0.2">
      <c r="L10555" s="12"/>
      <c r="M10555" s="13"/>
    </row>
    <row r="10556" spans="12:13" x14ac:dyDescent="0.2">
      <c r="L10556" s="12"/>
      <c r="M10556" s="13"/>
    </row>
    <row r="10557" spans="12:13" x14ac:dyDescent="0.2">
      <c r="L10557" s="12"/>
      <c r="M10557" s="13"/>
    </row>
    <row r="10558" spans="12:13" x14ac:dyDescent="0.2">
      <c r="L10558" s="12"/>
      <c r="M10558" s="13"/>
    </row>
    <row r="10559" spans="12:13" x14ac:dyDescent="0.2">
      <c r="L10559" s="12"/>
      <c r="M10559" s="13"/>
    </row>
    <row r="10560" spans="12:13" x14ac:dyDescent="0.2">
      <c r="L10560" s="12"/>
      <c r="M10560" s="13"/>
    </row>
    <row r="10561" spans="12:13" x14ac:dyDescent="0.2">
      <c r="L10561" s="12"/>
      <c r="M10561" s="13"/>
    </row>
    <row r="10562" spans="12:13" x14ac:dyDescent="0.2">
      <c r="L10562" s="12"/>
      <c r="M10562" s="13"/>
    </row>
    <row r="10563" spans="12:13" x14ac:dyDescent="0.2">
      <c r="L10563" s="12"/>
      <c r="M10563" s="13"/>
    </row>
    <row r="10564" spans="12:13" x14ac:dyDescent="0.2">
      <c r="L10564" s="12"/>
      <c r="M10564" s="13"/>
    </row>
    <row r="10565" spans="12:13" x14ac:dyDescent="0.2">
      <c r="L10565" s="12"/>
      <c r="M10565" s="13"/>
    </row>
    <row r="10566" spans="12:13" x14ac:dyDescent="0.2">
      <c r="L10566" s="12"/>
      <c r="M10566" s="13"/>
    </row>
    <row r="10567" spans="12:13" x14ac:dyDescent="0.2">
      <c r="L10567" s="12"/>
      <c r="M10567" s="13"/>
    </row>
    <row r="10568" spans="12:13" x14ac:dyDescent="0.2">
      <c r="L10568" s="12"/>
      <c r="M10568" s="13"/>
    </row>
    <row r="10569" spans="12:13" x14ac:dyDescent="0.2">
      <c r="L10569" s="12"/>
      <c r="M10569" s="13"/>
    </row>
    <row r="10570" spans="12:13" x14ac:dyDescent="0.2">
      <c r="L10570" s="12"/>
      <c r="M10570" s="13"/>
    </row>
    <row r="10571" spans="12:13" x14ac:dyDescent="0.2">
      <c r="L10571" s="12"/>
      <c r="M10571" s="13"/>
    </row>
    <row r="10572" spans="12:13" x14ac:dyDescent="0.2">
      <c r="L10572" s="12"/>
      <c r="M10572" s="13"/>
    </row>
    <row r="10573" spans="12:13" x14ac:dyDescent="0.2">
      <c r="L10573" s="12"/>
      <c r="M10573" s="13"/>
    </row>
    <row r="10574" spans="12:13" x14ac:dyDescent="0.2">
      <c r="L10574" s="12"/>
      <c r="M10574" s="13"/>
    </row>
    <row r="10575" spans="12:13" x14ac:dyDescent="0.2">
      <c r="L10575" s="12"/>
      <c r="M10575" s="13"/>
    </row>
    <row r="10576" spans="12:13" x14ac:dyDescent="0.2">
      <c r="L10576" s="12"/>
      <c r="M10576" s="13"/>
    </row>
    <row r="10577" spans="12:13" x14ac:dyDescent="0.2">
      <c r="L10577" s="12"/>
      <c r="M10577" s="13"/>
    </row>
    <row r="10578" spans="12:13" x14ac:dyDescent="0.2">
      <c r="L10578" s="12"/>
      <c r="M10578" s="13"/>
    </row>
    <row r="10579" spans="12:13" x14ac:dyDescent="0.2">
      <c r="L10579" s="12"/>
      <c r="M10579" s="13"/>
    </row>
    <row r="10580" spans="12:13" x14ac:dyDescent="0.2">
      <c r="L10580" s="12"/>
      <c r="M10580" s="13"/>
    </row>
    <row r="10581" spans="12:13" x14ac:dyDescent="0.2">
      <c r="L10581" s="12"/>
      <c r="M10581" s="13"/>
    </row>
    <row r="10582" spans="12:13" x14ac:dyDescent="0.2">
      <c r="L10582" s="12"/>
      <c r="M10582" s="13"/>
    </row>
    <row r="10583" spans="12:13" x14ac:dyDescent="0.2">
      <c r="L10583" s="12"/>
      <c r="M10583" s="13"/>
    </row>
    <row r="10584" spans="12:13" x14ac:dyDescent="0.2">
      <c r="L10584" s="12"/>
      <c r="M10584" s="13"/>
    </row>
    <row r="10585" spans="12:13" x14ac:dyDescent="0.2">
      <c r="L10585" s="12"/>
      <c r="M10585" s="13"/>
    </row>
    <row r="10586" spans="12:13" x14ac:dyDescent="0.2">
      <c r="L10586" s="12"/>
      <c r="M10586" s="13"/>
    </row>
    <row r="10587" spans="12:13" x14ac:dyDescent="0.2">
      <c r="L10587" s="12"/>
      <c r="M10587" s="13"/>
    </row>
    <row r="10588" spans="12:13" x14ac:dyDescent="0.2">
      <c r="L10588" s="12"/>
      <c r="M10588" s="13"/>
    </row>
    <row r="10589" spans="12:13" x14ac:dyDescent="0.2">
      <c r="L10589" s="12"/>
      <c r="M10589" s="13"/>
    </row>
    <row r="10590" spans="12:13" x14ac:dyDescent="0.2">
      <c r="L10590" s="12"/>
      <c r="M10590" s="13"/>
    </row>
    <row r="10591" spans="12:13" x14ac:dyDescent="0.2">
      <c r="L10591" s="12"/>
      <c r="M10591" s="13"/>
    </row>
    <row r="10592" spans="12:13" x14ac:dyDescent="0.2">
      <c r="L10592" s="12"/>
      <c r="M10592" s="13"/>
    </row>
    <row r="10593" spans="12:13" x14ac:dyDescent="0.2">
      <c r="L10593" s="12"/>
      <c r="M10593" s="13"/>
    </row>
    <row r="10594" spans="12:13" x14ac:dyDescent="0.2">
      <c r="L10594" s="12"/>
      <c r="M10594" s="13"/>
    </row>
    <row r="10595" spans="12:13" x14ac:dyDescent="0.2">
      <c r="L10595" s="12"/>
      <c r="M10595" s="13"/>
    </row>
    <row r="10596" spans="12:13" x14ac:dyDescent="0.2">
      <c r="L10596" s="12"/>
      <c r="M10596" s="13"/>
    </row>
    <row r="10597" spans="12:13" x14ac:dyDescent="0.2">
      <c r="L10597" s="12"/>
      <c r="M10597" s="13"/>
    </row>
    <row r="10598" spans="12:13" x14ac:dyDescent="0.2">
      <c r="L10598" s="12"/>
      <c r="M10598" s="13"/>
    </row>
    <row r="10599" spans="12:13" x14ac:dyDescent="0.2">
      <c r="L10599" s="12"/>
      <c r="M10599" s="13"/>
    </row>
    <row r="10600" spans="12:13" x14ac:dyDescent="0.2">
      <c r="L10600" s="12"/>
      <c r="M10600" s="13"/>
    </row>
    <row r="10601" spans="12:13" x14ac:dyDescent="0.2">
      <c r="L10601" s="12"/>
      <c r="M10601" s="13"/>
    </row>
    <row r="10602" spans="12:13" x14ac:dyDescent="0.2">
      <c r="L10602" s="12"/>
      <c r="M10602" s="13"/>
    </row>
    <row r="10603" spans="12:13" x14ac:dyDescent="0.2">
      <c r="L10603" s="12"/>
      <c r="M10603" s="13"/>
    </row>
    <row r="10604" spans="12:13" x14ac:dyDescent="0.2">
      <c r="L10604" s="12"/>
      <c r="M10604" s="13"/>
    </row>
    <row r="10605" spans="12:13" x14ac:dyDescent="0.2">
      <c r="L10605" s="12"/>
      <c r="M10605" s="13"/>
    </row>
    <row r="10606" spans="12:13" x14ac:dyDescent="0.2">
      <c r="L10606" s="12"/>
      <c r="M10606" s="13"/>
    </row>
    <row r="10607" spans="12:13" x14ac:dyDescent="0.2">
      <c r="L10607" s="12"/>
      <c r="M10607" s="13"/>
    </row>
    <row r="10608" spans="12:13" x14ac:dyDescent="0.2">
      <c r="L10608" s="12"/>
      <c r="M10608" s="13"/>
    </row>
    <row r="10609" spans="12:13" x14ac:dyDescent="0.2">
      <c r="L10609" s="12"/>
      <c r="M10609" s="13"/>
    </row>
    <row r="10610" spans="12:13" x14ac:dyDescent="0.2">
      <c r="L10610" s="12"/>
      <c r="M10610" s="13"/>
    </row>
    <row r="10611" spans="12:13" x14ac:dyDescent="0.2">
      <c r="L10611" s="12"/>
      <c r="M10611" s="13"/>
    </row>
    <row r="10612" spans="12:13" x14ac:dyDescent="0.2">
      <c r="L10612" s="12"/>
      <c r="M10612" s="13"/>
    </row>
    <row r="10613" spans="12:13" x14ac:dyDescent="0.2">
      <c r="L10613" s="12"/>
      <c r="M10613" s="13"/>
    </row>
    <row r="10614" spans="12:13" x14ac:dyDescent="0.2">
      <c r="L10614" s="12"/>
      <c r="M10614" s="13"/>
    </row>
    <row r="10615" spans="12:13" x14ac:dyDescent="0.2">
      <c r="L10615" s="12"/>
      <c r="M10615" s="13"/>
    </row>
    <row r="10616" spans="12:13" x14ac:dyDescent="0.2">
      <c r="L10616" s="12"/>
      <c r="M10616" s="13"/>
    </row>
    <row r="10617" spans="12:13" x14ac:dyDescent="0.2">
      <c r="L10617" s="12"/>
      <c r="M10617" s="13"/>
    </row>
    <row r="10618" spans="12:13" x14ac:dyDescent="0.2">
      <c r="L10618" s="12"/>
      <c r="M10618" s="13"/>
    </row>
    <row r="10619" spans="12:13" x14ac:dyDescent="0.2">
      <c r="L10619" s="12"/>
      <c r="M10619" s="13"/>
    </row>
    <row r="10620" spans="12:13" x14ac:dyDescent="0.2">
      <c r="L10620" s="12"/>
      <c r="M10620" s="13"/>
    </row>
    <row r="10621" spans="12:13" x14ac:dyDescent="0.2">
      <c r="L10621" s="12"/>
      <c r="M10621" s="13"/>
    </row>
    <row r="10622" spans="12:13" x14ac:dyDescent="0.2">
      <c r="L10622" s="12"/>
      <c r="M10622" s="13"/>
    </row>
    <row r="10623" spans="12:13" x14ac:dyDescent="0.2">
      <c r="L10623" s="12"/>
      <c r="M10623" s="13"/>
    </row>
    <row r="10624" spans="12:13" x14ac:dyDescent="0.2">
      <c r="L10624" s="12"/>
      <c r="M10624" s="13"/>
    </row>
    <row r="10625" spans="12:13" x14ac:dyDescent="0.2">
      <c r="L10625" s="12"/>
      <c r="M10625" s="13"/>
    </row>
    <row r="10626" spans="12:13" x14ac:dyDescent="0.2">
      <c r="L10626" s="12"/>
      <c r="M10626" s="13"/>
    </row>
    <row r="10627" spans="12:13" x14ac:dyDescent="0.2">
      <c r="L10627" s="12"/>
      <c r="M10627" s="13"/>
    </row>
    <row r="10628" spans="12:13" x14ac:dyDescent="0.2">
      <c r="L10628" s="12"/>
      <c r="M10628" s="13"/>
    </row>
    <row r="10629" spans="12:13" x14ac:dyDescent="0.2">
      <c r="L10629" s="12"/>
      <c r="M10629" s="13"/>
    </row>
    <row r="10630" spans="12:13" x14ac:dyDescent="0.2">
      <c r="L10630" s="12"/>
      <c r="M10630" s="13"/>
    </row>
    <row r="10631" spans="12:13" x14ac:dyDescent="0.2">
      <c r="L10631" s="12"/>
      <c r="M10631" s="13"/>
    </row>
    <row r="10632" spans="12:13" x14ac:dyDescent="0.2">
      <c r="L10632" s="12"/>
      <c r="M10632" s="13"/>
    </row>
    <row r="10633" spans="12:13" x14ac:dyDescent="0.2">
      <c r="L10633" s="12"/>
      <c r="M10633" s="13"/>
    </row>
    <row r="10634" spans="12:13" x14ac:dyDescent="0.2">
      <c r="L10634" s="12"/>
      <c r="M10634" s="13"/>
    </row>
    <row r="10635" spans="12:13" x14ac:dyDescent="0.2">
      <c r="L10635" s="12"/>
      <c r="M10635" s="13"/>
    </row>
    <row r="10636" spans="12:13" x14ac:dyDescent="0.2">
      <c r="L10636" s="12"/>
      <c r="M10636" s="13"/>
    </row>
    <row r="10637" spans="12:13" x14ac:dyDescent="0.2">
      <c r="L10637" s="12"/>
      <c r="M10637" s="13"/>
    </row>
    <row r="10638" spans="12:13" x14ac:dyDescent="0.2">
      <c r="L10638" s="12"/>
      <c r="M10638" s="13"/>
    </row>
    <row r="10639" spans="12:13" x14ac:dyDescent="0.2">
      <c r="L10639" s="12"/>
      <c r="M10639" s="13"/>
    </row>
    <row r="10640" spans="12:13" x14ac:dyDescent="0.2">
      <c r="L10640" s="12"/>
      <c r="M10640" s="13"/>
    </row>
    <row r="10641" spans="12:13" x14ac:dyDescent="0.2">
      <c r="L10641" s="12"/>
      <c r="M10641" s="13"/>
    </row>
    <row r="10642" spans="12:13" x14ac:dyDescent="0.2">
      <c r="L10642" s="12"/>
      <c r="M10642" s="13"/>
    </row>
    <row r="10643" spans="12:13" x14ac:dyDescent="0.2">
      <c r="L10643" s="12"/>
      <c r="M10643" s="13"/>
    </row>
    <row r="10644" spans="12:13" x14ac:dyDescent="0.2">
      <c r="L10644" s="12"/>
      <c r="M10644" s="13"/>
    </row>
    <row r="10645" spans="12:13" x14ac:dyDescent="0.2">
      <c r="L10645" s="12"/>
      <c r="M10645" s="13"/>
    </row>
    <row r="10646" spans="12:13" x14ac:dyDescent="0.2">
      <c r="L10646" s="12"/>
      <c r="M10646" s="13"/>
    </row>
    <row r="10647" spans="12:13" x14ac:dyDescent="0.2">
      <c r="L10647" s="12"/>
      <c r="M10647" s="13"/>
    </row>
    <row r="10648" spans="12:13" x14ac:dyDescent="0.2">
      <c r="L10648" s="12"/>
      <c r="M10648" s="13"/>
    </row>
    <row r="10649" spans="12:13" x14ac:dyDescent="0.2">
      <c r="L10649" s="12"/>
      <c r="M10649" s="13"/>
    </row>
    <row r="10650" spans="12:13" x14ac:dyDescent="0.2">
      <c r="L10650" s="12"/>
      <c r="M10650" s="13"/>
    </row>
    <row r="10651" spans="12:13" x14ac:dyDescent="0.2">
      <c r="L10651" s="12"/>
      <c r="M10651" s="13"/>
    </row>
    <row r="10652" spans="12:13" x14ac:dyDescent="0.2">
      <c r="L10652" s="12"/>
      <c r="M10652" s="13"/>
    </row>
    <row r="10653" spans="12:13" x14ac:dyDescent="0.2">
      <c r="L10653" s="12"/>
      <c r="M10653" s="13"/>
    </row>
    <row r="10654" spans="12:13" x14ac:dyDescent="0.2">
      <c r="L10654" s="12"/>
      <c r="M10654" s="13"/>
    </row>
    <row r="10655" spans="12:13" x14ac:dyDescent="0.2">
      <c r="L10655" s="12"/>
      <c r="M10655" s="13"/>
    </row>
    <row r="10656" spans="12:13" x14ac:dyDescent="0.2">
      <c r="L10656" s="12"/>
      <c r="M10656" s="13"/>
    </row>
    <row r="10657" spans="12:13" x14ac:dyDescent="0.2">
      <c r="L10657" s="12"/>
      <c r="M10657" s="13"/>
    </row>
    <row r="10658" spans="12:13" x14ac:dyDescent="0.2">
      <c r="L10658" s="12"/>
      <c r="M10658" s="13"/>
    </row>
    <row r="10659" spans="12:13" x14ac:dyDescent="0.2">
      <c r="L10659" s="12"/>
      <c r="M10659" s="13"/>
    </row>
    <row r="10660" spans="12:13" x14ac:dyDescent="0.2">
      <c r="L10660" s="12"/>
      <c r="M10660" s="13"/>
    </row>
    <row r="10661" spans="12:13" x14ac:dyDescent="0.2">
      <c r="L10661" s="12"/>
      <c r="M10661" s="13"/>
    </row>
    <row r="10662" spans="12:13" x14ac:dyDescent="0.2">
      <c r="L10662" s="12"/>
      <c r="M10662" s="13"/>
    </row>
    <row r="10663" spans="12:13" x14ac:dyDescent="0.2">
      <c r="L10663" s="12"/>
      <c r="M10663" s="13"/>
    </row>
    <row r="10664" spans="12:13" x14ac:dyDescent="0.2">
      <c r="L10664" s="12"/>
      <c r="M10664" s="13"/>
    </row>
    <row r="10665" spans="12:13" x14ac:dyDescent="0.2">
      <c r="L10665" s="12"/>
      <c r="M10665" s="13"/>
    </row>
    <row r="10666" spans="12:13" x14ac:dyDescent="0.2">
      <c r="L10666" s="12"/>
      <c r="M10666" s="13"/>
    </row>
    <row r="10667" spans="12:13" x14ac:dyDescent="0.2">
      <c r="L10667" s="12"/>
      <c r="M10667" s="13"/>
    </row>
    <row r="10668" spans="12:13" x14ac:dyDescent="0.2">
      <c r="L10668" s="12"/>
      <c r="M10668" s="13"/>
    </row>
    <row r="10669" spans="12:13" x14ac:dyDescent="0.2">
      <c r="L10669" s="12"/>
      <c r="M10669" s="13"/>
    </row>
    <row r="10670" spans="12:13" x14ac:dyDescent="0.2">
      <c r="L10670" s="12"/>
      <c r="M10670" s="13"/>
    </row>
    <row r="10671" spans="12:13" x14ac:dyDescent="0.2">
      <c r="L10671" s="12"/>
      <c r="M10671" s="13"/>
    </row>
    <row r="10672" spans="12:13" x14ac:dyDescent="0.2">
      <c r="L10672" s="12"/>
      <c r="M10672" s="13"/>
    </row>
    <row r="10673" spans="12:13" x14ac:dyDescent="0.2">
      <c r="L10673" s="12"/>
      <c r="M10673" s="13"/>
    </row>
    <row r="10674" spans="12:13" x14ac:dyDescent="0.2">
      <c r="L10674" s="12"/>
      <c r="M10674" s="13"/>
    </row>
    <row r="10675" spans="12:13" x14ac:dyDescent="0.2">
      <c r="L10675" s="12"/>
      <c r="M10675" s="13"/>
    </row>
    <row r="10676" spans="12:13" x14ac:dyDescent="0.2">
      <c r="L10676" s="12"/>
      <c r="M10676" s="13"/>
    </row>
    <row r="10677" spans="12:13" x14ac:dyDescent="0.2">
      <c r="L10677" s="12"/>
      <c r="M10677" s="13"/>
    </row>
    <row r="10678" spans="12:13" x14ac:dyDescent="0.2">
      <c r="L10678" s="12"/>
      <c r="M10678" s="13"/>
    </row>
    <row r="10679" spans="12:13" x14ac:dyDescent="0.2">
      <c r="L10679" s="12"/>
      <c r="M10679" s="13"/>
    </row>
    <row r="10680" spans="12:13" x14ac:dyDescent="0.2">
      <c r="L10680" s="12"/>
      <c r="M10680" s="13"/>
    </row>
    <row r="10681" spans="12:13" x14ac:dyDescent="0.2">
      <c r="L10681" s="12"/>
      <c r="M10681" s="13"/>
    </row>
    <row r="10682" spans="12:13" x14ac:dyDescent="0.2">
      <c r="L10682" s="12"/>
      <c r="M10682" s="13"/>
    </row>
    <row r="10683" spans="12:13" x14ac:dyDescent="0.2">
      <c r="L10683" s="12"/>
      <c r="M10683" s="13"/>
    </row>
    <row r="10684" spans="12:13" x14ac:dyDescent="0.2">
      <c r="L10684" s="12"/>
      <c r="M10684" s="13"/>
    </row>
    <row r="10685" spans="12:13" x14ac:dyDescent="0.2">
      <c r="L10685" s="12"/>
      <c r="M10685" s="13"/>
    </row>
    <row r="10686" spans="12:13" x14ac:dyDescent="0.2">
      <c r="L10686" s="12"/>
      <c r="M10686" s="13"/>
    </row>
    <row r="10687" spans="12:13" x14ac:dyDescent="0.2">
      <c r="L10687" s="12"/>
      <c r="M10687" s="13"/>
    </row>
    <row r="10688" spans="12:13" x14ac:dyDescent="0.2">
      <c r="L10688" s="12"/>
      <c r="M10688" s="13"/>
    </row>
    <row r="10689" spans="12:13" x14ac:dyDescent="0.2">
      <c r="L10689" s="12"/>
      <c r="M10689" s="13"/>
    </row>
    <row r="10690" spans="12:13" x14ac:dyDescent="0.2">
      <c r="L10690" s="12"/>
      <c r="M10690" s="13"/>
    </row>
    <row r="10691" spans="12:13" x14ac:dyDescent="0.2">
      <c r="L10691" s="12"/>
      <c r="M10691" s="13"/>
    </row>
    <row r="10692" spans="12:13" x14ac:dyDescent="0.2">
      <c r="L10692" s="12"/>
      <c r="M10692" s="13"/>
    </row>
    <row r="10693" spans="12:13" x14ac:dyDescent="0.2">
      <c r="L10693" s="12"/>
      <c r="M10693" s="13"/>
    </row>
    <row r="10694" spans="12:13" x14ac:dyDescent="0.2">
      <c r="L10694" s="12"/>
      <c r="M10694" s="13"/>
    </row>
    <row r="10695" spans="12:13" x14ac:dyDescent="0.2">
      <c r="L10695" s="12"/>
      <c r="M10695" s="13"/>
    </row>
    <row r="10696" spans="12:13" x14ac:dyDescent="0.2">
      <c r="L10696" s="12"/>
      <c r="M10696" s="13"/>
    </row>
    <row r="10697" spans="12:13" x14ac:dyDescent="0.2">
      <c r="L10697" s="12"/>
      <c r="M10697" s="13"/>
    </row>
    <row r="10698" spans="12:13" x14ac:dyDescent="0.2">
      <c r="L10698" s="12"/>
      <c r="M10698" s="13"/>
    </row>
    <row r="10699" spans="12:13" x14ac:dyDescent="0.2">
      <c r="L10699" s="12"/>
      <c r="M10699" s="13"/>
    </row>
    <row r="10700" spans="12:13" x14ac:dyDescent="0.2">
      <c r="L10700" s="12"/>
      <c r="M10700" s="13"/>
    </row>
    <row r="10701" spans="12:13" x14ac:dyDescent="0.2">
      <c r="L10701" s="12"/>
      <c r="M10701" s="13"/>
    </row>
    <row r="10702" spans="12:13" x14ac:dyDescent="0.2">
      <c r="L10702" s="12"/>
      <c r="M10702" s="13"/>
    </row>
    <row r="10703" spans="12:13" x14ac:dyDescent="0.2">
      <c r="L10703" s="12"/>
      <c r="M10703" s="13"/>
    </row>
    <row r="10704" spans="12:13" x14ac:dyDescent="0.2">
      <c r="L10704" s="12"/>
      <c r="M10704" s="13"/>
    </row>
    <row r="10705" spans="12:13" x14ac:dyDescent="0.2">
      <c r="L10705" s="12"/>
      <c r="M10705" s="13"/>
    </row>
    <row r="10706" spans="12:13" x14ac:dyDescent="0.2">
      <c r="L10706" s="12"/>
      <c r="M10706" s="13"/>
    </row>
    <row r="10707" spans="12:13" x14ac:dyDescent="0.2">
      <c r="L10707" s="12"/>
      <c r="M10707" s="13"/>
    </row>
    <row r="10708" spans="12:13" x14ac:dyDescent="0.2">
      <c r="L10708" s="12"/>
      <c r="M10708" s="13"/>
    </row>
    <row r="10709" spans="12:13" x14ac:dyDescent="0.2">
      <c r="L10709" s="12"/>
      <c r="M10709" s="13"/>
    </row>
    <row r="10710" spans="12:13" x14ac:dyDescent="0.2">
      <c r="L10710" s="12"/>
      <c r="M10710" s="13"/>
    </row>
    <row r="10711" spans="12:13" x14ac:dyDescent="0.2">
      <c r="L10711" s="12"/>
      <c r="M10711" s="13"/>
    </row>
    <row r="10712" spans="12:13" x14ac:dyDescent="0.2">
      <c r="L10712" s="12"/>
      <c r="M10712" s="13"/>
    </row>
    <row r="10713" spans="12:13" x14ac:dyDescent="0.2">
      <c r="L10713" s="12"/>
      <c r="M10713" s="13"/>
    </row>
    <row r="10714" spans="12:13" x14ac:dyDescent="0.2">
      <c r="L10714" s="12"/>
      <c r="M10714" s="13"/>
    </row>
    <row r="10715" spans="12:13" x14ac:dyDescent="0.2">
      <c r="L10715" s="12"/>
      <c r="M10715" s="13"/>
    </row>
    <row r="10716" spans="12:13" x14ac:dyDescent="0.2">
      <c r="L10716" s="12"/>
      <c r="M10716" s="13"/>
    </row>
    <row r="10717" spans="12:13" x14ac:dyDescent="0.2">
      <c r="L10717" s="12"/>
      <c r="M10717" s="13"/>
    </row>
    <row r="10718" spans="12:13" x14ac:dyDescent="0.2">
      <c r="L10718" s="12"/>
      <c r="M10718" s="13"/>
    </row>
    <row r="10719" spans="12:13" x14ac:dyDescent="0.2">
      <c r="L10719" s="12"/>
      <c r="M10719" s="13"/>
    </row>
    <row r="10720" spans="12:13" x14ac:dyDescent="0.2">
      <c r="L10720" s="12"/>
      <c r="M10720" s="13"/>
    </row>
    <row r="10721" spans="12:13" x14ac:dyDescent="0.2">
      <c r="L10721" s="12"/>
      <c r="M10721" s="13"/>
    </row>
    <row r="10722" spans="12:13" x14ac:dyDescent="0.2">
      <c r="L10722" s="12"/>
      <c r="M10722" s="13"/>
    </row>
    <row r="10723" spans="12:13" x14ac:dyDescent="0.2">
      <c r="L10723" s="12"/>
      <c r="M10723" s="13"/>
    </row>
    <row r="10724" spans="12:13" x14ac:dyDescent="0.2">
      <c r="L10724" s="12"/>
      <c r="M10724" s="13"/>
    </row>
    <row r="10725" spans="12:13" x14ac:dyDescent="0.2">
      <c r="L10725" s="12"/>
      <c r="M10725" s="13"/>
    </row>
    <row r="10726" spans="12:13" x14ac:dyDescent="0.2">
      <c r="L10726" s="12"/>
      <c r="M10726" s="13"/>
    </row>
    <row r="10727" spans="12:13" x14ac:dyDescent="0.2">
      <c r="L10727" s="12"/>
      <c r="M10727" s="13"/>
    </row>
    <row r="10728" spans="12:13" x14ac:dyDescent="0.2">
      <c r="L10728" s="12"/>
      <c r="M10728" s="13"/>
    </row>
    <row r="10729" spans="12:13" x14ac:dyDescent="0.2">
      <c r="L10729" s="12"/>
      <c r="M10729" s="13"/>
    </row>
    <row r="10730" spans="12:13" x14ac:dyDescent="0.2">
      <c r="L10730" s="12"/>
      <c r="M10730" s="13"/>
    </row>
    <row r="10731" spans="12:13" x14ac:dyDescent="0.2">
      <c r="L10731" s="12"/>
      <c r="M10731" s="13"/>
    </row>
    <row r="10732" spans="12:13" x14ac:dyDescent="0.2">
      <c r="L10732" s="12"/>
      <c r="M10732" s="13"/>
    </row>
    <row r="10733" spans="12:13" x14ac:dyDescent="0.2">
      <c r="L10733" s="12"/>
      <c r="M10733" s="13"/>
    </row>
    <row r="10734" spans="12:13" x14ac:dyDescent="0.2">
      <c r="L10734" s="12"/>
      <c r="M10734" s="13"/>
    </row>
    <row r="10735" spans="12:13" x14ac:dyDescent="0.2">
      <c r="L10735" s="12"/>
      <c r="M10735" s="13"/>
    </row>
    <row r="10736" spans="12:13" x14ac:dyDescent="0.2">
      <c r="L10736" s="12"/>
      <c r="M10736" s="13"/>
    </row>
    <row r="10737" spans="12:13" x14ac:dyDescent="0.2">
      <c r="L10737" s="12"/>
      <c r="M10737" s="13"/>
    </row>
    <row r="10738" spans="12:13" x14ac:dyDescent="0.2">
      <c r="L10738" s="12"/>
      <c r="M10738" s="13"/>
    </row>
    <row r="10739" spans="12:13" x14ac:dyDescent="0.2">
      <c r="L10739" s="12"/>
      <c r="M10739" s="13"/>
    </row>
    <row r="10740" spans="12:13" x14ac:dyDescent="0.2">
      <c r="L10740" s="12"/>
      <c r="M10740" s="13"/>
    </row>
    <row r="10741" spans="12:13" x14ac:dyDescent="0.2">
      <c r="L10741" s="12"/>
      <c r="M10741" s="13"/>
    </row>
    <row r="10742" spans="12:13" x14ac:dyDescent="0.2">
      <c r="L10742" s="12"/>
      <c r="M10742" s="13"/>
    </row>
    <row r="10743" spans="12:13" x14ac:dyDescent="0.2">
      <c r="L10743" s="12"/>
      <c r="M10743" s="13"/>
    </row>
    <row r="10744" spans="12:13" x14ac:dyDescent="0.2">
      <c r="L10744" s="12"/>
      <c r="M10744" s="13"/>
    </row>
    <row r="10745" spans="12:13" x14ac:dyDescent="0.2">
      <c r="L10745" s="12"/>
      <c r="M10745" s="13"/>
    </row>
    <row r="10746" spans="12:13" x14ac:dyDescent="0.2">
      <c r="L10746" s="12"/>
      <c r="M10746" s="13"/>
    </row>
    <row r="10747" spans="12:13" x14ac:dyDescent="0.2">
      <c r="L10747" s="12"/>
      <c r="M10747" s="13"/>
    </row>
    <row r="10748" spans="12:13" x14ac:dyDescent="0.2">
      <c r="L10748" s="12"/>
      <c r="M10748" s="13"/>
    </row>
    <row r="10749" spans="12:13" x14ac:dyDescent="0.2">
      <c r="L10749" s="12"/>
      <c r="M10749" s="13"/>
    </row>
    <row r="10750" spans="12:13" x14ac:dyDescent="0.2">
      <c r="L10750" s="12"/>
      <c r="M10750" s="13"/>
    </row>
    <row r="10751" spans="12:13" x14ac:dyDescent="0.2">
      <c r="L10751" s="12"/>
      <c r="M10751" s="13"/>
    </row>
    <row r="10752" spans="12:13" x14ac:dyDescent="0.2">
      <c r="L10752" s="12"/>
      <c r="M10752" s="13"/>
    </row>
    <row r="10753" spans="12:13" x14ac:dyDescent="0.2">
      <c r="L10753" s="12"/>
      <c r="M10753" s="13"/>
    </row>
    <row r="10754" spans="12:13" x14ac:dyDescent="0.2">
      <c r="L10754" s="17"/>
      <c r="M10754" s="18"/>
    </row>
    <row r="10755" spans="12:13" x14ac:dyDescent="0.2">
      <c r="L10755" s="12"/>
      <c r="M10755" s="13"/>
    </row>
    <row r="10756" spans="12:13" x14ac:dyDescent="0.2">
      <c r="L10756" s="12"/>
      <c r="M10756" s="13"/>
    </row>
    <row r="10757" spans="12:13" x14ac:dyDescent="0.2">
      <c r="L10757" s="12"/>
      <c r="M10757" s="13"/>
    </row>
    <row r="10758" spans="12:13" x14ac:dyDescent="0.2">
      <c r="L10758" s="12"/>
      <c r="M10758" s="13"/>
    </row>
    <row r="10759" spans="12:13" x14ac:dyDescent="0.2">
      <c r="L10759" s="12"/>
      <c r="M10759" s="13"/>
    </row>
    <row r="10760" spans="12:13" x14ac:dyDescent="0.2">
      <c r="L10760" s="12"/>
      <c r="M10760" s="13"/>
    </row>
    <row r="10761" spans="12:13" x14ac:dyDescent="0.2">
      <c r="L10761" s="12"/>
      <c r="M10761" s="13"/>
    </row>
    <row r="10762" spans="12:13" x14ac:dyDescent="0.2">
      <c r="L10762" s="12"/>
      <c r="M10762" s="13"/>
    </row>
    <row r="10763" spans="12:13" x14ac:dyDescent="0.2">
      <c r="L10763" s="12"/>
      <c r="M10763" s="13"/>
    </row>
    <row r="10764" spans="12:13" x14ac:dyDescent="0.2">
      <c r="L10764" s="12"/>
      <c r="M10764" s="13"/>
    </row>
    <row r="10765" spans="12:13" x14ac:dyDescent="0.2">
      <c r="L10765" s="12"/>
      <c r="M10765" s="13"/>
    </row>
    <row r="10766" spans="12:13" x14ac:dyDescent="0.2">
      <c r="L10766" s="12"/>
      <c r="M10766" s="13"/>
    </row>
    <row r="10767" spans="12:13" x14ac:dyDescent="0.2">
      <c r="L10767" s="12"/>
      <c r="M10767" s="13"/>
    </row>
    <row r="10768" spans="12:13" x14ac:dyDescent="0.2">
      <c r="L10768" s="12"/>
      <c r="M10768" s="13"/>
    </row>
    <row r="10769" spans="12:13" x14ac:dyDescent="0.2">
      <c r="L10769" s="12"/>
      <c r="M10769" s="13"/>
    </row>
    <row r="10770" spans="12:13" x14ac:dyDescent="0.2">
      <c r="L10770" s="12"/>
      <c r="M10770" s="13"/>
    </row>
    <row r="10771" spans="12:13" x14ac:dyDescent="0.2">
      <c r="L10771" s="12"/>
      <c r="M10771" s="13"/>
    </row>
    <row r="10772" spans="12:13" x14ac:dyDescent="0.2">
      <c r="L10772" s="12"/>
      <c r="M10772" s="13"/>
    </row>
    <row r="10773" spans="12:13" x14ac:dyDescent="0.2">
      <c r="L10773" s="12"/>
      <c r="M10773" s="13"/>
    </row>
    <row r="10774" spans="12:13" x14ac:dyDescent="0.2">
      <c r="L10774" s="12"/>
      <c r="M10774" s="13"/>
    </row>
    <row r="10775" spans="12:13" x14ac:dyDescent="0.2">
      <c r="L10775" s="12"/>
      <c r="M10775" s="13"/>
    </row>
    <row r="10776" spans="12:13" x14ac:dyDescent="0.2">
      <c r="L10776" s="12"/>
      <c r="M10776" s="13"/>
    </row>
    <row r="10777" spans="12:13" x14ac:dyDescent="0.2">
      <c r="L10777" s="12"/>
      <c r="M10777" s="13"/>
    </row>
    <row r="10778" spans="12:13" x14ac:dyDescent="0.2">
      <c r="L10778" s="12"/>
      <c r="M10778" s="13"/>
    </row>
    <row r="10779" spans="12:13" x14ac:dyDescent="0.2">
      <c r="L10779" s="12"/>
      <c r="M10779" s="13"/>
    </row>
    <row r="10780" spans="12:13" x14ac:dyDescent="0.2">
      <c r="L10780" s="12"/>
      <c r="M10780" s="13"/>
    </row>
    <row r="10781" spans="12:13" x14ac:dyDescent="0.2">
      <c r="L10781" s="12"/>
      <c r="M10781" s="13"/>
    </row>
    <row r="10782" spans="12:13" x14ac:dyDescent="0.2">
      <c r="L10782" s="12"/>
      <c r="M10782" s="13"/>
    </row>
    <row r="10783" spans="12:13" x14ac:dyDescent="0.2">
      <c r="L10783" s="12"/>
      <c r="M10783" s="13"/>
    </row>
    <row r="10784" spans="12:13" x14ac:dyDescent="0.2">
      <c r="L10784" s="12"/>
      <c r="M10784" s="13"/>
    </row>
    <row r="10785" spans="12:13" x14ac:dyDescent="0.2">
      <c r="L10785" s="12"/>
      <c r="M10785" s="13"/>
    </row>
    <row r="10786" spans="12:13" x14ac:dyDescent="0.2">
      <c r="L10786" s="12"/>
      <c r="M10786" s="13"/>
    </row>
    <row r="10787" spans="12:13" x14ac:dyDescent="0.2">
      <c r="L10787" s="12"/>
      <c r="M10787" s="13"/>
    </row>
    <row r="10788" spans="12:13" x14ac:dyDescent="0.2">
      <c r="L10788" s="12"/>
      <c r="M10788" s="13"/>
    </row>
    <row r="10789" spans="12:13" x14ac:dyDescent="0.2">
      <c r="L10789" s="12"/>
      <c r="M10789" s="13"/>
    </row>
    <row r="10790" spans="12:13" x14ac:dyDescent="0.2">
      <c r="L10790" s="12"/>
      <c r="M10790" s="13"/>
    </row>
    <row r="10791" spans="12:13" x14ac:dyDescent="0.2">
      <c r="L10791" s="12"/>
      <c r="M10791" s="13"/>
    </row>
    <row r="10792" spans="12:13" x14ac:dyDescent="0.2">
      <c r="L10792" s="12"/>
      <c r="M10792" s="13"/>
    </row>
    <row r="10793" spans="12:13" x14ac:dyDescent="0.2">
      <c r="L10793" s="12"/>
      <c r="M10793" s="13"/>
    </row>
    <row r="10794" spans="12:13" x14ac:dyDescent="0.2">
      <c r="L10794" s="12"/>
      <c r="M10794" s="13"/>
    </row>
    <row r="10795" spans="12:13" x14ac:dyDescent="0.2">
      <c r="L10795" s="12"/>
      <c r="M10795" s="13"/>
    </row>
    <row r="10796" spans="12:13" x14ac:dyDescent="0.2">
      <c r="L10796" s="12"/>
      <c r="M10796" s="13"/>
    </row>
    <row r="10797" spans="12:13" x14ac:dyDescent="0.2">
      <c r="L10797" s="12"/>
      <c r="M10797" s="13"/>
    </row>
    <row r="10798" spans="12:13" x14ac:dyDescent="0.2">
      <c r="L10798" s="12"/>
      <c r="M10798" s="13"/>
    </row>
    <row r="10799" spans="12:13" x14ac:dyDescent="0.2">
      <c r="L10799" s="12"/>
      <c r="M10799" s="13"/>
    </row>
    <row r="10800" spans="12:13" x14ac:dyDescent="0.2">
      <c r="L10800" s="12"/>
      <c r="M10800" s="13"/>
    </row>
    <row r="10801" spans="12:13" x14ac:dyDescent="0.2">
      <c r="L10801" s="12"/>
      <c r="M10801" s="13"/>
    </row>
    <row r="10802" spans="12:13" x14ac:dyDescent="0.2">
      <c r="L10802" s="12"/>
      <c r="M10802" s="13"/>
    </row>
    <row r="10803" spans="12:13" x14ac:dyDescent="0.2">
      <c r="L10803" s="12"/>
      <c r="M10803" s="13"/>
    </row>
    <row r="10804" spans="12:13" x14ac:dyDescent="0.2">
      <c r="L10804" s="12"/>
      <c r="M10804" s="13"/>
    </row>
    <row r="10805" spans="12:13" x14ac:dyDescent="0.2">
      <c r="L10805" s="12"/>
      <c r="M10805" s="13"/>
    </row>
    <row r="10806" spans="12:13" x14ac:dyDescent="0.2">
      <c r="L10806" s="12"/>
      <c r="M10806" s="13"/>
    </row>
    <row r="10807" spans="12:13" x14ac:dyDescent="0.2">
      <c r="L10807" s="12"/>
      <c r="M10807" s="13"/>
    </row>
    <row r="10808" spans="12:13" x14ac:dyDescent="0.2">
      <c r="L10808" s="12"/>
      <c r="M10808" s="13"/>
    </row>
    <row r="10809" spans="12:13" x14ac:dyDescent="0.2">
      <c r="L10809" s="12"/>
      <c r="M10809" s="13"/>
    </row>
    <row r="10810" spans="12:13" x14ac:dyDescent="0.2">
      <c r="L10810" s="12"/>
      <c r="M10810" s="13"/>
    </row>
    <row r="10811" spans="12:13" x14ac:dyDescent="0.2">
      <c r="L10811" s="12"/>
      <c r="M10811" s="13"/>
    </row>
    <row r="10812" spans="12:13" x14ac:dyDescent="0.2">
      <c r="L10812" s="12"/>
      <c r="M10812" s="13"/>
    </row>
    <row r="10813" spans="12:13" x14ac:dyDescent="0.2">
      <c r="L10813" s="12"/>
      <c r="M10813" s="13"/>
    </row>
    <row r="10814" spans="12:13" x14ac:dyDescent="0.2">
      <c r="L10814" s="12"/>
      <c r="M10814" s="13"/>
    </row>
    <row r="10815" spans="12:13" x14ac:dyDescent="0.2">
      <c r="L10815" s="12"/>
      <c r="M10815" s="13"/>
    </row>
    <row r="10816" spans="12:13" x14ac:dyDescent="0.2">
      <c r="L10816" s="12"/>
      <c r="M10816" s="13"/>
    </row>
    <row r="10817" spans="12:13" x14ac:dyDescent="0.2">
      <c r="L10817" s="12"/>
      <c r="M10817" s="13"/>
    </row>
    <row r="10818" spans="12:13" x14ac:dyDescent="0.2">
      <c r="L10818" s="12"/>
      <c r="M10818" s="13"/>
    </row>
    <row r="10819" spans="12:13" x14ac:dyDescent="0.2">
      <c r="L10819" s="12"/>
      <c r="M10819" s="13"/>
    </row>
    <row r="10820" spans="12:13" x14ac:dyDescent="0.2">
      <c r="L10820" s="12"/>
      <c r="M10820" s="13"/>
    </row>
    <row r="10821" spans="12:13" x14ac:dyDescent="0.2">
      <c r="L10821" s="12"/>
      <c r="M10821" s="13"/>
    </row>
    <row r="10822" spans="12:13" x14ac:dyDescent="0.2">
      <c r="L10822" s="12"/>
      <c r="M10822" s="13"/>
    </row>
    <row r="10823" spans="12:13" x14ac:dyDescent="0.2">
      <c r="L10823" s="12"/>
      <c r="M10823" s="13"/>
    </row>
    <row r="10824" spans="12:13" x14ac:dyDescent="0.2">
      <c r="L10824" s="12"/>
      <c r="M10824" s="13"/>
    </row>
    <row r="10825" spans="12:13" x14ac:dyDescent="0.2">
      <c r="L10825" s="12"/>
      <c r="M10825" s="13"/>
    </row>
    <row r="10826" spans="12:13" x14ac:dyDescent="0.2">
      <c r="L10826" s="12"/>
      <c r="M10826" s="13"/>
    </row>
    <row r="10827" spans="12:13" x14ac:dyDescent="0.2">
      <c r="L10827" s="12"/>
      <c r="M10827" s="13"/>
    </row>
    <row r="10828" spans="12:13" x14ac:dyDescent="0.2">
      <c r="L10828" s="12"/>
      <c r="M10828" s="13"/>
    </row>
    <row r="10829" spans="12:13" x14ac:dyDescent="0.2">
      <c r="L10829" s="12"/>
      <c r="M10829" s="13"/>
    </row>
    <row r="10830" spans="12:13" x14ac:dyDescent="0.2">
      <c r="L10830" s="12"/>
      <c r="M10830" s="13"/>
    </row>
    <row r="10831" spans="12:13" x14ac:dyDescent="0.2">
      <c r="L10831" s="12"/>
      <c r="M10831" s="13"/>
    </row>
    <row r="10832" spans="12:13" x14ac:dyDescent="0.2">
      <c r="L10832" s="12"/>
      <c r="M10832" s="13"/>
    </row>
    <row r="10833" spans="12:13" x14ac:dyDescent="0.2">
      <c r="L10833" s="12"/>
      <c r="M10833" s="13"/>
    </row>
    <row r="10834" spans="12:13" x14ac:dyDescent="0.2">
      <c r="L10834" s="12"/>
      <c r="M10834" s="13"/>
    </row>
    <row r="10835" spans="12:13" x14ac:dyDescent="0.2">
      <c r="L10835" s="12"/>
      <c r="M10835" s="13"/>
    </row>
    <row r="10836" spans="12:13" x14ac:dyDescent="0.2">
      <c r="L10836" s="12"/>
      <c r="M10836" s="13"/>
    </row>
    <row r="10837" spans="12:13" x14ac:dyDescent="0.2">
      <c r="L10837" s="12"/>
      <c r="M10837" s="13"/>
    </row>
    <row r="10838" spans="12:13" x14ac:dyDescent="0.2">
      <c r="L10838" s="12"/>
      <c r="M10838" s="13"/>
    </row>
    <row r="10839" spans="12:13" x14ac:dyDescent="0.2">
      <c r="L10839" s="12"/>
      <c r="M10839" s="13"/>
    </row>
    <row r="10840" spans="12:13" x14ac:dyDescent="0.2">
      <c r="L10840" s="12"/>
      <c r="M10840" s="13"/>
    </row>
    <row r="10841" spans="12:13" x14ac:dyDescent="0.2">
      <c r="L10841" s="12"/>
      <c r="M10841" s="13"/>
    </row>
    <row r="10842" spans="12:13" x14ac:dyDescent="0.2">
      <c r="L10842" s="12"/>
      <c r="M10842" s="13"/>
    </row>
    <row r="10843" spans="12:13" x14ac:dyDescent="0.2">
      <c r="L10843" s="12"/>
      <c r="M10843" s="13"/>
    </row>
    <row r="10844" spans="12:13" x14ac:dyDescent="0.2">
      <c r="L10844" s="12"/>
      <c r="M10844" s="13"/>
    </row>
    <row r="10845" spans="12:13" x14ac:dyDescent="0.2">
      <c r="L10845" s="12"/>
      <c r="M10845" s="13"/>
    </row>
    <row r="10846" spans="12:13" x14ac:dyDescent="0.2">
      <c r="L10846" s="12"/>
      <c r="M10846" s="13"/>
    </row>
    <row r="10847" spans="12:13" x14ac:dyDescent="0.2">
      <c r="L10847" s="12"/>
      <c r="M10847" s="13"/>
    </row>
    <row r="10848" spans="12:13" x14ac:dyDescent="0.2">
      <c r="L10848" s="12"/>
      <c r="M10848" s="13"/>
    </row>
    <row r="10849" spans="12:13" x14ac:dyDescent="0.2">
      <c r="L10849" s="12"/>
      <c r="M10849" s="13"/>
    </row>
    <row r="10850" spans="12:13" x14ac:dyDescent="0.2">
      <c r="L10850" s="12"/>
      <c r="M10850" s="13"/>
    </row>
    <row r="10851" spans="12:13" x14ac:dyDescent="0.2">
      <c r="L10851" s="12"/>
      <c r="M10851" s="13"/>
    </row>
    <row r="10852" spans="12:13" x14ac:dyDescent="0.2">
      <c r="L10852" s="12"/>
      <c r="M10852" s="13"/>
    </row>
    <row r="10853" spans="12:13" x14ac:dyDescent="0.2">
      <c r="L10853" s="12"/>
      <c r="M10853" s="13"/>
    </row>
    <row r="10854" spans="12:13" x14ac:dyDescent="0.2">
      <c r="L10854" s="12"/>
      <c r="M10854" s="13"/>
    </row>
    <row r="10855" spans="12:13" x14ac:dyDescent="0.2">
      <c r="L10855" s="12"/>
      <c r="M10855" s="13"/>
    </row>
    <row r="10856" spans="12:13" x14ac:dyDescent="0.2">
      <c r="L10856" s="12"/>
      <c r="M10856" s="13"/>
    </row>
    <row r="10857" spans="12:13" x14ac:dyDescent="0.2">
      <c r="L10857" s="12"/>
      <c r="M10857" s="13"/>
    </row>
    <row r="10858" spans="12:13" x14ac:dyDescent="0.2">
      <c r="L10858" s="12"/>
      <c r="M10858" s="13"/>
    </row>
    <row r="10859" spans="12:13" x14ac:dyDescent="0.2">
      <c r="L10859" s="12"/>
      <c r="M10859" s="13"/>
    </row>
    <row r="10860" spans="12:13" x14ac:dyDescent="0.2">
      <c r="L10860" s="12"/>
      <c r="M10860" s="13"/>
    </row>
    <row r="10861" spans="12:13" x14ac:dyDescent="0.2">
      <c r="L10861" s="12"/>
      <c r="M10861" s="13"/>
    </row>
    <row r="10862" spans="12:13" x14ac:dyDescent="0.2">
      <c r="L10862" s="12"/>
      <c r="M10862" s="13"/>
    </row>
    <row r="10863" spans="12:13" x14ac:dyDescent="0.2">
      <c r="L10863" s="12"/>
      <c r="M10863" s="13"/>
    </row>
    <row r="10864" spans="12:13" x14ac:dyDescent="0.2">
      <c r="L10864" s="12"/>
      <c r="M10864" s="13"/>
    </row>
    <row r="10865" spans="12:13" x14ac:dyDescent="0.2">
      <c r="L10865" s="12"/>
      <c r="M10865" s="13"/>
    </row>
    <row r="10866" spans="12:13" x14ac:dyDescent="0.2">
      <c r="L10866" s="12"/>
      <c r="M10866" s="13"/>
    </row>
    <row r="10867" spans="12:13" x14ac:dyDescent="0.2">
      <c r="L10867" s="12"/>
      <c r="M10867" s="13"/>
    </row>
    <row r="10868" spans="12:13" x14ac:dyDescent="0.2">
      <c r="L10868" s="12"/>
      <c r="M10868" s="13"/>
    </row>
    <row r="10869" spans="12:13" x14ac:dyDescent="0.2">
      <c r="L10869" s="12"/>
      <c r="M10869" s="13"/>
    </row>
    <row r="10870" spans="12:13" x14ac:dyDescent="0.2">
      <c r="L10870" s="12"/>
      <c r="M10870" s="13"/>
    </row>
    <row r="10871" spans="12:13" x14ac:dyDescent="0.2">
      <c r="L10871" s="12"/>
      <c r="M10871" s="13"/>
    </row>
    <row r="10872" spans="12:13" x14ac:dyDescent="0.2">
      <c r="L10872" s="12"/>
      <c r="M10872" s="13"/>
    </row>
    <row r="10873" spans="12:13" x14ac:dyDescent="0.2">
      <c r="L10873" s="12"/>
      <c r="M10873" s="13"/>
    </row>
    <row r="10874" spans="12:13" x14ac:dyDescent="0.2">
      <c r="L10874" s="12"/>
      <c r="M10874" s="13"/>
    </row>
    <row r="10875" spans="12:13" x14ac:dyDescent="0.2">
      <c r="L10875" s="12"/>
      <c r="M10875" s="13"/>
    </row>
    <row r="10876" spans="12:13" x14ac:dyDescent="0.2">
      <c r="L10876" s="12"/>
      <c r="M10876" s="13"/>
    </row>
    <row r="10877" spans="12:13" x14ac:dyDescent="0.2">
      <c r="L10877" s="12"/>
      <c r="M10877" s="13"/>
    </row>
    <row r="10878" spans="12:13" x14ac:dyDescent="0.2">
      <c r="L10878" s="12"/>
      <c r="M10878" s="13"/>
    </row>
    <row r="10879" spans="12:13" x14ac:dyDescent="0.2">
      <c r="L10879" s="12"/>
      <c r="M10879" s="13"/>
    </row>
    <row r="10880" spans="12:13" x14ac:dyDescent="0.2">
      <c r="L10880" s="12"/>
      <c r="M10880" s="13"/>
    </row>
    <row r="10881" spans="12:13" x14ac:dyDescent="0.2">
      <c r="L10881" s="12"/>
      <c r="M10881" s="13"/>
    </row>
    <row r="10882" spans="12:13" x14ac:dyDescent="0.2">
      <c r="L10882" s="12"/>
      <c r="M10882" s="13"/>
    </row>
    <row r="10883" spans="12:13" x14ac:dyDescent="0.2">
      <c r="L10883" s="12"/>
      <c r="M10883" s="13"/>
    </row>
    <row r="10884" spans="12:13" x14ac:dyDescent="0.2">
      <c r="L10884" s="12"/>
      <c r="M10884" s="13"/>
    </row>
    <row r="10885" spans="12:13" x14ac:dyDescent="0.2">
      <c r="L10885" s="12"/>
      <c r="M10885" s="13"/>
    </row>
    <row r="10886" spans="12:13" x14ac:dyDescent="0.2">
      <c r="L10886" s="12"/>
      <c r="M10886" s="13"/>
    </row>
    <row r="10887" spans="12:13" x14ac:dyDescent="0.2">
      <c r="L10887" s="12"/>
      <c r="M10887" s="13"/>
    </row>
    <row r="10888" spans="12:13" x14ac:dyDescent="0.2">
      <c r="L10888" s="12"/>
      <c r="M10888" s="13"/>
    </row>
    <row r="10889" spans="12:13" x14ac:dyDescent="0.2">
      <c r="L10889" s="12"/>
      <c r="M10889" s="13"/>
    </row>
    <row r="10890" spans="12:13" x14ac:dyDescent="0.2">
      <c r="L10890" s="12"/>
      <c r="M10890" s="13"/>
    </row>
    <row r="10891" spans="12:13" x14ac:dyDescent="0.2">
      <c r="L10891" s="12"/>
      <c r="M10891" s="13"/>
    </row>
    <row r="10892" spans="12:13" x14ac:dyDescent="0.2">
      <c r="L10892" s="12"/>
      <c r="M10892" s="13"/>
    </row>
    <row r="10893" spans="12:13" x14ac:dyDescent="0.2">
      <c r="L10893" s="12"/>
      <c r="M10893" s="13"/>
    </row>
    <row r="10894" spans="12:13" x14ac:dyDescent="0.2">
      <c r="L10894" s="12"/>
      <c r="M10894" s="13"/>
    </row>
    <row r="10895" spans="12:13" x14ac:dyDescent="0.2">
      <c r="L10895" s="12"/>
      <c r="M10895" s="13"/>
    </row>
    <row r="10896" spans="12:13" x14ac:dyDescent="0.2">
      <c r="L10896" s="12"/>
      <c r="M10896" s="13"/>
    </row>
    <row r="10897" spans="12:13" x14ac:dyDescent="0.2">
      <c r="L10897" s="12"/>
      <c r="M10897" s="13"/>
    </row>
    <row r="10898" spans="12:13" x14ac:dyDescent="0.2">
      <c r="L10898" s="12"/>
      <c r="M10898" s="13"/>
    </row>
    <row r="10899" spans="12:13" x14ac:dyDescent="0.2">
      <c r="L10899" s="12"/>
      <c r="M10899" s="13"/>
    </row>
    <row r="10900" spans="12:13" x14ac:dyDescent="0.2">
      <c r="L10900" s="12"/>
      <c r="M10900" s="13"/>
    </row>
    <row r="10901" spans="12:13" x14ac:dyDescent="0.2">
      <c r="L10901" s="12"/>
      <c r="M10901" s="13"/>
    </row>
    <row r="10902" spans="12:13" x14ac:dyDescent="0.2">
      <c r="L10902" s="12"/>
      <c r="M10902" s="13"/>
    </row>
    <row r="10903" spans="12:13" x14ac:dyDescent="0.2">
      <c r="L10903" s="12"/>
      <c r="M10903" s="13"/>
    </row>
    <row r="10904" spans="12:13" x14ac:dyDescent="0.2">
      <c r="L10904" s="12"/>
      <c r="M10904" s="13"/>
    </row>
    <row r="10905" spans="12:13" x14ac:dyDescent="0.2">
      <c r="L10905" s="12"/>
      <c r="M10905" s="13"/>
    </row>
    <row r="10906" spans="12:13" x14ac:dyDescent="0.2">
      <c r="L10906" s="12"/>
      <c r="M10906" s="13"/>
    </row>
    <row r="10907" spans="12:13" x14ac:dyDescent="0.2">
      <c r="L10907" s="12"/>
      <c r="M10907" s="13"/>
    </row>
    <row r="10908" spans="12:13" x14ac:dyDescent="0.2">
      <c r="L10908" s="12"/>
      <c r="M10908" s="13"/>
    </row>
    <row r="10909" spans="12:13" x14ac:dyDescent="0.2">
      <c r="L10909" s="12"/>
      <c r="M10909" s="13"/>
    </row>
    <row r="10910" spans="12:13" x14ac:dyDescent="0.2">
      <c r="L10910" s="12"/>
      <c r="M10910" s="13"/>
    </row>
    <row r="10911" spans="12:13" x14ac:dyDescent="0.2">
      <c r="L10911" s="12"/>
      <c r="M10911" s="13"/>
    </row>
    <row r="10912" spans="12:13" x14ac:dyDescent="0.2">
      <c r="L10912" s="12"/>
      <c r="M10912" s="13"/>
    </row>
    <row r="10913" spans="12:13" x14ac:dyDescent="0.2">
      <c r="L10913" s="12"/>
      <c r="M10913" s="13"/>
    </row>
    <row r="10914" spans="12:13" x14ac:dyDescent="0.2">
      <c r="L10914" s="12"/>
      <c r="M10914" s="13"/>
    </row>
    <row r="10915" spans="12:13" x14ac:dyDescent="0.2">
      <c r="L10915" s="12"/>
      <c r="M10915" s="13"/>
    </row>
    <row r="10916" spans="12:13" x14ac:dyDescent="0.2">
      <c r="L10916" s="12"/>
      <c r="M10916" s="13"/>
    </row>
    <row r="10917" spans="12:13" x14ac:dyDescent="0.2">
      <c r="L10917" s="12"/>
      <c r="M10917" s="13"/>
    </row>
    <row r="10918" spans="12:13" x14ac:dyDescent="0.2">
      <c r="L10918" s="12"/>
      <c r="M10918" s="13"/>
    </row>
    <row r="10919" spans="12:13" x14ac:dyDescent="0.2">
      <c r="L10919" s="12"/>
      <c r="M10919" s="13"/>
    </row>
    <row r="10920" spans="12:13" x14ac:dyDescent="0.2">
      <c r="L10920" s="12"/>
      <c r="M10920" s="13"/>
    </row>
    <row r="10921" spans="12:13" x14ac:dyDescent="0.2">
      <c r="L10921" s="12"/>
      <c r="M10921" s="13"/>
    </row>
    <row r="10922" spans="12:13" x14ac:dyDescent="0.2">
      <c r="L10922" s="12"/>
      <c r="M10922" s="13"/>
    </row>
    <row r="10923" spans="12:13" x14ac:dyDescent="0.2">
      <c r="L10923" s="12"/>
      <c r="M10923" s="13"/>
    </row>
    <row r="10924" spans="12:13" x14ac:dyDescent="0.2">
      <c r="L10924" s="12"/>
      <c r="M10924" s="13"/>
    </row>
    <row r="10925" spans="12:13" x14ac:dyDescent="0.2">
      <c r="L10925" s="12"/>
      <c r="M10925" s="13"/>
    </row>
    <row r="10926" spans="12:13" x14ac:dyDescent="0.2">
      <c r="L10926" s="12"/>
      <c r="M10926" s="13"/>
    </row>
    <row r="10927" spans="12:13" x14ac:dyDescent="0.2">
      <c r="L10927" s="12"/>
      <c r="M10927" s="13"/>
    </row>
    <row r="10928" spans="12:13" x14ac:dyDescent="0.2">
      <c r="L10928" s="12"/>
      <c r="M10928" s="13"/>
    </row>
    <row r="10929" spans="12:13" x14ac:dyDescent="0.2">
      <c r="L10929" s="12"/>
      <c r="M10929" s="13"/>
    </row>
    <row r="10930" spans="12:13" x14ac:dyDescent="0.2">
      <c r="L10930" s="12"/>
      <c r="M10930" s="13"/>
    </row>
    <row r="10931" spans="12:13" x14ac:dyDescent="0.2">
      <c r="L10931" s="12"/>
      <c r="M10931" s="13"/>
    </row>
    <row r="10932" spans="12:13" x14ac:dyDescent="0.2">
      <c r="L10932" s="12"/>
      <c r="M10932" s="13"/>
    </row>
    <row r="10933" spans="12:13" x14ac:dyDescent="0.2">
      <c r="L10933" s="12"/>
      <c r="M10933" s="13"/>
    </row>
    <row r="10934" spans="12:13" x14ac:dyDescent="0.2">
      <c r="L10934" s="12"/>
      <c r="M10934" s="13"/>
    </row>
    <row r="10935" spans="12:13" x14ac:dyDescent="0.2">
      <c r="L10935" s="12"/>
      <c r="M10935" s="13"/>
    </row>
    <row r="10936" spans="12:13" x14ac:dyDescent="0.2">
      <c r="L10936" s="12"/>
      <c r="M10936" s="13"/>
    </row>
    <row r="10937" spans="12:13" x14ac:dyDescent="0.2">
      <c r="L10937" s="12"/>
      <c r="M10937" s="13"/>
    </row>
    <row r="10938" spans="12:13" x14ac:dyDescent="0.2">
      <c r="L10938" s="12"/>
      <c r="M10938" s="13"/>
    </row>
    <row r="10939" spans="12:13" x14ac:dyDescent="0.2">
      <c r="L10939" s="12"/>
      <c r="M10939" s="13"/>
    </row>
    <row r="10940" spans="12:13" x14ac:dyDescent="0.2">
      <c r="L10940" s="12"/>
      <c r="M10940" s="13"/>
    </row>
    <row r="10941" spans="12:13" x14ac:dyDescent="0.2">
      <c r="L10941" s="12"/>
      <c r="M10941" s="13"/>
    </row>
    <row r="10942" spans="12:13" x14ac:dyDescent="0.2">
      <c r="L10942" s="12"/>
      <c r="M10942" s="13"/>
    </row>
    <row r="10943" spans="12:13" x14ac:dyDescent="0.2">
      <c r="L10943" s="12"/>
      <c r="M10943" s="13"/>
    </row>
    <row r="10944" spans="12:13" x14ac:dyDescent="0.2">
      <c r="L10944" s="12"/>
      <c r="M10944" s="13"/>
    </row>
    <row r="10945" spans="12:13" x14ac:dyDescent="0.2">
      <c r="L10945" s="12"/>
      <c r="M10945" s="13"/>
    </row>
    <row r="10946" spans="12:13" x14ac:dyDescent="0.2">
      <c r="L10946" s="12"/>
      <c r="M10946" s="13"/>
    </row>
    <row r="10947" spans="12:13" x14ac:dyDescent="0.2">
      <c r="L10947" s="12"/>
      <c r="M10947" s="13"/>
    </row>
    <row r="10948" spans="12:13" x14ac:dyDescent="0.2">
      <c r="L10948" s="12"/>
      <c r="M10948" s="13"/>
    </row>
    <row r="10949" spans="12:13" x14ac:dyDescent="0.2">
      <c r="L10949" s="12"/>
      <c r="M10949" s="13"/>
    </row>
    <row r="10950" spans="12:13" x14ac:dyDescent="0.2">
      <c r="L10950" s="12"/>
      <c r="M10950" s="13"/>
    </row>
    <row r="10951" spans="12:13" x14ac:dyDescent="0.2">
      <c r="L10951" s="12"/>
      <c r="M10951" s="13"/>
    </row>
    <row r="10952" spans="12:13" x14ac:dyDescent="0.2">
      <c r="L10952" s="12"/>
      <c r="M10952" s="13"/>
    </row>
    <row r="10953" spans="12:13" x14ac:dyDescent="0.2">
      <c r="L10953" s="12"/>
      <c r="M10953" s="13"/>
    </row>
    <row r="10954" spans="12:13" x14ac:dyDescent="0.2">
      <c r="L10954" s="12"/>
      <c r="M10954" s="13"/>
    </row>
    <row r="10955" spans="12:13" x14ac:dyDescent="0.2">
      <c r="L10955" s="12"/>
      <c r="M10955" s="13"/>
    </row>
    <row r="10956" spans="12:13" x14ac:dyDescent="0.2">
      <c r="L10956" s="12"/>
      <c r="M10956" s="13"/>
    </row>
    <row r="10957" spans="12:13" x14ac:dyDescent="0.2">
      <c r="L10957" s="12"/>
      <c r="M10957" s="13"/>
    </row>
    <row r="10958" spans="12:13" x14ac:dyDescent="0.2">
      <c r="L10958" s="12"/>
      <c r="M10958" s="13"/>
    </row>
    <row r="10959" spans="12:13" x14ac:dyDescent="0.2">
      <c r="L10959" s="12"/>
      <c r="M10959" s="13"/>
    </row>
    <row r="10960" spans="12:13" x14ac:dyDescent="0.2">
      <c r="L10960" s="12"/>
      <c r="M10960" s="13"/>
    </row>
    <row r="10961" spans="12:13" x14ac:dyDescent="0.2">
      <c r="L10961" s="12"/>
      <c r="M10961" s="13"/>
    </row>
    <row r="10962" spans="12:13" x14ac:dyDescent="0.2">
      <c r="L10962" s="12"/>
      <c r="M10962" s="13"/>
    </row>
    <row r="10963" spans="12:13" x14ac:dyDescent="0.2">
      <c r="L10963" s="12"/>
      <c r="M10963" s="13"/>
    </row>
    <row r="10964" spans="12:13" x14ac:dyDescent="0.2">
      <c r="L10964" s="12"/>
      <c r="M10964" s="13"/>
    </row>
    <row r="10965" spans="12:13" x14ac:dyDescent="0.2">
      <c r="L10965" s="12"/>
      <c r="M10965" s="13"/>
    </row>
    <row r="10966" spans="12:13" x14ac:dyDescent="0.2">
      <c r="L10966" s="12"/>
      <c r="M10966" s="13"/>
    </row>
    <row r="10967" spans="12:13" x14ac:dyDescent="0.2">
      <c r="L10967" s="12"/>
      <c r="M10967" s="13"/>
    </row>
    <row r="10968" spans="12:13" x14ac:dyDescent="0.2">
      <c r="L10968" s="12"/>
      <c r="M10968" s="13"/>
    </row>
    <row r="10969" spans="12:13" x14ac:dyDescent="0.2">
      <c r="L10969" s="12"/>
      <c r="M10969" s="13"/>
    </row>
    <row r="10970" spans="12:13" x14ac:dyDescent="0.2">
      <c r="L10970" s="12"/>
      <c r="M10970" s="13"/>
    </row>
    <row r="10971" spans="12:13" x14ac:dyDescent="0.2">
      <c r="L10971" s="12"/>
      <c r="M10971" s="13"/>
    </row>
    <row r="10972" spans="12:13" x14ac:dyDescent="0.2">
      <c r="L10972" s="12"/>
      <c r="M10972" s="13"/>
    </row>
    <row r="10973" spans="12:13" x14ac:dyDescent="0.2">
      <c r="L10973" s="12"/>
      <c r="M10973" s="13"/>
    </row>
    <row r="10974" spans="12:13" x14ac:dyDescent="0.2">
      <c r="L10974" s="12"/>
      <c r="M10974" s="13"/>
    </row>
    <row r="10975" spans="12:13" x14ac:dyDescent="0.2">
      <c r="L10975" s="12"/>
      <c r="M10975" s="13"/>
    </row>
    <row r="10976" spans="12:13" x14ac:dyDescent="0.2">
      <c r="L10976" s="12"/>
      <c r="M10976" s="13"/>
    </row>
    <row r="10977" spans="12:13" x14ac:dyDescent="0.2">
      <c r="L10977" s="12"/>
      <c r="M10977" s="13"/>
    </row>
    <row r="10978" spans="12:13" x14ac:dyDescent="0.2">
      <c r="L10978" s="12"/>
      <c r="M10978" s="13"/>
    </row>
    <row r="10979" spans="12:13" x14ac:dyDescent="0.2">
      <c r="L10979" s="12"/>
      <c r="M10979" s="13"/>
    </row>
    <row r="10980" spans="12:13" x14ac:dyDescent="0.2">
      <c r="L10980" s="12"/>
      <c r="M10980" s="13"/>
    </row>
    <row r="10981" spans="12:13" x14ac:dyDescent="0.2">
      <c r="L10981" s="12"/>
      <c r="M10981" s="13"/>
    </row>
    <row r="10982" spans="12:13" x14ac:dyDescent="0.2">
      <c r="L10982" s="12"/>
      <c r="M10982" s="13"/>
    </row>
    <row r="10983" spans="12:13" x14ac:dyDescent="0.2">
      <c r="L10983" s="12"/>
      <c r="M10983" s="13"/>
    </row>
    <row r="10984" spans="12:13" x14ac:dyDescent="0.2">
      <c r="L10984" s="12"/>
      <c r="M10984" s="13"/>
    </row>
    <row r="10985" spans="12:13" x14ac:dyDescent="0.2">
      <c r="L10985" s="12"/>
      <c r="M10985" s="13"/>
    </row>
    <row r="10986" spans="12:13" x14ac:dyDescent="0.2">
      <c r="L10986" s="12"/>
      <c r="M10986" s="13"/>
    </row>
    <row r="10987" spans="12:13" x14ac:dyDescent="0.2">
      <c r="L10987" s="12"/>
      <c r="M10987" s="13"/>
    </row>
    <row r="10988" spans="12:13" x14ac:dyDescent="0.2">
      <c r="L10988" s="12"/>
      <c r="M10988" s="13"/>
    </row>
    <row r="10989" spans="12:13" x14ac:dyDescent="0.2">
      <c r="L10989" s="12"/>
      <c r="M10989" s="13"/>
    </row>
    <row r="10990" spans="12:13" x14ac:dyDescent="0.2">
      <c r="L10990" s="12"/>
      <c r="M10990" s="13"/>
    </row>
    <row r="10991" spans="12:13" x14ac:dyDescent="0.2">
      <c r="L10991" s="12"/>
      <c r="M10991" s="13"/>
    </row>
    <row r="10992" spans="12:13" x14ac:dyDescent="0.2">
      <c r="L10992" s="12"/>
      <c r="M10992" s="13"/>
    </row>
    <row r="10993" spans="12:13" x14ac:dyDescent="0.2">
      <c r="L10993" s="12"/>
      <c r="M10993" s="13"/>
    </row>
    <row r="10994" spans="12:13" x14ac:dyDescent="0.2">
      <c r="L10994" s="12"/>
      <c r="M10994" s="13"/>
    </row>
    <row r="10995" spans="12:13" x14ac:dyDescent="0.2">
      <c r="L10995" s="12"/>
      <c r="M10995" s="13"/>
    </row>
    <row r="10996" spans="12:13" x14ac:dyDescent="0.2">
      <c r="L10996" s="12"/>
      <c r="M10996" s="13"/>
    </row>
    <row r="10997" spans="12:13" x14ac:dyDescent="0.2">
      <c r="L10997" s="12"/>
      <c r="M10997" s="13"/>
    </row>
    <row r="10998" spans="12:13" x14ac:dyDescent="0.2">
      <c r="L10998" s="12"/>
      <c r="M10998" s="13"/>
    </row>
    <row r="10999" spans="12:13" x14ac:dyDescent="0.2">
      <c r="L10999" s="12"/>
      <c r="M10999" s="13"/>
    </row>
    <row r="11000" spans="12:13" x14ac:dyDescent="0.2">
      <c r="L11000" s="12"/>
      <c r="M11000" s="13"/>
    </row>
    <row r="11001" spans="12:13" x14ac:dyDescent="0.2">
      <c r="L11001" s="12"/>
      <c r="M11001" s="13"/>
    </row>
    <row r="11002" spans="12:13" x14ac:dyDescent="0.2">
      <c r="L11002" s="12"/>
      <c r="M11002" s="13"/>
    </row>
    <row r="11003" spans="12:13" x14ac:dyDescent="0.2">
      <c r="L11003" s="12"/>
      <c r="M11003" s="13"/>
    </row>
    <row r="11004" spans="12:13" x14ac:dyDescent="0.2">
      <c r="L11004" s="12"/>
      <c r="M11004" s="13"/>
    </row>
    <row r="11005" spans="12:13" x14ac:dyDescent="0.2">
      <c r="L11005" s="12"/>
      <c r="M11005" s="13"/>
    </row>
    <row r="11006" spans="12:13" x14ac:dyDescent="0.2">
      <c r="L11006" s="12"/>
      <c r="M11006" s="13"/>
    </row>
    <row r="11007" spans="12:13" x14ac:dyDescent="0.2">
      <c r="L11007" s="12"/>
      <c r="M11007" s="13"/>
    </row>
    <row r="11008" spans="12:13" x14ac:dyDescent="0.2">
      <c r="L11008" s="12"/>
      <c r="M11008" s="13"/>
    </row>
    <row r="11009" spans="12:13" x14ac:dyDescent="0.2">
      <c r="L11009" s="12"/>
      <c r="M11009" s="13"/>
    </row>
    <row r="11010" spans="12:13" x14ac:dyDescent="0.2">
      <c r="L11010" s="17"/>
      <c r="M11010" s="18"/>
    </row>
    <row r="11011" spans="12:13" x14ac:dyDescent="0.2">
      <c r="L11011" s="12"/>
      <c r="M11011" s="13"/>
    </row>
    <row r="11012" spans="12:13" x14ac:dyDescent="0.2">
      <c r="L11012" s="12"/>
      <c r="M11012" s="13"/>
    </row>
    <row r="11013" spans="12:13" x14ac:dyDescent="0.2">
      <c r="L11013" s="12"/>
      <c r="M11013" s="13"/>
    </row>
    <row r="11014" spans="12:13" x14ac:dyDescent="0.2">
      <c r="L11014" s="12"/>
      <c r="M11014" s="13"/>
    </row>
    <row r="11015" spans="12:13" x14ac:dyDescent="0.2">
      <c r="L11015" s="12"/>
      <c r="M11015" s="13"/>
    </row>
    <row r="11016" spans="12:13" x14ac:dyDescent="0.2">
      <c r="L11016" s="12"/>
      <c r="M11016" s="13"/>
    </row>
    <row r="11017" spans="12:13" x14ac:dyDescent="0.2">
      <c r="L11017" s="12"/>
      <c r="M11017" s="13"/>
    </row>
    <row r="11018" spans="12:13" x14ac:dyDescent="0.2">
      <c r="L11018" s="12"/>
      <c r="M11018" s="13"/>
    </row>
    <row r="11019" spans="12:13" x14ac:dyDescent="0.2">
      <c r="L11019" s="12"/>
      <c r="M11019" s="13"/>
    </row>
    <row r="11020" spans="12:13" x14ac:dyDescent="0.2">
      <c r="L11020" s="12"/>
      <c r="M11020" s="13"/>
    </row>
    <row r="11021" spans="12:13" x14ac:dyDescent="0.2">
      <c r="L11021" s="12"/>
      <c r="M11021" s="13"/>
    </row>
    <row r="11022" spans="12:13" x14ac:dyDescent="0.2">
      <c r="L11022" s="12"/>
      <c r="M11022" s="13"/>
    </row>
    <row r="11023" spans="12:13" x14ac:dyDescent="0.2">
      <c r="L11023" s="12"/>
      <c r="M11023" s="13"/>
    </row>
    <row r="11024" spans="12:13" x14ac:dyDescent="0.2">
      <c r="L11024" s="12"/>
      <c r="M11024" s="13"/>
    </row>
    <row r="11025" spans="12:13" x14ac:dyDescent="0.2">
      <c r="L11025" s="12"/>
      <c r="M11025" s="13"/>
    </row>
    <row r="11026" spans="12:13" x14ac:dyDescent="0.2">
      <c r="L11026" s="12"/>
      <c r="M11026" s="13"/>
    </row>
    <row r="11027" spans="12:13" x14ac:dyDescent="0.2">
      <c r="L11027" s="12"/>
      <c r="M11027" s="13"/>
    </row>
    <row r="11028" spans="12:13" x14ac:dyDescent="0.2">
      <c r="L11028" s="12"/>
      <c r="M11028" s="13"/>
    </row>
    <row r="11029" spans="12:13" x14ac:dyDescent="0.2">
      <c r="L11029" s="12"/>
      <c r="M11029" s="13"/>
    </row>
    <row r="11030" spans="12:13" x14ac:dyDescent="0.2">
      <c r="L11030" s="12"/>
      <c r="M11030" s="13"/>
    </row>
    <row r="11031" spans="12:13" x14ac:dyDescent="0.2">
      <c r="L11031" s="12"/>
      <c r="M11031" s="13"/>
    </row>
    <row r="11032" spans="12:13" x14ac:dyDescent="0.2">
      <c r="L11032" s="12"/>
      <c r="M11032" s="13"/>
    </row>
    <row r="11033" spans="12:13" x14ac:dyDescent="0.2">
      <c r="L11033" s="12"/>
      <c r="M11033" s="13"/>
    </row>
    <row r="11034" spans="12:13" x14ac:dyDescent="0.2">
      <c r="L11034" s="12"/>
      <c r="M11034" s="13"/>
    </row>
    <row r="11035" spans="12:13" x14ac:dyDescent="0.2">
      <c r="L11035" s="12"/>
      <c r="M11035" s="13"/>
    </row>
    <row r="11036" spans="12:13" x14ac:dyDescent="0.2">
      <c r="L11036" s="12"/>
      <c r="M11036" s="13"/>
    </row>
    <row r="11037" spans="12:13" x14ac:dyDescent="0.2">
      <c r="L11037" s="12"/>
      <c r="M11037" s="13"/>
    </row>
    <row r="11038" spans="12:13" x14ac:dyDescent="0.2">
      <c r="L11038" s="12"/>
      <c r="M11038" s="13"/>
    </row>
    <row r="11039" spans="12:13" x14ac:dyDescent="0.2">
      <c r="L11039" s="12"/>
      <c r="M11039" s="13"/>
    </row>
    <row r="11040" spans="12:13" x14ac:dyDescent="0.2">
      <c r="L11040" s="12"/>
      <c r="M11040" s="13"/>
    </row>
    <row r="11041" spans="12:13" x14ac:dyDescent="0.2">
      <c r="L11041" s="12"/>
      <c r="M11041" s="13"/>
    </row>
    <row r="11042" spans="12:13" x14ac:dyDescent="0.2">
      <c r="L11042" s="12"/>
      <c r="M11042" s="13"/>
    </row>
    <row r="11043" spans="12:13" x14ac:dyDescent="0.2">
      <c r="L11043" s="12"/>
      <c r="M11043" s="13"/>
    </row>
    <row r="11044" spans="12:13" x14ac:dyDescent="0.2">
      <c r="L11044" s="12"/>
      <c r="M11044" s="13"/>
    </row>
    <row r="11045" spans="12:13" x14ac:dyDescent="0.2">
      <c r="L11045" s="12"/>
      <c r="M11045" s="13"/>
    </row>
    <row r="11046" spans="12:13" x14ac:dyDescent="0.2">
      <c r="L11046" s="12"/>
      <c r="M11046" s="13"/>
    </row>
    <row r="11047" spans="12:13" x14ac:dyDescent="0.2">
      <c r="L11047" s="12"/>
      <c r="M11047" s="13"/>
    </row>
    <row r="11048" spans="12:13" x14ac:dyDescent="0.2">
      <c r="L11048" s="12"/>
      <c r="M11048" s="13"/>
    </row>
    <row r="11049" spans="12:13" x14ac:dyDescent="0.2">
      <c r="L11049" s="12"/>
      <c r="M11049" s="13"/>
    </row>
    <row r="11050" spans="12:13" x14ac:dyDescent="0.2">
      <c r="L11050" s="12"/>
      <c r="M11050" s="13"/>
    </row>
    <row r="11051" spans="12:13" x14ac:dyDescent="0.2">
      <c r="L11051" s="12"/>
      <c r="M11051" s="13"/>
    </row>
    <row r="11052" spans="12:13" x14ac:dyDescent="0.2">
      <c r="L11052" s="12"/>
      <c r="M11052" s="13"/>
    </row>
    <row r="11053" spans="12:13" x14ac:dyDescent="0.2">
      <c r="L11053" s="12"/>
      <c r="M11053" s="13"/>
    </row>
    <row r="11054" spans="12:13" x14ac:dyDescent="0.2">
      <c r="L11054" s="12"/>
      <c r="M11054" s="13"/>
    </row>
    <row r="11055" spans="12:13" x14ac:dyDescent="0.2">
      <c r="L11055" s="12"/>
      <c r="M11055" s="13"/>
    </row>
    <row r="11056" spans="12:13" x14ac:dyDescent="0.2">
      <c r="L11056" s="12"/>
      <c r="M11056" s="13"/>
    </row>
    <row r="11057" spans="12:13" x14ac:dyDescent="0.2">
      <c r="L11057" s="12"/>
      <c r="M11057" s="13"/>
    </row>
    <row r="11058" spans="12:13" x14ac:dyDescent="0.2">
      <c r="L11058" s="12"/>
      <c r="M11058" s="13"/>
    </row>
    <row r="11059" spans="12:13" x14ac:dyDescent="0.2">
      <c r="L11059" s="12"/>
      <c r="M11059" s="13"/>
    </row>
    <row r="11060" spans="12:13" x14ac:dyDescent="0.2">
      <c r="L11060" s="12"/>
      <c r="M11060" s="13"/>
    </row>
    <row r="11061" spans="12:13" x14ac:dyDescent="0.2">
      <c r="L11061" s="12"/>
      <c r="M11061" s="13"/>
    </row>
    <row r="11062" spans="12:13" x14ac:dyDescent="0.2">
      <c r="L11062" s="12"/>
      <c r="M11062" s="13"/>
    </row>
    <row r="11063" spans="12:13" x14ac:dyDescent="0.2">
      <c r="L11063" s="12"/>
      <c r="M11063" s="13"/>
    </row>
    <row r="11064" spans="12:13" x14ac:dyDescent="0.2">
      <c r="L11064" s="12"/>
      <c r="M11064" s="13"/>
    </row>
    <row r="11065" spans="12:13" x14ac:dyDescent="0.2">
      <c r="L11065" s="12"/>
      <c r="M11065" s="13"/>
    </row>
    <row r="11066" spans="12:13" x14ac:dyDescent="0.2">
      <c r="L11066" s="12"/>
      <c r="M11066" s="13"/>
    </row>
    <row r="11067" spans="12:13" x14ac:dyDescent="0.2">
      <c r="L11067" s="12"/>
      <c r="M11067" s="13"/>
    </row>
    <row r="11068" spans="12:13" x14ac:dyDescent="0.2">
      <c r="L11068" s="12"/>
      <c r="M11068" s="13"/>
    </row>
    <row r="11069" spans="12:13" x14ac:dyDescent="0.2">
      <c r="L11069" s="12"/>
      <c r="M11069" s="13"/>
    </row>
    <row r="11070" spans="12:13" x14ac:dyDescent="0.2">
      <c r="L11070" s="12"/>
      <c r="M11070" s="13"/>
    </row>
    <row r="11071" spans="12:13" x14ac:dyDescent="0.2">
      <c r="L11071" s="12"/>
      <c r="M11071" s="13"/>
    </row>
    <row r="11072" spans="12:13" x14ac:dyDescent="0.2">
      <c r="L11072" s="12"/>
      <c r="M11072" s="13"/>
    </row>
    <row r="11073" spans="12:13" x14ac:dyDescent="0.2">
      <c r="L11073" s="12"/>
      <c r="M11073" s="13"/>
    </row>
    <row r="11074" spans="12:13" x14ac:dyDescent="0.2">
      <c r="L11074" s="12"/>
      <c r="M11074" s="13"/>
    </row>
    <row r="11075" spans="12:13" x14ac:dyDescent="0.2">
      <c r="L11075" s="12"/>
      <c r="M11075" s="13"/>
    </row>
    <row r="11076" spans="12:13" x14ac:dyDescent="0.2">
      <c r="L11076" s="12"/>
      <c r="M11076" s="13"/>
    </row>
    <row r="11077" spans="12:13" x14ac:dyDescent="0.2">
      <c r="L11077" s="12"/>
      <c r="M11077" s="13"/>
    </row>
    <row r="11078" spans="12:13" x14ac:dyDescent="0.2">
      <c r="L11078" s="12"/>
      <c r="M11078" s="13"/>
    </row>
    <row r="11079" spans="12:13" x14ac:dyDescent="0.2">
      <c r="L11079" s="12"/>
      <c r="M11079" s="13"/>
    </row>
    <row r="11080" spans="12:13" x14ac:dyDescent="0.2">
      <c r="L11080" s="12"/>
      <c r="M11080" s="13"/>
    </row>
    <row r="11081" spans="12:13" x14ac:dyDescent="0.2">
      <c r="L11081" s="12"/>
      <c r="M11081" s="13"/>
    </row>
    <row r="11082" spans="12:13" x14ac:dyDescent="0.2">
      <c r="L11082" s="12"/>
      <c r="M11082" s="13"/>
    </row>
    <row r="11083" spans="12:13" x14ac:dyDescent="0.2">
      <c r="L11083" s="12"/>
      <c r="M11083" s="13"/>
    </row>
    <row r="11084" spans="12:13" x14ac:dyDescent="0.2">
      <c r="L11084" s="12"/>
      <c r="M11084" s="13"/>
    </row>
    <row r="11085" spans="12:13" x14ac:dyDescent="0.2">
      <c r="L11085" s="12"/>
      <c r="M11085" s="13"/>
    </row>
    <row r="11086" spans="12:13" x14ac:dyDescent="0.2">
      <c r="L11086" s="12"/>
      <c r="M11086" s="13"/>
    </row>
    <row r="11087" spans="12:13" x14ac:dyDescent="0.2">
      <c r="L11087" s="12"/>
      <c r="M11087" s="13"/>
    </row>
    <row r="11088" spans="12:13" x14ac:dyDescent="0.2">
      <c r="L11088" s="12"/>
      <c r="M11088" s="13"/>
    </row>
    <row r="11089" spans="12:13" x14ac:dyDescent="0.2">
      <c r="L11089" s="12"/>
      <c r="M11089" s="13"/>
    </row>
    <row r="11090" spans="12:13" x14ac:dyDescent="0.2">
      <c r="L11090" s="12"/>
      <c r="M11090" s="13"/>
    </row>
    <row r="11091" spans="12:13" x14ac:dyDescent="0.2">
      <c r="L11091" s="12"/>
      <c r="M11091" s="13"/>
    </row>
    <row r="11092" spans="12:13" x14ac:dyDescent="0.2">
      <c r="L11092" s="12"/>
      <c r="M11092" s="13"/>
    </row>
    <row r="11093" spans="12:13" x14ac:dyDescent="0.2">
      <c r="L11093" s="12"/>
      <c r="M11093" s="13"/>
    </row>
    <row r="11094" spans="12:13" x14ac:dyDescent="0.2">
      <c r="L11094" s="12"/>
      <c r="M11094" s="13"/>
    </row>
    <row r="11095" spans="12:13" x14ac:dyDescent="0.2">
      <c r="L11095" s="12"/>
      <c r="M11095" s="13"/>
    </row>
    <row r="11096" spans="12:13" x14ac:dyDescent="0.2">
      <c r="L11096" s="12"/>
      <c r="M11096" s="13"/>
    </row>
    <row r="11097" spans="12:13" x14ac:dyDescent="0.2">
      <c r="L11097" s="12"/>
      <c r="M11097" s="13"/>
    </row>
    <row r="11098" spans="12:13" x14ac:dyDescent="0.2">
      <c r="L11098" s="12"/>
      <c r="M11098" s="13"/>
    </row>
    <row r="11099" spans="12:13" x14ac:dyDescent="0.2">
      <c r="L11099" s="12"/>
      <c r="M11099" s="13"/>
    </row>
    <row r="11100" spans="12:13" x14ac:dyDescent="0.2">
      <c r="L11100" s="12"/>
      <c r="M11100" s="13"/>
    </row>
    <row r="11101" spans="12:13" x14ac:dyDescent="0.2">
      <c r="L11101" s="12"/>
      <c r="M11101" s="13"/>
    </row>
    <row r="11102" spans="12:13" x14ac:dyDescent="0.2">
      <c r="L11102" s="12"/>
      <c r="M11102" s="13"/>
    </row>
    <row r="11103" spans="12:13" x14ac:dyDescent="0.2">
      <c r="L11103" s="12"/>
      <c r="M11103" s="13"/>
    </row>
    <row r="11104" spans="12:13" x14ac:dyDescent="0.2">
      <c r="L11104" s="12"/>
      <c r="M11104" s="13"/>
    </row>
    <row r="11105" spans="12:13" x14ac:dyDescent="0.2">
      <c r="L11105" s="12"/>
      <c r="M11105" s="13"/>
    </row>
    <row r="11106" spans="12:13" x14ac:dyDescent="0.2">
      <c r="L11106" s="12"/>
      <c r="M11106" s="13"/>
    </row>
    <row r="11107" spans="12:13" x14ac:dyDescent="0.2">
      <c r="L11107" s="12"/>
      <c r="M11107" s="13"/>
    </row>
    <row r="11108" spans="12:13" x14ac:dyDescent="0.2">
      <c r="L11108" s="12"/>
      <c r="M11108" s="13"/>
    </row>
    <row r="11109" spans="12:13" x14ac:dyDescent="0.2">
      <c r="L11109" s="12"/>
      <c r="M11109" s="13"/>
    </row>
    <row r="11110" spans="12:13" x14ac:dyDescent="0.2">
      <c r="L11110" s="12"/>
      <c r="M11110" s="13"/>
    </row>
    <row r="11111" spans="12:13" x14ac:dyDescent="0.2">
      <c r="L11111" s="12"/>
      <c r="M11111" s="13"/>
    </row>
    <row r="11112" spans="12:13" x14ac:dyDescent="0.2">
      <c r="L11112" s="12"/>
      <c r="M11112" s="13"/>
    </row>
    <row r="11113" spans="12:13" x14ac:dyDescent="0.2">
      <c r="L11113" s="12"/>
      <c r="M11113" s="13"/>
    </row>
    <row r="11114" spans="12:13" x14ac:dyDescent="0.2">
      <c r="L11114" s="12"/>
      <c r="M11114" s="13"/>
    </row>
    <row r="11115" spans="12:13" x14ac:dyDescent="0.2">
      <c r="L11115" s="12"/>
      <c r="M11115" s="13"/>
    </row>
    <row r="11116" spans="12:13" x14ac:dyDescent="0.2">
      <c r="L11116" s="12"/>
      <c r="M11116" s="13"/>
    </row>
    <row r="11117" spans="12:13" x14ac:dyDescent="0.2">
      <c r="L11117" s="12"/>
      <c r="M11117" s="13"/>
    </row>
    <row r="11118" spans="12:13" x14ac:dyDescent="0.2">
      <c r="L11118" s="12"/>
      <c r="M11118" s="13"/>
    </row>
    <row r="11119" spans="12:13" x14ac:dyDescent="0.2">
      <c r="L11119" s="12"/>
      <c r="M11119" s="13"/>
    </row>
    <row r="11120" spans="12:13" x14ac:dyDescent="0.2">
      <c r="L11120" s="12"/>
      <c r="M11120" s="13"/>
    </row>
    <row r="11121" spans="12:13" x14ac:dyDescent="0.2">
      <c r="L11121" s="12"/>
      <c r="M11121" s="13"/>
    </row>
    <row r="11122" spans="12:13" x14ac:dyDescent="0.2">
      <c r="L11122" s="12"/>
      <c r="M11122" s="13"/>
    </row>
    <row r="11123" spans="12:13" x14ac:dyDescent="0.2">
      <c r="L11123" s="12"/>
      <c r="M11123" s="13"/>
    </row>
    <row r="11124" spans="12:13" x14ac:dyDescent="0.2">
      <c r="L11124" s="12"/>
      <c r="M11124" s="13"/>
    </row>
    <row r="11125" spans="12:13" x14ac:dyDescent="0.2">
      <c r="L11125" s="12"/>
      <c r="M11125" s="13"/>
    </row>
    <row r="11126" spans="12:13" x14ac:dyDescent="0.2">
      <c r="L11126" s="12"/>
      <c r="M11126" s="13"/>
    </row>
    <row r="11127" spans="12:13" x14ac:dyDescent="0.2">
      <c r="L11127" s="12"/>
      <c r="M11127" s="13"/>
    </row>
    <row r="11128" spans="12:13" x14ac:dyDescent="0.2">
      <c r="L11128" s="12"/>
      <c r="M11128" s="13"/>
    </row>
    <row r="11129" spans="12:13" x14ac:dyDescent="0.2">
      <c r="L11129" s="12"/>
      <c r="M11129" s="13"/>
    </row>
    <row r="11130" spans="12:13" x14ac:dyDescent="0.2">
      <c r="L11130" s="12"/>
      <c r="M11130" s="13"/>
    </row>
    <row r="11131" spans="12:13" x14ac:dyDescent="0.2">
      <c r="L11131" s="12"/>
      <c r="M11131" s="13"/>
    </row>
    <row r="11132" spans="12:13" x14ac:dyDescent="0.2">
      <c r="L11132" s="12"/>
      <c r="M11132" s="13"/>
    </row>
    <row r="11133" spans="12:13" x14ac:dyDescent="0.2">
      <c r="L11133" s="12"/>
      <c r="M11133" s="13"/>
    </row>
    <row r="11134" spans="12:13" x14ac:dyDescent="0.2">
      <c r="L11134" s="12"/>
      <c r="M11134" s="13"/>
    </row>
    <row r="11135" spans="12:13" x14ac:dyDescent="0.2">
      <c r="L11135" s="12"/>
      <c r="M11135" s="13"/>
    </row>
    <row r="11136" spans="12:13" x14ac:dyDescent="0.2">
      <c r="L11136" s="12"/>
      <c r="M11136" s="13"/>
    </row>
    <row r="11137" spans="12:13" x14ac:dyDescent="0.2">
      <c r="L11137" s="12"/>
      <c r="M11137" s="13"/>
    </row>
    <row r="11138" spans="12:13" x14ac:dyDescent="0.2">
      <c r="L11138" s="12"/>
      <c r="M11138" s="13"/>
    </row>
    <row r="11139" spans="12:13" x14ac:dyDescent="0.2">
      <c r="L11139" s="12"/>
      <c r="M11139" s="13"/>
    </row>
    <row r="11140" spans="12:13" x14ac:dyDescent="0.2">
      <c r="L11140" s="12"/>
      <c r="M11140" s="13"/>
    </row>
    <row r="11141" spans="12:13" x14ac:dyDescent="0.2">
      <c r="L11141" s="12"/>
      <c r="M11141" s="13"/>
    </row>
    <row r="11142" spans="12:13" x14ac:dyDescent="0.2">
      <c r="L11142" s="12"/>
      <c r="M11142" s="13"/>
    </row>
    <row r="11143" spans="12:13" x14ac:dyDescent="0.2">
      <c r="L11143" s="12"/>
      <c r="M11143" s="13"/>
    </row>
    <row r="11144" spans="12:13" x14ac:dyDescent="0.2">
      <c r="L11144" s="12"/>
      <c r="M11144" s="13"/>
    </row>
    <row r="11145" spans="12:13" x14ac:dyDescent="0.2">
      <c r="L11145" s="12"/>
      <c r="M11145" s="13"/>
    </row>
    <row r="11146" spans="12:13" x14ac:dyDescent="0.2">
      <c r="L11146" s="12"/>
      <c r="M11146" s="13"/>
    </row>
    <row r="11147" spans="12:13" x14ac:dyDescent="0.2">
      <c r="L11147" s="12"/>
      <c r="M11147" s="13"/>
    </row>
    <row r="11148" spans="12:13" x14ac:dyDescent="0.2">
      <c r="L11148" s="12"/>
      <c r="M11148" s="13"/>
    </row>
    <row r="11149" spans="12:13" x14ac:dyDescent="0.2">
      <c r="L11149" s="12"/>
      <c r="M11149" s="13"/>
    </row>
    <row r="11150" spans="12:13" x14ac:dyDescent="0.2">
      <c r="L11150" s="12"/>
      <c r="M11150" s="13"/>
    </row>
    <row r="11151" spans="12:13" x14ac:dyDescent="0.2">
      <c r="L11151" s="12"/>
      <c r="M11151" s="13"/>
    </row>
    <row r="11152" spans="12:13" x14ac:dyDescent="0.2">
      <c r="L11152" s="12"/>
      <c r="M11152" s="13"/>
    </row>
    <row r="11153" spans="12:13" x14ac:dyDescent="0.2">
      <c r="L11153" s="12"/>
      <c r="M11153" s="13"/>
    </row>
    <row r="11154" spans="12:13" x14ac:dyDescent="0.2">
      <c r="L11154" s="12"/>
      <c r="M11154" s="13"/>
    </row>
    <row r="11155" spans="12:13" x14ac:dyDescent="0.2">
      <c r="L11155" s="12"/>
      <c r="M11155" s="13"/>
    </row>
    <row r="11156" spans="12:13" x14ac:dyDescent="0.2">
      <c r="L11156" s="12"/>
      <c r="M11156" s="13"/>
    </row>
    <row r="11157" spans="12:13" x14ac:dyDescent="0.2">
      <c r="L11157" s="12"/>
      <c r="M11157" s="13"/>
    </row>
    <row r="11158" spans="12:13" x14ac:dyDescent="0.2">
      <c r="L11158" s="12"/>
      <c r="M11158" s="13"/>
    </row>
    <row r="11159" spans="12:13" x14ac:dyDescent="0.2">
      <c r="L11159" s="12"/>
      <c r="M11159" s="13"/>
    </row>
    <row r="11160" spans="12:13" x14ac:dyDescent="0.2">
      <c r="L11160" s="12"/>
      <c r="M11160" s="13"/>
    </row>
    <row r="11161" spans="12:13" x14ac:dyDescent="0.2">
      <c r="L11161" s="12"/>
      <c r="M11161" s="13"/>
    </row>
    <row r="11162" spans="12:13" x14ac:dyDescent="0.2">
      <c r="L11162" s="12"/>
      <c r="M11162" s="13"/>
    </row>
    <row r="11163" spans="12:13" x14ac:dyDescent="0.2">
      <c r="L11163" s="12"/>
      <c r="M11163" s="13"/>
    </row>
    <row r="11164" spans="12:13" x14ac:dyDescent="0.2">
      <c r="L11164" s="12"/>
      <c r="M11164" s="13"/>
    </row>
    <row r="11165" spans="12:13" x14ac:dyDescent="0.2">
      <c r="L11165" s="12"/>
      <c r="M11165" s="13"/>
    </row>
    <row r="11166" spans="12:13" x14ac:dyDescent="0.2">
      <c r="L11166" s="12"/>
      <c r="M11166" s="13"/>
    </row>
    <row r="11167" spans="12:13" x14ac:dyDescent="0.2">
      <c r="L11167" s="12"/>
      <c r="M11167" s="13"/>
    </row>
    <row r="11168" spans="12:13" x14ac:dyDescent="0.2">
      <c r="L11168" s="12"/>
      <c r="M11168" s="13"/>
    </row>
    <row r="11169" spans="12:13" x14ac:dyDescent="0.2">
      <c r="L11169" s="12"/>
      <c r="M11169" s="13"/>
    </row>
    <row r="11170" spans="12:13" x14ac:dyDescent="0.2">
      <c r="L11170" s="12"/>
      <c r="M11170" s="13"/>
    </row>
    <row r="11171" spans="12:13" x14ac:dyDescent="0.2">
      <c r="L11171" s="12"/>
      <c r="M11171" s="13"/>
    </row>
    <row r="11172" spans="12:13" x14ac:dyDescent="0.2">
      <c r="L11172" s="12"/>
      <c r="M11172" s="13"/>
    </row>
    <row r="11173" spans="12:13" x14ac:dyDescent="0.2">
      <c r="L11173" s="12"/>
      <c r="M11173" s="13"/>
    </row>
    <row r="11174" spans="12:13" x14ac:dyDescent="0.2">
      <c r="L11174" s="12"/>
      <c r="M11174" s="13"/>
    </row>
    <row r="11175" spans="12:13" x14ac:dyDescent="0.2">
      <c r="L11175" s="12"/>
      <c r="M11175" s="13"/>
    </row>
    <row r="11176" spans="12:13" x14ac:dyDescent="0.2">
      <c r="L11176" s="12"/>
      <c r="M11176" s="13"/>
    </row>
    <row r="11177" spans="12:13" x14ac:dyDescent="0.2">
      <c r="L11177" s="12"/>
      <c r="M11177" s="13"/>
    </row>
    <row r="11178" spans="12:13" x14ac:dyDescent="0.2">
      <c r="L11178" s="12"/>
      <c r="M11178" s="13"/>
    </row>
    <row r="11179" spans="12:13" x14ac:dyDescent="0.2">
      <c r="L11179" s="12"/>
      <c r="M11179" s="13"/>
    </row>
    <row r="11180" spans="12:13" x14ac:dyDescent="0.2">
      <c r="L11180" s="12"/>
      <c r="M11180" s="13"/>
    </row>
    <row r="11181" spans="12:13" x14ac:dyDescent="0.2">
      <c r="L11181" s="12"/>
      <c r="M11181" s="13"/>
    </row>
    <row r="11182" spans="12:13" x14ac:dyDescent="0.2">
      <c r="L11182" s="12"/>
      <c r="M11182" s="13"/>
    </row>
    <row r="11183" spans="12:13" x14ac:dyDescent="0.2">
      <c r="L11183" s="12"/>
      <c r="M11183" s="13"/>
    </row>
    <row r="11184" spans="12:13" x14ac:dyDescent="0.2">
      <c r="L11184" s="12"/>
      <c r="M11184" s="13"/>
    </row>
    <row r="11185" spans="12:13" x14ac:dyDescent="0.2">
      <c r="L11185" s="12"/>
      <c r="M11185" s="13"/>
    </row>
    <row r="11186" spans="12:13" x14ac:dyDescent="0.2">
      <c r="L11186" s="12"/>
      <c r="M11186" s="13"/>
    </row>
    <row r="11187" spans="12:13" x14ac:dyDescent="0.2">
      <c r="L11187" s="12"/>
      <c r="M11187" s="13"/>
    </row>
    <row r="11188" spans="12:13" x14ac:dyDescent="0.2">
      <c r="L11188" s="12"/>
      <c r="M11188" s="13"/>
    </row>
    <row r="11189" spans="12:13" x14ac:dyDescent="0.2">
      <c r="L11189" s="12"/>
      <c r="M11189" s="13"/>
    </row>
    <row r="11190" spans="12:13" x14ac:dyDescent="0.2">
      <c r="L11190" s="12"/>
      <c r="M11190" s="13"/>
    </row>
    <row r="11191" spans="12:13" x14ac:dyDescent="0.2">
      <c r="L11191" s="12"/>
      <c r="M11191" s="13"/>
    </row>
    <row r="11192" spans="12:13" x14ac:dyDescent="0.2">
      <c r="L11192" s="12"/>
      <c r="M11192" s="13"/>
    </row>
    <row r="11193" spans="12:13" x14ac:dyDescent="0.2">
      <c r="L11193" s="12"/>
      <c r="M11193" s="13"/>
    </row>
    <row r="11194" spans="12:13" x14ac:dyDescent="0.2">
      <c r="L11194" s="12"/>
      <c r="M11194" s="13"/>
    </row>
    <row r="11195" spans="12:13" x14ac:dyDescent="0.2">
      <c r="L11195" s="12"/>
      <c r="M11195" s="13"/>
    </row>
    <row r="11196" spans="12:13" x14ac:dyDescent="0.2">
      <c r="L11196" s="12"/>
      <c r="M11196" s="13"/>
    </row>
    <row r="11197" spans="12:13" x14ac:dyDescent="0.2">
      <c r="L11197" s="12"/>
      <c r="M11197" s="13"/>
    </row>
    <row r="11198" spans="12:13" x14ac:dyDescent="0.2">
      <c r="L11198" s="12"/>
      <c r="M11198" s="13"/>
    </row>
    <row r="11199" spans="12:13" x14ac:dyDescent="0.2">
      <c r="L11199" s="12"/>
      <c r="M11199" s="13"/>
    </row>
    <row r="11200" spans="12:13" x14ac:dyDescent="0.2">
      <c r="L11200" s="12"/>
      <c r="M11200" s="13"/>
    </row>
    <row r="11201" spans="12:13" x14ac:dyDescent="0.2">
      <c r="L11201" s="12"/>
      <c r="M11201" s="13"/>
    </row>
    <row r="11202" spans="12:13" x14ac:dyDescent="0.2">
      <c r="L11202" s="12"/>
      <c r="M11202" s="13"/>
    </row>
    <row r="11203" spans="12:13" x14ac:dyDescent="0.2">
      <c r="L11203" s="12"/>
      <c r="M11203" s="13"/>
    </row>
    <row r="11204" spans="12:13" x14ac:dyDescent="0.2">
      <c r="L11204" s="12"/>
      <c r="M11204" s="13"/>
    </row>
    <row r="11205" spans="12:13" x14ac:dyDescent="0.2">
      <c r="L11205" s="12"/>
      <c r="M11205" s="13"/>
    </row>
    <row r="11206" spans="12:13" x14ac:dyDescent="0.2">
      <c r="L11206" s="12"/>
      <c r="M11206" s="13"/>
    </row>
    <row r="11207" spans="12:13" x14ac:dyDescent="0.2">
      <c r="L11207" s="12"/>
      <c r="M11207" s="13"/>
    </row>
    <row r="11208" spans="12:13" x14ac:dyDescent="0.2">
      <c r="L11208" s="12"/>
      <c r="M11208" s="13"/>
    </row>
    <row r="11209" spans="12:13" x14ac:dyDescent="0.2">
      <c r="L11209" s="12"/>
      <c r="M11209" s="13"/>
    </row>
    <row r="11210" spans="12:13" x14ac:dyDescent="0.2">
      <c r="L11210" s="12"/>
      <c r="M11210" s="13"/>
    </row>
    <row r="11211" spans="12:13" x14ac:dyDescent="0.2">
      <c r="L11211" s="12"/>
      <c r="M11211" s="13"/>
    </row>
    <row r="11212" spans="12:13" x14ac:dyDescent="0.2">
      <c r="L11212" s="12"/>
      <c r="M11212" s="13"/>
    </row>
    <row r="11213" spans="12:13" x14ac:dyDescent="0.2">
      <c r="L11213" s="12"/>
      <c r="M11213" s="13"/>
    </row>
    <row r="11214" spans="12:13" x14ac:dyDescent="0.2">
      <c r="L11214" s="12"/>
      <c r="M11214" s="13"/>
    </row>
    <row r="11215" spans="12:13" x14ac:dyDescent="0.2">
      <c r="L11215" s="12"/>
      <c r="M11215" s="13"/>
    </row>
    <row r="11216" spans="12:13" x14ac:dyDescent="0.2">
      <c r="L11216" s="12"/>
      <c r="M11216" s="13"/>
    </row>
    <row r="11217" spans="12:13" x14ac:dyDescent="0.2">
      <c r="L11217" s="12"/>
      <c r="M11217" s="13"/>
    </row>
    <row r="11218" spans="12:13" x14ac:dyDescent="0.2">
      <c r="L11218" s="12"/>
      <c r="M11218" s="13"/>
    </row>
    <row r="11219" spans="12:13" x14ac:dyDescent="0.2">
      <c r="L11219" s="12"/>
      <c r="M11219" s="13"/>
    </row>
    <row r="11220" spans="12:13" x14ac:dyDescent="0.2">
      <c r="L11220" s="12"/>
      <c r="M11220" s="13"/>
    </row>
    <row r="11221" spans="12:13" x14ac:dyDescent="0.2">
      <c r="L11221" s="12"/>
      <c r="M11221" s="13"/>
    </row>
    <row r="11222" spans="12:13" x14ac:dyDescent="0.2">
      <c r="L11222" s="12"/>
      <c r="M11222" s="13"/>
    </row>
    <row r="11223" spans="12:13" x14ac:dyDescent="0.2">
      <c r="L11223" s="12"/>
      <c r="M11223" s="13"/>
    </row>
    <row r="11224" spans="12:13" x14ac:dyDescent="0.2">
      <c r="L11224" s="12"/>
      <c r="M11224" s="13"/>
    </row>
    <row r="11225" spans="12:13" x14ac:dyDescent="0.2">
      <c r="L11225" s="12"/>
      <c r="M11225" s="13"/>
    </row>
    <row r="11226" spans="12:13" x14ac:dyDescent="0.2">
      <c r="L11226" s="12"/>
      <c r="M11226" s="13"/>
    </row>
    <row r="11227" spans="12:13" x14ac:dyDescent="0.2">
      <c r="L11227" s="12"/>
      <c r="M11227" s="13"/>
    </row>
    <row r="11228" spans="12:13" x14ac:dyDescent="0.2">
      <c r="L11228" s="12"/>
      <c r="M11228" s="13"/>
    </row>
    <row r="11229" spans="12:13" x14ac:dyDescent="0.2">
      <c r="L11229" s="12"/>
      <c r="M11229" s="13"/>
    </row>
    <row r="11230" spans="12:13" x14ac:dyDescent="0.2">
      <c r="L11230" s="12"/>
      <c r="M11230" s="13"/>
    </row>
    <row r="11231" spans="12:13" x14ac:dyDescent="0.2">
      <c r="L11231" s="12"/>
      <c r="M11231" s="13"/>
    </row>
    <row r="11232" spans="12:13" x14ac:dyDescent="0.2">
      <c r="L11232" s="12"/>
      <c r="M11232" s="13"/>
    </row>
    <row r="11233" spans="12:13" x14ac:dyDescent="0.2">
      <c r="L11233" s="12"/>
      <c r="M11233" s="13"/>
    </row>
    <row r="11234" spans="12:13" x14ac:dyDescent="0.2">
      <c r="L11234" s="12"/>
      <c r="M11234" s="13"/>
    </row>
    <row r="11235" spans="12:13" x14ac:dyDescent="0.2">
      <c r="L11235" s="12"/>
      <c r="M11235" s="13"/>
    </row>
    <row r="11236" spans="12:13" x14ac:dyDescent="0.2">
      <c r="L11236" s="12"/>
      <c r="M11236" s="13"/>
    </row>
    <row r="11237" spans="12:13" x14ac:dyDescent="0.2">
      <c r="L11237" s="12"/>
      <c r="M11237" s="13"/>
    </row>
    <row r="11238" spans="12:13" x14ac:dyDescent="0.2">
      <c r="L11238" s="12"/>
      <c r="M11238" s="13"/>
    </row>
    <row r="11239" spans="12:13" x14ac:dyDescent="0.2">
      <c r="L11239" s="12"/>
      <c r="M11239" s="13"/>
    </row>
    <row r="11240" spans="12:13" x14ac:dyDescent="0.2">
      <c r="L11240" s="12"/>
      <c r="M11240" s="13"/>
    </row>
    <row r="11241" spans="12:13" x14ac:dyDescent="0.2">
      <c r="L11241" s="12"/>
      <c r="M11241" s="13"/>
    </row>
    <row r="11242" spans="12:13" x14ac:dyDescent="0.2">
      <c r="L11242" s="12"/>
      <c r="M11242" s="13"/>
    </row>
    <row r="11243" spans="12:13" x14ac:dyDescent="0.2">
      <c r="L11243" s="12"/>
      <c r="M11243" s="13"/>
    </row>
    <row r="11244" spans="12:13" x14ac:dyDescent="0.2">
      <c r="L11244" s="12"/>
      <c r="M11244" s="13"/>
    </row>
    <row r="11245" spans="12:13" x14ac:dyDescent="0.2">
      <c r="L11245" s="12"/>
      <c r="M11245" s="13"/>
    </row>
    <row r="11246" spans="12:13" x14ac:dyDescent="0.2">
      <c r="L11246" s="12"/>
      <c r="M11246" s="13"/>
    </row>
    <row r="11247" spans="12:13" x14ac:dyDescent="0.2">
      <c r="L11247" s="12"/>
      <c r="M11247" s="13"/>
    </row>
    <row r="11248" spans="12:13" x14ac:dyDescent="0.2">
      <c r="L11248" s="12"/>
      <c r="M11248" s="13"/>
    </row>
    <row r="11249" spans="12:13" x14ac:dyDescent="0.2">
      <c r="L11249" s="12"/>
      <c r="M11249" s="13"/>
    </row>
    <row r="11250" spans="12:13" x14ac:dyDescent="0.2">
      <c r="L11250" s="12"/>
      <c r="M11250" s="13"/>
    </row>
    <row r="11251" spans="12:13" x14ac:dyDescent="0.2">
      <c r="L11251" s="12"/>
      <c r="M11251" s="13"/>
    </row>
    <row r="11252" spans="12:13" x14ac:dyDescent="0.2">
      <c r="L11252" s="12"/>
      <c r="M11252" s="13"/>
    </row>
    <row r="11253" spans="12:13" x14ac:dyDescent="0.2">
      <c r="L11253" s="12"/>
      <c r="M11253" s="13"/>
    </row>
    <row r="11254" spans="12:13" x14ac:dyDescent="0.2">
      <c r="L11254" s="12"/>
      <c r="M11254" s="13"/>
    </row>
    <row r="11255" spans="12:13" x14ac:dyDescent="0.2">
      <c r="L11255" s="12"/>
      <c r="M11255" s="13"/>
    </row>
    <row r="11256" spans="12:13" x14ac:dyDescent="0.2">
      <c r="L11256" s="12"/>
      <c r="M11256" s="13"/>
    </row>
    <row r="11257" spans="12:13" x14ac:dyDescent="0.2">
      <c r="L11257" s="12"/>
      <c r="M11257" s="13"/>
    </row>
    <row r="11258" spans="12:13" x14ac:dyDescent="0.2">
      <c r="L11258" s="12"/>
      <c r="M11258" s="13"/>
    </row>
    <row r="11259" spans="12:13" x14ac:dyDescent="0.2">
      <c r="L11259" s="12"/>
      <c r="M11259" s="13"/>
    </row>
    <row r="11260" spans="12:13" x14ac:dyDescent="0.2">
      <c r="L11260" s="12"/>
      <c r="M11260" s="13"/>
    </row>
    <row r="11261" spans="12:13" x14ac:dyDescent="0.2">
      <c r="L11261" s="12"/>
      <c r="M11261" s="13"/>
    </row>
    <row r="11262" spans="12:13" x14ac:dyDescent="0.2">
      <c r="L11262" s="12"/>
      <c r="M11262" s="13"/>
    </row>
    <row r="11263" spans="12:13" x14ac:dyDescent="0.2">
      <c r="L11263" s="12"/>
      <c r="M11263" s="13"/>
    </row>
    <row r="11264" spans="12:13" x14ac:dyDescent="0.2">
      <c r="L11264" s="12"/>
      <c r="M11264" s="13"/>
    </row>
    <row r="11265" spans="12:13" x14ac:dyDescent="0.2">
      <c r="L11265" s="12"/>
      <c r="M11265" s="13"/>
    </row>
    <row r="11266" spans="12:13" x14ac:dyDescent="0.2">
      <c r="L11266" s="17"/>
      <c r="M11266" s="18"/>
    </row>
    <row r="11267" spans="12:13" x14ac:dyDescent="0.2">
      <c r="L11267" s="12"/>
      <c r="M11267" s="13"/>
    </row>
    <row r="11268" spans="12:13" x14ac:dyDescent="0.2">
      <c r="L11268" s="12"/>
      <c r="M11268" s="13"/>
    </row>
    <row r="11269" spans="12:13" x14ac:dyDescent="0.2">
      <c r="L11269" s="12"/>
      <c r="M11269" s="13"/>
    </row>
    <row r="11270" spans="12:13" x14ac:dyDescent="0.2">
      <c r="L11270" s="12"/>
      <c r="M11270" s="13"/>
    </row>
    <row r="11271" spans="12:13" x14ac:dyDescent="0.2">
      <c r="L11271" s="12"/>
      <c r="M11271" s="13"/>
    </row>
    <row r="11272" spans="12:13" x14ac:dyDescent="0.2">
      <c r="L11272" s="12"/>
      <c r="M11272" s="13"/>
    </row>
    <row r="11273" spans="12:13" x14ac:dyDescent="0.2">
      <c r="L11273" s="12"/>
      <c r="M11273" s="13"/>
    </row>
    <row r="11274" spans="12:13" x14ac:dyDescent="0.2">
      <c r="L11274" s="12"/>
      <c r="M11274" s="13"/>
    </row>
    <row r="11275" spans="12:13" x14ac:dyDescent="0.2">
      <c r="L11275" s="12"/>
      <c r="M11275" s="13"/>
    </row>
    <row r="11276" spans="12:13" x14ac:dyDescent="0.2">
      <c r="L11276" s="12"/>
      <c r="M11276" s="13"/>
    </row>
    <row r="11277" spans="12:13" x14ac:dyDescent="0.2">
      <c r="L11277" s="12"/>
      <c r="M11277" s="13"/>
    </row>
    <row r="11278" spans="12:13" x14ac:dyDescent="0.2">
      <c r="L11278" s="12"/>
      <c r="M11278" s="13"/>
    </row>
    <row r="11279" spans="12:13" x14ac:dyDescent="0.2">
      <c r="L11279" s="12"/>
      <c r="M11279" s="13"/>
    </row>
    <row r="11280" spans="12:13" x14ac:dyDescent="0.2">
      <c r="L11280" s="12"/>
      <c r="M11280" s="13"/>
    </row>
    <row r="11281" spans="12:13" x14ac:dyDescent="0.2">
      <c r="L11281" s="12"/>
      <c r="M11281" s="13"/>
    </row>
    <row r="11282" spans="12:13" x14ac:dyDescent="0.2">
      <c r="L11282" s="12"/>
      <c r="M11282" s="13"/>
    </row>
    <row r="11283" spans="12:13" x14ac:dyDescent="0.2">
      <c r="L11283" s="12"/>
      <c r="M11283" s="13"/>
    </row>
    <row r="11284" spans="12:13" x14ac:dyDescent="0.2">
      <c r="L11284" s="12"/>
      <c r="M11284" s="13"/>
    </row>
    <row r="11285" spans="12:13" x14ac:dyDescent="0.2">
      <c r="L11285" s="12"/>
      <c r="M11285" s="13"/>
    </row>
    <row r="11286" spans="12:13" x14ac:dyDescent="0.2">
      <c r="L11286" s="12"/>
      <c r="M11286" s="13"/>
    </row>
    <row r="11287" spans="12:13" x14ac:dyDescent="0.2">
      <c r="L11287" s="12"/>
      <c r="M11287" s="13"/>
    </row>
    <row r="11288" spans="12:13" x14ac:dyDescent="0.2">
      <c r="L11288" s="12"/>
      <c r="M11288" s="13"/>
    </row>
    <row r="11289" spans="12:13" x14ac:dyDescent="0.2">
      <c r="L11289" s="12"/>
      <c r="M11289" s="13"/>
    </row>
    <row r="11290" spans="12:13" x14ac:dyDescent="0.2">
      <c r="L11290" s="12"/>
      <c r="M11290" s="13"/>
    </row>
    <row r="11291" spans="12:13" x14ac:dyDescent="0.2">
      <c r="L11291" s="12"/>
      <c r="M11291" s="13"/>
    </row>
    <row r="11292" spans="12:13" x14ac:dyDescent="0.2">
      <c r="L11292" s="12"/>
      <c r="M11292" s="13"/>
    </row>
    <row r="11293" spans="12:13" x14ac:dyDescent="0.2">
      <c r="L11293" s="12"/>
      <c r="M11293" s="13"/>
    </row>
    <row r="11294" spans="12:13" x14ac:dyDescent="0.2">
      <c r="L11294" s="12"/>
      <c r="M11294" s="13"/>
    </row>
    <row r="11295" spans="12:13" x14ac:dyDescent="0.2">
      <c r="L11295" s="12"/>
      <c r="M11295" s="13"/>
    </row>
    <row r="11296" spans="12:13" x14ac:dyDescent="0.2">
      <c r="L11296" s="12"/>
      <c r="M11296" s="13"/>
    </row>
    <row r="11297" spans="12:13" x14ac:dyDescent="0.2">
      <c r="L11297" s="12"/>
      <c r="M11297" s="13"/>
    </row>
    <row r="11298" spans="12:13" x14ac:dyDescent="0.2">
      <c r="L11298" s="12"/>
      <c r="M11298" s="13"/>
    </row>
    <row r="11299" spans="12:13" x14ac:dyDescent="0.2">
      <c r="L11299" s="12"/>
      <c r="M11299" s="13"/>
    </row>
    <row r="11300" spans="12:13" x14ac:dyDescent="0.2">
      <c r="L11300" s="12"/>
      <c r="M11300" s="13"/>
    </row>
    <row r="11301" spans="12:13" x14ac:dyDescent="0.2">
      <c r="L11301" s="12"/>
      <c r="M11301" s="13"/>
    </row>
    <row r="11302" spans="12:13" x14ac:dyDescent="0.2">
      <c r="L11302" s="12"/>
      <c r="M11302" s="13"/>
    </row>
    <row r="11303" spans="12:13" x14ac:dyDescent="0.2">
      <c r="L11303" s="12"/>
      <c r="M11303" s="13"/>
    </row>
    <row r="11304" spans="12:13" x14ac:dyDescent="0.2">
      <c r="L11304" s="12"/>
      <c r="M11304" s="13"/>
    </row>
    <row r="11305" spans="12:13" x14ac:dyDescent="0.2">
      <c r="L11305" s="12"/>
      <c r="M11305" s="13"/>
    </row>
    <row r="11306" spans="12:13" x14ac:dyDescent="0.2">
      <c r="L11306" s="12"/>
      <c r="M11306" s="13"/>
    </row>
    <row r="11307" spans="12:13" x14ac:dyDescent="0.2">
      <c r="L11307" s="12"/>
      <c r="M11307" s="13"/>
    </row>
    <row r="11308" spans="12:13" x14ac:dyDescent="0.2">
      <c r="L11308" s="12"/>
      <c r="M11308" s="13"/>
    </row>
    <row r="11309" spans="12:13" x14ac:dyDescent="0.2">
      <c r="L11309" s="12"/>
      <c r="M11309" s="13"/>
    </row>
    <row r="11310" spans="12:13" x14ac:dyDescent="0.2">
      <c r="L11310" s="12"/>
      <c r="M11310" s="13"/>
    </row>
    <row r="11311" spans="12:13" x14ac:dyDescent="0.2">
      <c r="L11311" s="12"/>
      <c r="M11311" s="13"/>
    </row>
    <row r="11312" spans="12:13" x14ac:dyDescent="0.2">
      <c r="L11312" s="12"/>
      <c r="M11312" s="13"/>
    </row>
    <row r="11313" spans="12:13" x14ac:dyDescent="0.2">
      <c r="L11313" s="12"/>
      <c r="M11313" s="13"/>
    </row>
    <row r="11314" spans="12:13" x14ac:dyDescent="0.2">
      <c r="L11314" s="12"/>
      <c r="M11314" s="13"/>
    </row>
    <row r="11315" spans="12:13" x14ac:dyDescent="0.2">
      <c r="L11315" s="12"/>
      <c r="M11315" s="13"/>
    </row>
    <row r="11316" spans="12:13" x14ac:dyDescent="0.2">
      <c r="L11316" s="12"/>
      <c r="M11316" s="13"/>
    </row>
    <row r="11317" spans="12:13" x14ac:dyDescent="0.2">
      <c r="L11317" s="12"/>
      <c r="M11317" s="13"/>
    </row>
    <row r="11318" spans="12:13" x14ac:dyDescent="0.2">
      <c r="L11318" s="12"/>
      <c r="M11318" s="13"/>
    </row>
    <row r="11319" spans="12:13" x14ac:dyDescent="0.2">
      <c r="L11319" s="12"/>
      <c r="M11319" s="13"/>
    </row>
    <row r="11320" spans="12:13" x14ac:dyDescent="0.2">
      <c r="L11320" s="12"/>
      <c r="M11320" s="13"/>
    </row>
    <row r="11321" spans="12:13" x14ac:dyDescent="0.2">
      <c r="L11321" s="12"/>
      <c r="M11321" s="13"/>
    </row>
    <row r="11322" spans="12:13" x14ac:dyDescent="0.2">
      <c r="L11322" s="12"/>
      <c r="M11322" s="13"/>
    </row>
    <row r="11323" spans="12:13" x14ac:dyDescent="0.2">
      <c r="L11323" s="12"/>
      <c r="M11323" s="13"/>
    </row>
    <row r="11324" spans="12:13" x14ac:dyDescent="0.2">
      <c r="L11324" s="12"/>
      <c r="M11324" s="13"/>
    </row>
    <row r="11325" spans="12:13" x14ac:dyDescent="0.2">
      <c r="L11325" s="12"/>
      <c r="M11325" s="13"/>
    </row>
    <row r="11326" spans="12:13" x14ac:dyDescent="0.2">
      <c r="L11326" s="12"/>
      <c r="M11326" s="13"/>
    </row>
    <row r="11327" spans="12:13" x14ac:dyDescent="0.2">
      <c r="L11327" s="12"/>
      <c r="M11327" s="13"/>
    </row>
    <row r="11328" spans="12:13" x14ac:dyDescent="0.2">
      <c r="L11328" s="12"/>
      <c r="M11328" s="13"/>
    </row>
    <row r="11329" spans="12:13" x14ac:dyDescent="0.2">
      <c r="L11329" s="12"/>
      <c r="M11329" s="13"/>
    </row>
    <row r="11330" spans="12:13" x14ac:dyDescent="0.2">
      <c r="L11330" s="12"/>
      <c r="M11330" s="13"/>
    </row>
    <row r="11331" spans="12:13" x14ac:dyDescent="0.2">
      <c r="L11331" s="12"/>
      <c r="M11331" s="13"/>
    </row>
    <row r="11332" spans="12:13" x14ac:dyDescent="0.2">
      <c r="L11332" s="12"/>
      <c r="M11332" s="13"/>
    </row>
    <row r="11333" spans="12:13" x14ac:dyDescent="0.2">
      <c r="L11333" s="12"/>
      <c r="M11333" s="13"/>
    </row>
    <row r="11334" spans="12:13" x14ac:dyDescent="0.2">
      <c r="L11334" s="12"/>
      <c r="M11334" s="13"/>
    </row>
    <row r="11335" spans="12:13" x14ac:dyDescent="0.2">
      <c r="L11335" s="12"/>
      <c r="M11335" s="13"/>
    </row>
    <row r="11336" spans="12:13" x14ac:dyDescent="0.2">
      <c r="L11336" s="12"/>
      <c r="M11336" s="13"/>
    </row>
    <row r="11337" spans="12:13" x14ac:dyDescent="0.2">
      <c r="L11337" s="12"/>
      <c r="M11337" s="13"/>
    </row>
    <row r="11338" spans="12:13" x14ac:dyDescent="0.2">
      <c r="L11338" s="12"/>
      <c r="M11338" s="13"/>
    </row>
    <row r="11339" spans="12:13" x14ac:dyDescent="0.2">
      <c r="L11339" s="12"/>
      <c r="M11339" s="13"/>
    </row>
    <row r="11340" spans="12:13" x14ac:dyDescent="0.2">
      <c r="L11340" s="12"/>
      <c r="M11340" s="13"/>
    </row>
    <row r="11341" spans="12:13" x14ac:dyDescent="0.2">
      <c r="L11341" s="12"/>
      <c r="M11341" s="13"/>
    </row>
    <row r="11342" spans="12:13" x14ac:dyDescent="0.2">
      <c r="L11342" s="12"/>
      <c r="M11342" s="13"/>
    </row>
    <row r="11343" spans="12:13" x14ac:dyDescent="0.2">
      <c r="L11343" s="12"/>
      <c r="M11343" s="13"/>
    </row>
    <row r="11344" spans="12:13" x14ac:dyDescent="0.2">
      <c r="L11344" s="12"/>
      <c r="M11344" s="13"/>
    </row>
    <row r="11345" spans="12:13" x14ac:dyDescent="0.2">
      <c r="L11345" s="12"/>
      <c r="M11345" s="13"/>
    </row>
    <row r="11346" spans="12:13" x14ac:dyDescent="0.2">
      <c r="L11346" s="12"/>
      <c r="M11346" s="13"/>
    </row>
    <row r="11347" spans="12:13" x14ac:dyDescent="0.2">
      <c r="L11347" s="12"/>
      <c r="M11347" s="13"/>
    </row>
    <row r="11348" spans="12:13" x14ac:dyDescent="0.2">
      <c r="L11348" s="12"/>
      <c r="M11348" s="13"/>
    </row>
    <row r="11349" spans="12:13" x14ac:dyDescent="0.2">
      <c r="L11349" s="12"/>
      <c r="M11349" s="13"/>
    </row>
    <row r="11350" spans="12:13" x14ac:dyDescent="0.2">
      <c r="L11350" s="12"/>
      <c r="M11350" s="13"/>
    </row>
    <row r="11351" spans="12:13" x14ac:dyDescent="0.2">
      <c r="L11351" s="12"/>
      <c r="M11351" s="13"/>
    </row>
    <row r="11352" spans="12:13" x14ac:dyDescent="0.2">
      <c r="L11352" s="12"/>
      <c r="M11352" s="13"/>
    </row>
    <row r="11353" spans="12:13" x14ac:dyDescent="0.2">
      <c r="L11353" s="12"/>
      <c r="M11353" s="13"/>
    </row>
    <row r="11354" spans="12:13" x14ac:dyDescent="0.2">
      <c r="L11354" s="12"/>
      <c r="M11354" s="13"/>
    </row>
    <row r="11355" spans="12:13" x14ac:dyDescent="0.2">
      <c r="L11355" s="12"/>
      <c r="M11355" s="13"/>
    </row>
    <row r="11356" spans="12:13" x14ac:dyDescent="0.2">
      <c r="L11356" s="12"/>
      <c r="M11356" s="13"/>
    </row>
    <row r="11357" spans="12:13" x14ac:dyDescent="0.2">
      <c r="L11357" s="12"/>
      <c r="M11357" s="13"/>
    </row>
    <row r="11358" spans="12:13" x14ac:dyDescent="0.2">
      <c r="L11358" s="12"/>
      <c r="M11358" s="13"/>
    </row>
    <row r="11359" spans="12:13" x14ac:dyDescent="0.2">
      <c r="L11359" s="12"/>
      <c r="M11359" s="13"/>
    </row>
    <row r="11360" spans="12:13" x14ac:dyDescent="0.2">
      <c r="L11360" s="12"/>
      <c r="M11360" s="13"/>
    </row>
    <row r="11361" spans="12:13" x14ac:dyDescent="0.2">
      <c r="L11361" s="12"/>
      <c r="M11361" s="13"/>
    </row>
    <row r="11362" spans="12:13" x14ac:dyDescent="0.2">
      <c r="L11362" s="12"/>
      <c r="M11362" s="13"/>
    </row>
    <row r="11363" spans="12:13" x14ac:dyDescent="0.2">
      <c r="L11363" s="12"/>
      <c r="M11363" s="13"/>
    </row>
    <row r="11364" spans="12:13" x14ac:dyDescent="0.2">
      <c r="L11364" s="12"/>
      <c r="M11364" s="13"/>
    </row>
    <row r="11365" spans="12:13" x14ac:dyDescent="0.2">
      <c r="L11365" s="12"/>
      <c r="M11365" s="13"/>
    </row>
    <row r="11366" spans="12:13" x14ac:dyDescent="0.2">
      <c r="L11366" s="12"/>
      <c r="M11366" s="13"/>
    </row>
    <row r="11367" spans="12:13" x14ac:dyDescent="0.2">
      <c r="L11367" s="12"/>
      <c r="M11367" s="13"/>
    </row>
    <row r="11368" spans="12:13" x14ac:dyDescent="0.2">
      <c r="L11368" s="12"/>
      <c r="M11368" s="13"/>
    </row>
    <row r="11369" spans="12:13" x14ac:dyDescent="0.2">
      <c r="L11369" s="12"/>
      <c r="M11369" s="13"/>
    </row>
    <row r="11370" spans="12:13" x14ac:dyDescent="0.2">
      <c r="L11370" s="12"/>
      <c r="M11370" s="13"/>
    </row>
    <row r="11371" spans="12:13" x14ac:dyDescent="0.2">
      <c r="L11371" s="12"/>
      <c r="M11371" s="13"/>
    </row>
    <row r="11372" spans="12:13" x14ac:dyDescent="0.2">
      <c r="L11372" s="12"/>
      <c r="M11372" s="13"/>
    </row>
    <row r="11373" spans="12:13" x14ac:dyDescent="0.2">
      <c r="L11373" s="12"/>
      <c r="M11373" s="13"/>
    </row>
    <row r="11374" spans="12:13" x14ac:dyDescent="0.2">
      <c r="L11374" s="12"/>
      <c r="M11374" s="13"/>
    </row>
    <row r="11375" spans="12:13" x14ac:dyDescent="0.2">
      <c r="L11375" s="12"/>
      <c r="M11375" s="13"/>
    </row>
    <row r="11376" spans="12:13" x14ac:dyDescent="0.2">
      <c r="L11376" s="12"/>
      <c r="M11376" s="13"/>
    </row>
    <row r="11377" spans="12:13" x14ac:dyDescent="0.2">
      <c r="L11377" s="12"/>
      <c r="M11377" s="13"/>
    </row>
    <row r="11378" spans="12:13" x14ac:dyDescent="0.2">
      <c r="L11378" s="12"/>
      <c r="M11378" s="13"/>
    </row>
    <row r="11379" spans="12:13" x14ac:dyDescent="0.2">
      <c r="L11379" s="12"/>
      <c r="M11379" s="13"/>
    </row>
    <row r="11380" spans="12:13" x14ac:dyDescent="0.2">
      <c r="L11380" s="12"/>
      <c r="M11380" s="13"/>
    </row>
    <row r="11381" spans="12:13" x14ac:dyDescent="0.2">
      <c r="L11381" s="12"/>
      <c r="M11381" s="13"/>
    </row>
    <row r="11382" spans="12:13" x14ac:dyDescent="0.2">
      <c r="L11382" s="12"/>
      <c r="M11382" s="13"/>
    </row>
    <row r="11383" spans="12:13" x14ac:dyDescent="0.2">
      <c r="L11383" s="12"/>
      <c r="M11383" s="13"/>
    </row>
    <row r="11384" spans="12:13" x14ac:dyDescent="0.2">
      <c r="L11384" s="12"/>
      <c r="M11384" s="13"/>
    </row>
    <row r="11385" spans="12:13" x14ac:dyDescent="0.2">
      <c r="L11385" s="12"/>
      <c r="M11385" s="13"/>
    </row>
    <row r="11386" spans="12:13" x14ac:dyDescent="0.2">
      <c r="L11386" s="12"/>
      <c r="M11386" s="13"/>
    </row>
    <row r="11387" spans="12:13" x14ac:dyDescent="0.2">
      <c r="L11387" s="12"/>
      <c r="M11387" s="13"/>
    </row>
    <row r="11388" spans="12:13" x14ac:dyDescent="0.2">
      <c r="L11388" s="12"/>
      <c r="M11388" s="13"/>
    </row>
    <row r="11389" spans="12:13" x14ac:dyDescent="0.2">
      <c r="L11389" s="12"/>
      <c r="M11389" s="13"/>
    </row>
    <row r="11390" spans="12:13" x14ac:dyDescent="0.2">
      <c r="L11390" s="12"/>
      <c r="M11390" s="13"/>
    </row>
    <row r="11391" spans="12:13" x14ac:dyDescent="0.2">
      <c r="L11391" s="12"/>
      <c r="M11391" s="13"/>
    </row>
    <row r="11392" spans="12:13" x14ac:dyDescent="0.2">
      <c r="L11392" s="12"/>
      <c r="M11392" s="13"/>
    </row>
    <row r="11393" spans="12:13" x14ac:dyDescent="0.2">
      <c r="L11393" s="12"/>
      <c r="M11393" s="13"/>
    </row>
    <row r="11394" spans="12:13" x14ac:dyDescent="0.2">
      <c r="L11394" s="12"/>
      <c r="M11394" s="13"/>
    </row>
    <row r="11395" spans="12:13" x14ac:dyDescent="0.2">
      <c r="L11395" s="12"/>
      <c r="M11395" s="13"/>
    </row>
    <row r="11396" spans="12:13" x14ac:dyDescent="0.2">
      <c r="L11396" s="12"/>
      <c r="M11396" s="13"/>
    </row>
    <row r="11397" spans="12:13" x14ac:dyDescent="0.2">
      <c r="L11397" s="12"/>
      <c r="M11397" s="13"/>
    </row>
    <row r="11398" spans="12:13" x14ac:dyDescent="0.2">
      <c r="L11398" s="12"/>
      <c r="M11398" s="13"/>
    </row>
    <row r="11399" spans="12:13" x14ac:dyDescent="0.2">
      <c r="L11399" s="12"/>
      <c r="M11399" s="13"/>
    </row>
    <row r="11400" spans="12:13" x14ac:dyDescent="0.2">
      <c r="L11400" s="12"/>
      <c r="M11400" s="13"/>
    </row>
    <row r="11401" spans="12:13" x14ac:dyDescent="0.2">
      <c r="L11401" s="12"/>
      <c r="M11401" s="13"/>
    </row>
    <row r="11402" spans="12:13" x14ac:dyDescent="0.2">
      <c r="L11402" s="12"/>
      <c r="M11402" s="13"/>
    </row>
    <row r="11403" spans="12:13" x14ac:dyDescent="0.2">
      <c r="L11403" s="12"/>
      <c r="M11403" s="13"/>
    </row>
    <row r="11404" spans="12:13" x14ac:dyDescent="0.2">
      <c r="L11404" s="12"/>
      <c r="M11404" s="13"/>
    </row>
    <row r="11405" spans="12:13" x14ac:dyDescent="0.2">
      <c r="L11405" s="12"/>
      <c r="M11405" s="13"/>
    </row>
    <row r="11406" spans="12:13" x14ac:dyDescent="0.2">
      <c r="L11406" s="12"/>
      <c r="M11406" s="13"/>
    </row>
    <row r="11407" spans="12:13" x14ac:dyDescent="0.2">
      <c r="L11407" s="12"/>
      <c r="M11407" s="13"/>
    </row>
    <row r="11408" spans="12:13" x14ac:dyDescent="0.2">
      <c r="L11408" s="12"/>
      <c r="M11408" s="13"/>
    </row>
    <row r="11409" spans="12:13" x14ac:dyDescent="0.2">
      <c r="L11409" s="12"/>
      <c r="M11409" s="13"/>
    </row>
    <row r="11410" spans="12:13" x14ac:dyDescent="0.2">
      <c r="L11410" s="12"/>
      <c r="M11410" s="13"/>
    </row>
    <row r="11411" spans="12:13" x14ac:dyDescent="0.2">
      <c r="L11411" s="12"/>
      <c r="M11411" s="13"/>
    </row>
    <row r="11412" spans="12:13" x14ac:dyDescent="0.2">
      <c r="L11412" s="12"/>
      <c r="M11412" s="13"/>
    </row>
    <row r="11413" spans="12:13" x14ac:dyDescent="0.2">
      <c r="L11413" s="12"/>
      <c r="M11413" s="13"/>
    </row>
    <row r="11414" spans="12:13" x14ac:dyDescent="0.2">
      <c r="L11414" s="12"/>
      <c r="M11414" s="13"/>
    </row>
    <row r="11415" spans="12:13" x14ac:dyDescent="0.2">
      <c r="L11415" s="12"/>
      <c r="M11415" s="13"/>
    </row>
    <row r="11416" spans="12:13" x14ac:dyDescent="0.2">
      <c r="L11416" s="12"/>
      <c r="M11416" s="13"/>
    </row>
    <row r="11417" spans="12:13" x14ac:dyDescent="0.2">
      <c r="L11417" s="12"/>
      <c r="M11417" s="13"/>
    </row>
    <row r="11418" spans="12:13" x14ac:dyDescent="0.2">
      <c r="L11418" s="12"/>
      <c r="M11418" s="13"/>
    </row>
    <row r="11419" spans="12:13" x14ac:dyDescent="0.2">
      <c r="L11419" s="12"/>
      <c r="M11419" s="13"/>
    </row>
    <row r="11420" spans="12:13" x14ac:dyDescent="0.2">
      <c r="L11420" s="12"/>
      <c r="M11420" s="13"/>
    </row>
    <row r="11421" spans="12:13" x14ac:dyDescent="0.2">
      <c r="L11421" s="12"/>
      <c r="M11421" s="13"/>
    </row>
    <row r="11422" spans="12:13" x14ac:dyDescent="0.2">
      <c r="L11422" s="12"/>
      <c r="M11422" s="13"/>
    </row>
    <row r="11423" spans="12:13" x14ac:dyDescent="0.2">
      <c r="L11423" s="12"/>
      <c r="M11423" s="13"/>
    </row>
    <row r="11424" spans="12:13" x14ac:dyDescent="0.2">
      <c r="L11424" s="12"/>
      <c r="M11424" s="13"/>
    </row>
    <row r="11425" spans="12:13" x14ac:dyDescent="0.2">
      <c r="L11425" s="12"/>
      <c r="M11425" s="13"/>
    </row>
    <row r="11426" spans="12:13" x14ac:dyDescent="0.2">
      <c r="L11426" s="12"/>
      <c r="M11426" s="13"/>
    </row>
    <row r="11427" spans="12:13" x14ac:dyDescent="0.2">
      <c r="L11427" s="12"/>
      <c r="M11427" s="13"/>
    </row>
    <row r="11428" spans="12:13" x14ac:dyDescent="0.2">
      <c r="L11428" s="12"/>
      <c r="M11428" s="13"/>
    </row>
    <row r="11429" spans="12:13" x14ac:dyDescent="0.2">
      <c r="L11429" s="12"/>
      <c r="M11429" s="13"/>
    </row>
    <row r="11430" spans="12:13" x14ac:dyDescent="0.2">
      <c r="L11430" s="12"/>
      <c r="M11430" s="13"/>
    </row>
    <row r="11431" spans="12:13" x14ac:dyDescent="0.2">
      <c r="L11431" s="12"/>
      <c r="M11431" s="13"/>
    </row>
    <row r="11432" spans="12:13" x14ac:dyDescent="0.2">
      <c r="L11432" s="12"/>
      <c r="M11432" s="13"/>
    </row>
    <row r="11433" spans="12:13" x14ac:dyDescent="0.2">
      <c r="L11433" s="12"/>
      <c r="M11433" s="13"/>
    </row>
    <row r="11434" spans="12:13" x14ac:dyDescent="0.2">
      <c r="L11434" s="12"/>
      <c r="M11434" s="13"/>
    </row>
    <row r="11435" spans="12:13" x14ac:dyDescent="0.2">
      <c r="L11435" s="12"/>
      <c r="M11435" s="13"/>
    </row>
    <row r="11436" spans="12:13" x14ac:dyDescent="0.2">
      <c r="L11436" s="12"/>
      <c r="M11436" s="13"/>
    </row>
    <row r="11437" spans="12:13" x14ac:dyDescent="0.2">
      <c r="L11437" s="12"/>
      <c r="M11437" s="13"/>
    </row>
    <row r="11438" spans="12:13" x14ac:dyDescent="0.2">
      <c r="L11438" s="12"/>
      <c r="M11438" s="13"/>
    </row>
    <row r="11439" spans="12:13" x14ac:dyDescent="0.2">
      <c r="L11439" s="12"/>
      <c r="M11439" s="13"/>
    </row>
    <row r="11440" spans="12:13" x14ac:dyDescent="0.2">
      <c r="L11440" s="12"/>
      <c r="M11440" s="13"/>
    </row>
    <row r="11441" spans="12:13" x14ac:dyDescent="0.2">
      <c r="L11441" s="12"/>
      <c r="M11441" s="13"/>
    </row>
    <row r="11442" spans="12:13" x14ac:dyDescent="0.2">
      <c r="L11442" s="12"/>
      <c r="M11442" s="13"/>
    </row>
    <row r="11443" spans="12:13" x14ac:dyDescent="0.2">
      <c r="L11443" s="12"/>
      <c r="M11443" s="13"/>
    </row>
    <row r="11444" spans="12:13" x14ac:dyDescent="0.2">
      <c r="L11444" s="12"/>
      <c r="M11444" s="13"/>
    </row>
    <row r="11445" spans="12:13" x14ac:dyDescent="0.2">
      <c r="L11445" s="12"/>
      <c r="M11445" s="13"/>
    </row>
    <row r="11446" spans="12:13" x14ac:dyDescent="0.2">
      <c r="L11446" s="12"/>
      <c r="M11446" s="13"/>
    </row>
    <row r="11447" spans="12:13" x14ac:dyDescent="0.2">
      <c r="L11447" s="12"/>
      <c r="M11447" s="13"/>
    </row>
    <row r="11448" spans="12:13" x14ac:dyDescent="0.2">
      <c r="L11448" s="12"/>
      <c r="M11448" s="13"/>
    </row>
    <row r="11449" spans="12:13" x14ac:dyDescent="0.2">
      <c r="L11449" s="12"/>
      <c r="M11449" s="13"/>
    </row>
    <row r="11450" spans="12:13" x14ac:dyDescent="0.2">
      <c r="L11450" s="12"/>
      <c r="M11450" s="13"/>
    </row>
    <row r="11451" spans="12:13" x14ac:dyDescent="0.2">
      <c r="L11451" s="12"/>
      <c r="M11451" s="13"/>
    </row>
    <row r="11452" spans="12:13" x14ac:dyDescent="0.2">
      <c r="L11452" s="12"/>
      <c r="M11452" s="13"/>
    </row>
    <row r="11453" spans="12:13" x14ac:dyDescent="0.2">
      <c r="L11453" s="12"/>
      <c r="M11453" s="13"/>
    </row>
    <row r="11454" spans="12:13" x14ac:dyDescent="0.2">
      <c r="L11454" s="12"/>
      <c r="M11454" s="13"/>
    </row>
    <row r="11455" spans="12:13" x14ac:dyDescent="0.2">
      <c r="L11455" s="12"/>
      <c r="M11455" s="13"/>
    </row>
    <row r="11456" spans="12:13" x14ac:dyDescent="0.2">
      <c r="L11456" s="12"/>
      <c r="M11456" s="13"/>
    </row>
    <row r="11457" spans="12:13" x14ac:dyDescent="0.2">
      <c r="L11457" s="12"/>
      <c r="M11457" s="13"/>
    </row>
    <row r="11458" spans="12:13" x14ac:dyDescent="0.2">
      <c r="L11458" s="12"/>
      <c r="M11458" s="13"/>
    </row>
    <row r="11459" spans="12:13" x14ac:dyDescent="0.2">
      <c r="L11459" s="12"/>
      <c r="M11459" s="13"/>
    </row>
    <row r="11460" spans="12:13" x14ac:dyDescent="0.2">
      <c r="L11460" s="12"/>
      <c r="M11460" s="13"/>
    </row>
    <row r="11461" spans="12:13" x14ac:dyDescent="0.2">
      <c r="L11461" s="12"/>
      <c r="M11461" s="13"/>
    </row>
    <row r="11462" spans="12:13" x14ac:dyDescent="0.2">
      <c r="L11462" s="12"/>
      <c r="M11462" s="13"/>
    </row>
    <row r="11463" spans="12:13" x14ac:dyDescent="0.2">
      <c r="L11463" s="12"/>
      <c r="M11463" s="13"/>
    </row>
    <row r="11464" spans="12:13" x14ac:dyDescent="0.2">
      <c r="L11464" s="12"/>
      <c r="M11464" s="13"/>
    </row>
    <row r="11465" spans="12:13" x14ac:dyDescent="0.2">
      <c r="L11465" s="12"/>
      <c r="M11465" s="13"/>
    </row>
    <row r="11466" spans="12:13" x14ac:dyDescent="0.2">
      <c r="L11466" s="12"/>
      <c r="M11466" s="13"/>
    </row>
    <row r="11467" spans="12:13" x14ac:dyDescent="0.2">
      <c r="L11467" s="12"/>
      <c r="M11467" s="13"/>
    </row>
    <row r="11468" spans="12:13" x14ac:dyDescent="0.2">
      <c r="L11468" s="12"/>
      <c r="M11468" s="13"/>
    </row>
    <row r="11469" spans="12:13" x14ac:dyDescent="0.2">
      <c r="L11469" s="12"/>
      <c r="M11469" s="13"/>
    </row>
    <row r="11470" spans="12:13" x14ac:dyDescent="0.2">
      <c r="L11470" s="12"/>
      <c r="M11470" s="13"/>
    </row>
    <row r="11471" spans="12:13" x14ac:dyDescent="0.2">
      <c r="L11471" s="12"/>
      <c r="M11471" s="13"/>
    </row>
    <row r="11472" spans="12:13" x14ac:dyDescent="0.2">
      <c r="L11472" s="12"/>
      <c r="M11472" s="13"/>
    </row>
    <row r="11473" spans="12:13" x14ac:dyDescent="0.2">
      <c r="L11473" s="12"/>
      <c r="M11473" s="13"/>
    </row>
    <row r="11474" spans="12:13" x14ac:dyDescent="0.2">
      <c r="L11474" s="12"/>
      <c r="M11474" s="13"/>
    </row>
    <row r="11475" spans="12:13" x14ac:dyDescent="0.2">
      <c r="L11475" s="12"/>
      <c r="M11475" s="13"/>
    </row>
    <row r="11476" spans="12:13" x14ac:dyDescent="0.2">
      <c r="L11476" s="12"/>
      <c r="M11476" s="13"/>
    </row>
    <row r="11477" spans="12:13" x14ac:dyDescent="0.2">
      <c r="L11477" s="12"/>
      <c r="M11477" s="13"/>
    </row>
    <row r="11478" spans="12:13" x14ac:dyDescent="0.2">
      <c r="L11478" s="12"/>
      <c r="M11478" s="13"/>
    </row>
    <row r="11479" spans="12:13" x14ac:dyDescent="0.2">
      <c r="L11479" s="12"/>
      <c r="M11479" s="13"/>
    </row>
    <row r="11480" spans="12:13" x14ac:dyDescent="0.2">
      <c r="L11480" s="12"/>
      <c r="M11480" s="13"/>
    </row>
    <row r="11481" spans="12:13" x14ac:dyDescent="0.2">
      <c r="L11481" s="12"/>
      <c r="M11481" s="13"/>
    </row>
    <row r="11482" spans="12:13" x14ac:dyDescent="0.2">
      <c r="L11482" s="12"/>
      <c r="M11482" s="13"/>
    </row>
    <row r="11483" spans="12:13" x14ac:dyDescent="0.2">
      <c r="L11483" s="12"/>
      <c r="M11483" s="13"/>
    </row>
    <row r="11484" spans="12:13" x14ac:dyDescent="0.2">
      <c r="L11484" s="12"/>
      <c r="M11484" s="13"/>
    </row>
    <row r="11485" spans="12:13" x14ac:dyDescent="0.2">
      <c r="L11485" s="12"/>
      <c r="M11485" s="13"/>
    </row>
    <row r="11486" spans="12:13" x14ac:dyDescent="0.2">
      <c r="L11486" s="12"/>
      <c r="M11486" s="13"/>
    </row>
    <row r="11487" spans="12:13" x14ac:dyDescent="0.2">
      <c r="L11487" s="12"/>
      <c r="M11487" s="13"/>
    </row>
    <row r="11488" spans="12:13" x14ac:dyDescent="0.2">
      <c r="L11488" s="12"/>
      <c r="M11488" s="13"/>
    </row>
    <row r="11489" spans="12:13" x14ac:dyDescent="0.2">
      <c r="L11489" s="12"/>
      <c r="M11489" s="13"/>
    </row>
    <row r="11490" spans="12:13" x14ac:dyDescent="0.2">
      <c r="L11490" s="12"/>
      <c r="M11490" s="13"/>
    </row>
    <row r="11491" spans="12:13" x14ac:dyDescent="0.2">
      <c r="L11491" s="12"/>
      <c r="M11491" s="13"/>
    </row>
    <row r="11492" spans="12:13" x14ac:dyDescent="0.2">
      <c r="L11492" s="12"/>
      <c r="M11492" s="13"/>
    </row>
    <row r="11493" spans="12:13" x14ac:dyDescent="0.2">
      <c r="L11493" s="12"/>
      <c r="M11493" s="13"/>
    </row>
    <row r="11494" spans="12:13" x14ac:dyDescent="0.2">
      <c r="L11494" s="12"/>
      <c r="M11494" s="13"/>
    </row>
    <row r="11495" spans="12:13" x14ac:dyDescent="0.2">
      <c r="L11495" s="12"/>
      <c r="M11495" s="13"/>
    </row>
    <row r="11496" spans="12:13" x14ac:dyDescent="0.2">
      <c r="L11496" s="12"/>
      <c r="M11496" s="13"/>
    </row>
    <row r="11497" spans="12:13" x14ac:dyDescent="0.2">
      <c r="L11497" s="12"/>
      <c r="M11497" s="13"/>
    </row>
    <row r="11498" spans="12:13" x14ac:dyDescent="0.2">
      <c r="L11498" s="12"/>
      <c r="M11498" s="13"/>
    </row>
    <row r="11499" spans="12:13" x14ac:dyDescent="0.2">
      <c r="L11499" s="12"/>
      <c r="M11499" s="13"/>
    </row>
    <row r="11500" spans="12:13" x14ac:dyDescent="0.2">
      <c r="L11500" s="12"/>
      <c r="M11500" s="13"/>
    </row>
    <row r="11501" spans="12:13" x14ac:dyDescent="0.2">
      <c r="L11501" s="12"/>
      <c r="M11501" s="13"/>
    </row>
    <row r="11502" spans="12:13" x14ac:dyDescent="0.2">
      <c r="L11502" s="12"/>
      <c r="M11502" s="13"/>
    </row>
    <row r="11503" spans="12:13" x14ac:dyDescent="0.2">
      <c r="L11503" s="12"/>
      <c r="M11503" s="13"/>
    </row>
    <row r="11504" spans="12:13" x14ac:dyDescent="0.2">
      <c r="L11504" s="12"/>
      <c r="M11504" s="13"/>
    </row>
    <row r="11505" spans="12:13" x14ac:dyDescent="0.2">
      <c r="L11505" s="12"/>
      <c r="M11505" s="13"/>
    </row>
    <row r="11506" spans="12:13" x14ac:dyDescent="0.2">
      <c r="L11506" s="12"/>
      <c r="M11506" s="13"/>
    </row>
    <row r="11507" spans="12:13" x14ac:dyDescent="0.2">
      <c r="L11507" s="12"/>
      <c r="M11507" s="13"/>
    </row>
    <row r="11508" spans="12:13" x14ac:dyDescent="0.2">
      <c r="L11508" s="12"/>
      <c r="M11508" s="13"/>
    </row>
    <row r="11509" spans="12:13" x14ac:dyDescent="0.2">
      <c r="L11509" s="12"/>
      <c r="M11509" s="13"/>
    </row>
    <row r="11510" spans="12:13" x14ac:dyDescent="0.2">
      <c r="L11510" s="12"/>
      <c r="M11510" s="13"/>
    </row>
    <row r="11511" spans="12:13" x14ac:dyDescent="0.2">
      <c r="L11511" s="12"/>
      <c r="M11511" s="13"/>
    </row>
    <row r="11512" spans="12:13" x14ac:dyDescent="0.2">
      <c r="L11512" s="12"/>
      <c r="M11512" s="13"/>
    </row>
    <row r="11513" spans="12:13" x14ac:dyDescent="0.2">
      <c r="L11513" s="12"/>
      <c r="M11513" s="13"/>
    </row>
    <row r="11514" spans="12:13" x14ac:dyDescent="0.2">
      <c r="L11514" s="12"/>
      <c r="M11514" s="13"/>
    </row>
    <row r="11515" spans="12:13" x14ac:dyDescent="0.2">
      <c r="L11515" s="12"/>
      <c r="M11515" s="13"/>
    </row>
    <row r="11516" spans="12:13" x14ac:dyDescent="0.2">
      <c r="L11516" s="12"/>
      <c r="M11516" s="13"/>
    </row>
    <row r="11517" spans="12:13" x14ac:dyDescent="0.2">
      <c r="L11517" s="12"/>
      <c r="M11517" s="13"/>
    </row>
    <row r="11518" spans="12:13" x14ac:dyDescent="0.2">
      <c r="L11518" s="12"/>
      <c r="M11518" s="13"/>
    </row>
    <row r="11519" spans="12:13" x14ac:dyDescent="0.2">
      <c r="L11519" s="12"/>
      <c r="M11519" s="13"/>
    </row>
    <row r="11520" spans="12:13" x14ac:dyDescent="0.2">
      <c r="L11520" s="12"/>
      <c r="M11520" s="13"/>
    </row>
    <row r="11521" spans="12:13" x14ac:dyDescent="0.2">
      <c r="L11521" s="12"/>
      <c r="M11521" s="13"/>
    </row>
    <row r="11522" spans="12:13" x14ac:dyDescent="0.2">
      <c r="L11522" s="17"/>
      <c r="M11522" s="18"/>
    </row>
    <row r="11523" spans="12:13" x14ac:dyDescent="0.2">
      <c r="L11523" s="12"/>
      <c r="M11523" s="13"/>
    </row>
    <row r="11524" spans="12:13" x14ac:dyDescent="0.2">
      <c r="L11524" s="12"/>
      <c r="M11524" s="13"/>
    </row>
    <row r="11525" spans="12:13" x14ac:dyDescent="0.2">
      <c r="L11525" s="12"/>
      <c r="M11525" s="13"/>
    </row>
    <row r="11526" spans="12:13" x14ac:dyDescent="0.2">
      <c r="L11526" s="12"/>
      <c r="M11526" s="13"/>
    </row>
    <row r="11527" spans="12:13" x14ac:dyDescent="0.2">
      <c r="L11527" s="12"/>
      <c r="M11527" s="13"/>
    </row>
    <row r="11528" spans="12:13" x14ac:dyDescent="0.2">
      <c r="L11528" s="12"/>
      <c r="M11528" s="13"/>
    </row>
    <row r="11529" spans="12:13" x14ac:dyDescent="0.2">
      <c r="L11529" s="12"/>
      <c r="M11529" s="13"/>
    </row>
    <row r="11530" spans="12:13" x14ac:dyDescent="0.2">
      <c r="L11530" s="12"/>
      <c r="M11530" s="13"/>
    </row>
    <row r="11531" spans="12:13" x14ac:dyDescent="0.2">
      <c r="L11531" s="12"/>
      <c r="M11531" s="13"/>
    </row>
    <row r="11532" spans="12:13" x14ac:dyDescent="0.2">
      <c r="L11532" s="12"/>
      <c r="M11532" s="13"/>
    </row>
    <row r="11533" spans="12:13" x14ac:dyDescent="0.2">
      <c r="L11533" s="12"/>
      <c r="M11533" s="13"/>
    </row>
    <row r="11534" spans="12:13" x14ac:dyDescent="0.2">
      <c r="L11534" s="12"/>
      <c r="M11534" s="13"/>
    </row>
    <row r="11535" spans="12:13" x14ac:dyDescent="0.2">
      <c r="L11535" s="12"/>
      <c r="M11535" s="13"/>
    </row>
    <row r="11536" spans="12:13" x14ac:dyDescent="0.2">
      <c r="L11536" s="12"/>
      <c r="M11536" s="13"/>
    </row>
    <row r="11537" spans="12:13" x14ac:dyDescent="0.2">
      <c r="L11537" s="12"/>
      <c r="M11537" s="13"/>
    </row>
    <row r="11538" spans="12:13" x14ac:dyDescent="0.2">
      <c r="L11538" s="12"/>
      <c r="M11538" s="13"/>
    </row>
    <row r="11539" spans="12:13" x14ac:dyDescent="0.2">
      <c r="L11539" s="12"/>
      <c r="M11539" s="13"/>
    </row>
    <row r="11540" spans="12:13" x14ac:dyDescent="0.2">
      <c r="L11540" s="12"/>
      <c r="M11540" s="13"/>
    </row>
    <row r="11541" spans="12:13" x14ac:dyDescent="0.2">
      <c r="L11541" s="12"/>
      <c r="M11541" s="13"/>
    </row>
    <row r="11542" spans="12:13" x14ac:dyDescent="0.2">
      <c r="L11542" s="12"/>
      <c r="M11542" s="13"/>
    </row>
    <row r="11543" spans="12:13" x14ac:dyDescent="0.2">
      <c r="L11543" s="12"/>
      <c r="M11543" s="13"/>
    </row>
    <row r="11544" spans="12:13" x14ac:dyDescent="0.2">
      <c r="L11544" s="12"/>
      <c r="M11544" s="13"/>
    </row>
    <row r="11545" spans="12:13" x14ac:dyDescent="0.2">
      <c r="L11545" s="12"/>
      <c r="M11545" s="13"/>
    </row>
    <row r="11546" spans="12:13" x14ac:dyDescent="0.2">
      <c r="L11546" s="12"/>
      <c r="M11546" s="13"/>
    </row>
    <row r="11547" spans="12:13" x14ac:dyDescent="0.2">
      <c r="L11547" s="12"/>
      <c r="M11547" s="13"/>
    </row>
    <row r="11548" spans="12:13" x14ac:dyDescent="0.2">
      <c r="L11548" s="12"/>
      <c r="M11548" s="13"/>
    </row>
    <row r="11549" spans="12:13" x14ac:dyDescent="0.2">
      <c r="L11549" s="12"/>
      <c r="M11549" s="13"/>
    </row>
    <row r="11550" spans="12:13" x14ac:dyDescent="0.2">
      <c r="L11550" s="12"/>
      <c r="M11550" s="13"/>
    </row>
    <row r="11551" spans="12:13" x14ac:dyDescent="0.2">
      <c r="L11551" s="12"/>
      <c r="M11551" s="13"/>
    </row>
    <row r="11552" spans="12:13" x14ac:dyDescent="0.2">
      <c r="L11552" s="12"/>
      <c r="M11552" s="13"/>
    </row>
    <row r="11553" spans="12:13" x14ac:dyDescent="0.2">
      <c r="L11553" s="12"/>
      <c r="M11553" s="13"/>
    </row>
    <row r="11554" spans="12:13" x14ac:dyDescent="0.2">
      <c r="L11554" s="12"/>
      <c r="M11554" s="13"/>
    </row>
    <row r="11555" spans="12:13" x14ac:dyDescent="0.2">
      <c r="L11555" s="12"/>
      <c r="M11555" s="13"/>
    </row>
    <row r="11556" spans="12:13" x14ac:dyDescent="0.2">
      <c r="L11556" s="12"/>
      <c r="M11556" s="13"/>
    </row>
    <row r="11557" spans="12:13" x14ac:dyDescent="0.2">
      <c r="L11557" s="12"/>
      <c r="M11557" s="13"/>
    </row>
    <row r="11558" spans="12:13" x14ac:dyDescent="0.2">
      <c r="L11558" s="12"/>
      <c r="M11558" s="13"/>
    </row>
    <row r="11559" spans="12:13" x14ac:dyDescent="0.2">
      <c r="L11559" s="12"/>
      <c r="M11559" s="13"/>
    </row>
    <row r="11560" spans="12:13" x14ac:dyDescent="0.2">
      <c r="L11560" s="12"/>
      <c r="M11560" s="13"/>
    </row>
    <row r="11561" spans="12:13" x14ac:dyDescent="0.2">
      <c r="L11561" s="12"/>
      <c r="M11561" s="13"/>
    </row>
    <row r="11562" spans="12:13" x14ac:dyDescent="0.2">
      <c r="L11562" s="12"/>
      <c r="M11562" s="13"/>
    </row>
    <row r="11563" spans="12:13" x14ac:dyDescent="0.2">
      <c r="L11563" s="12"/>
      <c r="M11563" s="13"/>
    </row>
    <row r="11564" spans="12:13" x14ac:dyDescent="0.2">
      <c r="L11564" s="12"/>
      <c r="M11564" s="13"/>
    </row>
    <row r="11565" spans="12:13" x14ac:dyDescent="0.2">
      <c r="L11565" s="12"/>
      <c r="M11565" s="13"/>
    </row>
    <row r="11566" spans="12:13" x14ac:dyDescent="0.2">
      <c r="L11566" s="12"/>
      <c r="M11566" s="13"/>
    </row>
    <row r="11567" spans="12:13" x14ac:dyDescent="0.2">
      <c r="L11567" s="12"/>
      <c r="M11567" s="13"/>
    </row>
    <row r="11568" spans="12:13" x14ac:dyDescent="0.2">
      <c r="L11568" s="12"/>
      <c r="M11568" s="13"/>
    </row>
    <row r="11569" spans="12:13" x14ac:dyDescent="0.2">
      <c r="L11569" s="12"/>
      <c r="M11569" s="13"/>
    </row>
    <row r="11570" spans="12:13" x14ac:dyDescent="0.2">
      <c r="L11570" s="12"/>
      <c r="M11570" s="13"/>
    </row>
    <row r="11571" spans="12:13" x14ac:dyDescent="0.2">
      <c r="L11571" s="12"/>
      <c r="M11571" s="13"/>
    </row>
    <row r="11572" spans="12:13" x14ac:dyDescent="0.2">
      <c r="L11572" s="12"/>
      <c r="M11572" s="13"/>
    </row>
    <row r="11573" spans="12:13" x14ac:dyDescent="0.2">
      <c r="L11573" s="12"/>
      <c r="M11573" s="13"/>
    </row>
    <row r="11574" spans="12:13" x14ac:dyDescent="0.2">
      <c r="L11574" s="12"/>
      <c r="M11574" s="13"/>
    </row>
    <row r="11575" spans="12:13" x14ac:dyDescent="0.2">
      <c r="L11575" s="12"/>
      <c r="M11575" s="13"/>
    </row>
    <row r="11576" spans="12:13" x14ac:dyDescent="0.2">
      <c r="L11576" s="12"/>
      <c r="M11576" s="13"/>
    </row>
    <row r="11577" spans="12:13" x14ac:dyDescent="0.2">
      <c r="L11577" s="12"/>
      <c r="M11577" s="13"/>
    </row>
    <row r="11578" spans="12:13" x14ac:dyDescent="0.2">
      <c r="L11578" s="12"/>
      <c r="M11578" s="13"/>
    </row>
    <row r="11579" spans="12:13" x14ac:dyDescent="0.2">
      <c r="L11579" s="12"/>
      <c r="M11579" s="13"/>
    </row>
    <row r="11580" spans="12:13" x14ac:dyDescent="0.2">
      <c r="L11580" s="12"/>
      <c r="M11580" s="13"/>
    </row>
    <row r="11581" spans="12:13" x14ac:dyDescent="0.2">
      <c r="L11581" s="12"/>
      <c r="M11581" s="13"/>
    </row>
    <row r="11582" spans="12:13" x14ac:dyDescent="0.2">
      <c r="L11582" s="12"/>
      <c r="M11582" s="13"/>
    </row>
    <row r="11583" spans="12:13" x14ac:dyDescent="0.2">
      <c r="L11583" s="12"/>
      <c r="M11583" s="13"/>
    </row>
    <row r="11584" spans="12:13" x14ac:dyDescent="0.2">
      <c r="L11584" s="12"/>
      <c r="M11584" s="13"/>
    </row>
    <row r="11585" spans="12:13" x14ac:dyDescent="0.2">
      <c r="L11585" s="12"/>
      <c r="M11585" s="13"/>
    </row>
    <row r="11586" spans="12:13" x14ac:dyDescent="0.2">
      <c r="L11586" s="12"/>
      <c r="M11586" s="13"/>
    </row>
    <row r="11587" spans="12:13" x14ac:dyDescent="0.2">
      <c r="L11587" s="12"/>
      <c r="M11587" s="13"/>
    </row>
    <row r="11588" spans="12:13" x14ac:dyDescent="0.2">
      <c r="L11588" s="12"/>
      <c r="M11588" s="13"/>
    </row>
    <row r="11589" spans="12:13" x14ac:dyDescent="0.2">
      <c r="L11589" s="12"/>
      <c r="M11589" s="13"/>
    </row>
    <row r="11590" spans="12:13" x14ac:dyDescent="0.2">
      <c r="L11590" s="12"/>
      <c r="M11590" s="13"/>
    </row>
    <row r="11591" spans="12:13" x14ac:dyDescent="0.2">
      <c r="L11591" s="12"/>
      <c r="M11591" s="13"/>
    </row>
    <row r="11592" spans="12:13" x14ac:dyDescent="0.2">
      <c r="L11592" s="12"/>
      <c r="M11592" s="13"/>
    </row>
    <row r="11593" spans="12:13" x14ac:dyDescent="0.2">
      <c r="L11593" s="12"/>
      <c r="M11593" s="13"/>
    </row>
    <row r="11594" spans="12:13" x14ac:dyDescent="0.2">
      <c r="L11594" s="12"/>
      <c r="M11594" s="13"/>
    </row>
    <row r="11595" spans="12:13" x14ac:dyDescent="0.2">
      <c r="L11595" s="12"/>
      <c r="M11595" s="13"/>
    </row>
    <row r="11596" spans="12:13" x14ac:dyDescent="0.2">
      <c r="L11596" s="12"/>
      <c r="M11596" s="13"/>
    </row>
    <row r="11597" spans="12:13" x14ac:dyDescent="0.2">
      <c r="L11597" s="12"/>
      <c r="M11597" s="13"/>
    </row>
    <row r="11598" spans="12:13" x14ac:dyDescent="0.2">
      <c r="L11598" s="12"/>
      <c r="M11598" s="13"/>
    </row>
    <row r="11599" spans="12:13" x14ac:dyDescent="0.2">
      <c r="L11599" s="12"/>
      <c r="M11599" s="13"/>
    </row>
    <row r="11600" spans="12:13" x14ac:dyDescent="0.2">
      <c r="L11600" s="12"/>
      <c r="M11600" s="13"/>
    </row>
    <row r="11601" spans="12:13" x14ac:dyDescent="0.2">
      <c r="L11601" s="12"/>
      <c r="M11601" s="13"/>
    </row>
    <row r="11602" spans="12:13" x14ac:dyDescent="0.2">
      <c r="L11602" s="12"/>
      <c r="M11602" s="13"/>
    </row>
    <row r="11603" spans="12:13" x14ac:dyDescent="0.2">
      <c r="L11603" s="12"/>
      <c r="M11603" s="13"/>
    </row>
    <row r="11604" spans="12:13" x14ac:dyDescent="0.2">
      <c r="L11604" s="12"/>
      <c r="M11604" s="13"/>
    </row>
    <row r="11605" spans="12:13" x14ac:dyDescent="0.2">
      <c r="L11605" s="12"/>
      <c r="M11605" s="13"/>
    </row>
    <row r="11606" spans="12:13" x14ac:dyDescent="0.2">
      <c r="L11606" s="12"/>
      <c r="M11606" s="13"/>
    </row>
    <row r="11607" spans="12:13" x14ac:dyDescent="0.2">
      <c r="L11607" s="12"/>
      <c r="M11607" s="13"/>
    </row>
    <row r="11608" spans="12:13" x14ac:dyDescent="0.2">
      <c r="L11608" s="12"/>
      <c r="M11608" s="13"/>
    </row>
    <row r="11609" spans="12:13" x14ac:dyDescent="0.2">
      <c r="L11609" s="12"/>
      <c r="M11609" s="13"/>
    </row>
    <row r="11610" spans="12:13" x14ac:dyDescent="0.2">
      <c r="L11610" s="12"/>
      <c r="M11610" s="13"/>
    </row>
    <row r="11611" spans="12:13" x14ac:dyDescent="0.2">
      <c r="L11611" s="12"/>
      <c r="M11611" s="13"/>
    </row>
    <row r="11612" spans="12:13" x14ac:dyDescent="0.2">
      <c r="L11612" s="12"/>
      <c r="M11612" s="13"/>
    </row>
    <row r="11613" spans="12:13" x14ac:dyDescent="0.2">
      <c r="L11613" s="12"/>
      <c r="M11613" s="13"/>
    </row>
    <row r="11614" spans="12:13" x14ac:dyDescent="0.2">
      <c r="L11614" s="12"/>
      <c r="M11614" s="13"/>
    </row>
    <row r="11615" spans="12:13" x14ac:dyDescent="0.2">
      <c r="L11615" s="12"/>
      <c r="M11615" s="13"/>
    </row>
    <row r="11616" spans="12:13" x14ac:dyDescent="0.2">
      <c r="L11616" s="12"/>
      <c r="M11616" s="13"/>
    </row>
    <row r="11617" spans="12:13" x14ac:dyDescent="0.2">
      <c r="L11617" s="12"/>
      <c r="M11617" s="13"/>
    </row>
    <row r="11618" spans="12:13" x14ac:dyDescent="0.2">
      <c r="L11618" s="12"/>
      <c r="M11618" s="13"/>
    </row>
    <row r="11619" spans="12:13" x14ac:dyDescent="0.2">
      <c r="L11619" s="12"/>
      <c r="M11619" s="13"/>
    </row>
    <row r="11620" spans="12:13" x14ac:dyDescent="0.2">
      <c r="L11620" s="12"/>
      <c r="M11620" s="13"/>
    </row>
    <row r="11621" spans="12:13" x14ac:dyDescent="0.2">
      <c r="L11621" s="12"/>
      <c r="M11621" s="13"/>
    </row>
    <row r="11622" spans="12:13" x14ac:dyDescent="0.2">
      <c r="L11622" s="12"/>
      <c r="M11622" s="13"/>
    </row>
    <row r="11623" spans="12:13" x14ac:dyDescent="0.2">
      <c r="L11623" s="12"/>
      <c r="M11623" s="13"/>
    </row>
    <row r="11624" spans="12:13" x14ac:dyDescent="0.2">
      <c r="L11624" s="12"/>
      <c r="M11624" s="13"/>
    </row>
    <row r="11625" spans="12:13" x14ac:dyDescent="0.2">
      <c r="L11625" s="12"/>
      <c r="M11625" s="13"/>
    </row>
    <row r="11626" spans="12:13" x14ac:dyDescent="0.2">
      <c r="L11626" s="12"/>
      <c r="M11626" s="13"/>
    </row>
    <row r="11627" spans="12:13" x14ac:dyDescent="0.2">
      <c r="L11627" s="12"/>
      <c r="M11627" s="13"/>
    </row>
    <row r="11628" spans="12:13" x14ac:dyDescent="0.2">
      <c r="L11628" s="12"/>
      <c r="M11628" s="13"/>
    </row>
    <row r="11629" spans="12:13" x14ac:dyDescent="0.2">
      <c r="L11629" s="12"/>
      <c r="M11629" s="13"/>
    </row>
    <row r="11630" spans="12:13" x14ac:dyDescent="0.2">
      <c r="L11630" s="12"/>
      <c r="M11630" s="13"/>
    </row>
    <row r="11631" spans="12:13" x14ac:dyDescent="0.2">
      <c r="L11631" s="12"/>
      <c r="M11631" s="13"/>
    </row>
    <row r="11632" spans="12:13" x14ac:dyDescent="0.2">
      <c r="L11632" s="12"/>
      <c r="M11632" s="13"/>
    </row>
    <row r="11633" spans="12:13" x14ac:dyDescent="0.2">
      <c r="L11633" s="12"/>
      <c r="M11633" s="13"/>
    </row>
    <row r="11634" spans="12:13" x14ac:dyDescent="0.2">
      <c r="L11634" s="12"/>
      <c r="M11634" s="13"/>
    </row>
    <row r="11635" spans="12:13" x14ac:dyDescent="0.2">
      <c r="L11635" s="12"/>
      <c r="M11635" s="13"/>
    </row>
    <row r="11636" spans="12:13" x14ac:dyDescent="0.2">
      <c r="L11636" s="12"/>
      <c r="M11636" s="13"/>
    </row>
    <row r="11637" spans="12:13" x14ac:dyDescent="0.2">
      <c r="L11637" s="12"/>
      <c r="M11637" s="13"/>
    </row>
    <row r="11638" spans="12:13" x14ac:dyDescent="0.2">
      <c r="L11638" s="12"/>
      <c r="M11638" s="13"/>
    </row>
    <row r="11639" spans="12:13" x14ac:dyDescent="0.2">
      <c r="L11639" s="12"/>
      <c r="M11639" s="13"/>
    </row>
    <row r="11640" spans="12:13" x14ac:dyDescent="0.2">
      <c r="L11640" s="12"/>
      <c r="M11640" s="13"/>
    </row>
    <row r="11641" spans="12:13" x14ac:dyDescent="0.2">
      <c r="L11641" s="12"/>
      <c r="M11641" s="13"/>
    </row>
    <row r="11642" spans="12:13" x14ac:dyDescent="0.2">
      <c r="L11642" s="12"/>
      <c r="M11642" s="13"/>
    </row>
    <row r="11643" spans="12:13" x14ac:dyDescent="0.2">
      <c r="L11643" s="12"/>
      <c r="M11643" s="13"/>
    </row>
    <row r="11644" spans="12:13" x14ac:dyDescent="0.2">
      <c r="L11644" s="12"/>
      <c r="M11644" s="13"/>
    </row>
    <row r="11645" spans="12:13" x14ac:dyDescent="0.2">
      <c r="L11645" s="12"/>
      <c r="M11645" s="13"/>
    </row>
    <row r="11646" spans="12:13" x14ac:dyDescent="0.2">
      <c r="L11646" s="12"/>
      <c r="M11646" s="13"/>
    </row>
    <row r="11647" spans="12:13" x14ac:dyDescent="0.2">
      <c r="L11647" s="12"/>
      <c r="M11647" s="13"/>
    </row>
    <row r="11648" spans="12:13" x14ac:dyDescent="0.2">
      <c r="L11648" s="12"/>
      <c r="M11648" s="13"/>
    </row>
    <row r="11649" spans="12:13" x14ac:dyDescent="0.2">
      <c r="L11649" s="12"/>
      <c r="M11649" s="13"/>
    </row>
    <row r="11650" spans="12:13" x14ac:dyDescent="0.2">
      <c r="L11650" s="12"/>
      <c r="M11650" s="13"/>
    </row>
    <row r="11651" spans="12:13" x14ac:dyDescent="0.2">
      <c r="L11651" s="12"/>
      <c r="M11651" s="13"/>
    </row>
    <row r="11652" spans="12:13" x14ac:dyDescent="0.2">
      <c r="L11652" s="12"/>
      <c r="M11652" s="13"/>
    </row>
    <row r="11653" spans="12:13" x14ac:dyDescent="0.2">
      <c r="L11653" s="12"/>
      <c r="M11653" s="13"/>
    </row>
    <row r="11654" spans="12:13" x14ac:dyDescent="0.2">
      <c r="L11654" s="12"/>
      <c r="M11654" s="13"/>
    </row>
    <row r="11655" spans="12:13" x14ac:dyDescent="0.2">
      <c r="L11655" s="12"/>
      <c r="M11655" s="13"/>
    </row>
    <row r="11656" spans="12:13" x14ac:dyDescent="0.2">
      <c r="L11656" s="12"/>
      <c r="M11656" s="13"/>
    </row>
    <row r="11657" spans="12:13" x14ac:dyDescent="0.2">
      <c r="L11657" s="12"/>
      <c r="M11657" s="13"/>
    </row>
    <row r="11658" spans="12:13" x14ac:dyDescent="0.2">
      <c r="L11658" s="12"/>
      <c r="M11658" s="13"/>
    </row>
    <row r="11659" spans="12:13" x14ac:dyDescent="0.2">
      <c r="L11659" s="12"/>
      <c r="M11659" s="13"/>
    </row>
    <row r="11660" spans="12:13" x14ac:dyDescent="0.2">
      <c r="L11660" s="12"/>
      <c r="M11660" s="13"/>
    </row>
    <row r="11661" spans="12:13" x14ac:dyDescent="0.2">
      <c r="L11661" s="12"/>
      <c r="M11661" s="13"/>
    </row>
    <row r="11662" spans="12:13" x14ac:dyDescent="0.2">
      <c r="L11662" s="12"/>
      <c r="M11662" s="13"/>
    </row>
    <row r="11663" spans="12:13" x14ac:dyDescent="0.2">
      <c r="L11663" s="12"/>
      <c r="M11663" s="13"/>
    </row>
    <row r="11664" spans="12:13" x14ac:dyDescent="0.2">
      <c r="L11664" s="12"/>
      <c r="M11664" s="13"/>
    </row>
    <row r="11665" spans="12:13" x14ac:dyDescent="0.2">
      <c r="L11665" s="12"/>
      <c r="M11665" s="13"/>
    </row>
    <row r="11666" spans="12:13" x14ac:dyDescent="0.2">
      <c r="L11666" s="12"/>
      <c r="M11666" s="13"/>
    </row>
    <row r="11667" spans="12:13" x14ac:dyDescent="0.2">
      <c r="L11667" s="12"/>
      <c r="M11667" s="13"/>
    </row>
    <row r="11668" spans="12:13" x14ac:dyDescent="0.2">
      <c r="L11668" s="12"/>
      <c r="M11668" s="13"/>
    </row>
    <row r="11669" spans="12:13" x14ac:dyDescent="0.2">
      <c r="L11669" s="12"/>
      <c r="M11669" s="13"/>
    </row>
    <row r="11670" spans="12:13" x14ac:dyDescent="0.2">
      <c r="L11670" s="12"/>
      <c r="M11670" s="13"/>
    </row>
    <row r="11671" spans="12:13" x14ac:dyDescent="0.2">
      <c r="L11671" s="12"/>
      <c r="M11671" s="13"/>
    </row>
    <row r="11672" spans="12:13" x14ac:dyDescent="0.2">
      <c r="L11672" s="12"/>
      <c r="M11672" s="13"/>
    </row>
    <row r="11673" spans="12:13" x14ac:dyDescent="0.2">
      <c r="L11673" s="12"/>
      <c r="M11673" s="13"/>
    </row>
    <row r="11674" spans="12:13" x14ac:dyDescent="0.2">
      <c r="L11674" s="12"/>
      <c r="M11674" s="13"/>
    </row>
    <row r="11675" spans="12:13" x14ac:dyDescent="0.2">
      <c r="L11675" s="12"/>
      <c r="M11675" s="13"/>
    </row>
    <row r="11676" spans="12:13" x14ac:dyDescent="0.2">
      <c r="L11676" s="12"/>
      <c r="M11676" s="13"/>
    </row>
    <row r="11677" spans="12:13" x14ac:dyDescent="0.2">
      <c r="L11677" s="12"/>
      <c r="M11677" s="13"/>
    </row>
    <row r="11678" spans="12:13" x14ac:dyDescent="0.2">
      <c r="L11678" s="12"/>
      <c r="M11678" s="13"/>
    </row>
    <row r="11679" spans="12:13" x14ac:dyDescent="0.2">
      <c r="L11679" s="12"/>
      <c r="M11679" s="13"/>
    </row>
    <row r="11680" spans="12:13" x14ac:dyDescent="0.2">
      <c r="L11680" s="12"/>
      <c r="M11680" s="13"/>
    </row>
    <row r="11681" spans="12:13" x14ac:dyDescent="0.2">
      <c r="L11681" s="12"/>
      <c r="M11681" s="13"/>
    </row>
    <row r="11682" spans="12:13" x14ac:dyDescent="0.2">
      <c r="L11682" s="12"/>
      <c r="M11682" s="13"/>
    </row>
    <row r="11683" spans="12:13" x14ac:dyDescent="0.2">
      <c r="L11683" s="12"/>
      <c r="M11683" s="13"/>
    </row>
    <row r="11684" spans="12:13" x14ac:dyDescent="0.2">
      <c r="L11684" s="12"/>
      <c r="M11684" s="13"/>
    </row>
    <row r="11685" spans="12:13" x14ac:dyDescent="0.2">
      <c r="L11685" s="12"/>
      <c r="M11685" s="13"/>
    </row>
    <row r="11686" spans="12:13" x14ac:dyDescent="0.2">
      <c r="L11686" s="12"/>
      <c r="M11686" s="13"/>
    </row>
    <row r="11687" spans="12:13" x14ac:dyDescent="0.2">
      <c r="L11687" s="12"/>
      <c r="M11687" s="13"/>
    </row>
    <row r="11688" spans="12:13" x14ac:dyDescent="0.2">
      <c r="L11688" s="12"/>
      <c r="M11688" s="13"/>
    </row>
    <row r="11689" spans="12:13" x14ac:dyDescent="0.2">
      <c r="L11689" s="12"/>
      <c r="M11689" s="13"/>
    </row>
    <row r="11690" spans="12:13" x14ac:dyDescent="0.2">
      <c r="L11690" s="12"/>
      <c r="M11690" s="13"/>
    </row>
    <row r="11691" spans="12:13" x14ac:dyDescent="0.2">
      <c r="L11691" s="12"/>
      <c r="M11691" s="13"/>
    </row>
    <row r="11692" spans="12:13" x14ac:dyDescent="0.2">
      <c r="L11692" s="12"/>
      <c r="M11692" s="13"/>
    </row>
    <row r="11693" spans="12:13" x14ac:dyDescent="0.2">
      <c r="L11693" s="12"/>
      <c r="M11693" s="13"/>
    </row>
    <row r="11694" spans="12:13" x14ac:dyDescent="0.2">
      <c r="L11694" s="12"/>
      <c r="M11694" s="13"/>
    </row>
    <row r="11695" spans="12:13" x14ac:dyDescent="0.2">
      <c r="L11695" s="12"/>
      <c r="M11695" s="13"/>
    </row>
    <row r="11696" spans="12:13" x14ac:dyDescent="0.2">
      <c r="L11696" s="12"/>
      <c r="M11696" s="13"/>
    </row>
    <row r="11697" spans="12:13" x14ac:dyDescent="0.2">
      <c r="L11697" s="12"/>
      <c r="M11697" s="13"/>
    </row>
    <row r="11698" spans="12:13" x14ac:dyDescent="0.2">
      <c r="L11698" s="12"/>
      <c r="M11698" s="13"/>
    </row>
    <row r="11699" spans="12:13" x14ac:dyDescent="0.2">
      <c r="L11699" s="12"/>
      <c r="M11699" s="13"/>
    </row>
    <row r="11700" spans="12:13" x14ac:dyDescent="0.2">
      <c r="L11700" s="12"/>
      <c r="M11700" s="13"/>
    </row>
    <row r="11701" spans="12:13" x14ac:dyDescent="0.2">
      <c r="L11701" s="12"/>
      <c r="M11701" s="13"/>
    </row>
    <row r="11702" spans="12:13" x14ac:dyDescent="0.2">
      <c r="L11702" s="12"/>
      <c r="M11702" s="13"/>
    </row>
    <row r="11703" spans="12:13" x14ac:dyDescent="0.2">
      <c r="L11703" s="12"/>
      <c r="M11703" s="13"/>
    </row>
    <row r="11704" spans="12:13" x14ac:dyDescent="0.2">
      <c r="L11704" s="12"/>
      <c r="M11704" s="13"/>
    </row>
    <row r="11705" spans="12:13" x14ac:dyDescent="0.2">
      <c r="L11705" s="12"/>
      <c r="M11705" s="13"/>
    </row>
    <row r="11706" spans="12:13" x14ac:dyDescent="0.2">
      <c r="L11706" s="12"/>
      <c r="M11706" s="13"/>
    </row>
    <row r="11707" spans="12:13" x14ac:dyDescent="0.2">
      <c r="L11707" s="12"/>
      <c r="M11707" s="13"/>
    </row>
    <row r="11708" spans="12:13" x14ac:dyDescent="0.2">
      <c r="L11708" s="12"/>
      <c r="M11708" s="13"/>
    </row>
    <row r="11709" spans="12:13" x14ac:dyDescent="0.2">
      <c r="L11709" s="12"/>
      <c r="M11709" s="13"/>
    </row>
    <row r="11710" spans="12:13" x14ac:dyDescent="0.2">
      <c r="L11710" s="12"/>
      <c r="M11710" s="13"/>
    </row>
    <row r="11711" spans="12:13" x14ac:dyDescent="0.2">
      <c r="L11711" s="12"/>
      <c r="M11711" s="13"/>
    </row>
    <row r="11712" spans="12:13" x14ac:dyDescent="0.2">
      <c r="L11712" s="12"/>
      <c r="M11712" s="13"/>
    </row>
    <row r="11713" spans="12:13" x14ac:dyDescent="0.2">
      <c r="L11713" s="12"/>
      <c r="M11713" s="13"/>
    </row>
    <row r="11714" spans="12:13" x14ac:dyDescent="0.2">
      <c r="L11714" s="12"/>
      <c r="M11714" s="13"/>
    </row>
    <row r="11715" spans="12:13" x14ac:dyDescent="0.2">
      <c r="L11715" s="12"/>
      <c r="M11715" s="13"/>
    </row>
    <row r="11716" spans="12:13" x14ac:dyDescent="0.2">
      <c r="L11716" s="12"/>
      <c r="M11716" s="13"/>
    </row>
    <row r="11717" spans="12:13" x14ac:dyDescent="0.2">
      <c r="L11717" s="12"/>
      <c r="M11717" s="13"/>
    </row>
    <row r="11718" spans="12:13" x14ac:dyDescent="0.2">
      <c r="L11718" s="12"/>
      <c r="M11718" s="13"/>
    </row>
    <row r="11719" spans="12:13" x14ac:dyDescent="0.2">
      <c r="L11719" s="12"/>
      <c r="M11719" s="13"/>
    </row>
    <row r="11720" spans="12:13" x14ac:dyDescent="0.2">
      <c r="L11720" s="12"/>
      <c r="M11720" s="13"/>
    </row>
    <row r="11721" spans="12:13" x14ac:dyDescent="0.2">
      <c r="L11721" s="12"/>
      <c r="M11721" s="13"/>
    </row>
    <row r="11722" spans="12:13" x14ac:dyDescent="0.2">
      <c r="L11722" s="12"/>
      <c r="M11722" s="13"/>
    </row>
    <row r="11723" spans="12:13" x14ac:dyDescent="0.2">
      <c r="L11723" s="12"/>
      <c r="M11723" s="13"/>
    </row>
    <row r="11724" spans="12:13" x14ac:dyDescent="0.2">
      <c r="L11724" s="12"/>
      <c r="M11724" s="13"/>
    </row>
    <row r="11725" spans="12:13" x14ac:dyDescent="0.2">
      <c r="L11725" s="12"/>
      <c r="M11725" s="13"/>
    </row>
    <row r="11726" spans="12:13" x14ac:dyDescent="0.2">
      <c r="L11726" s="12"/>
      <c r="M11726" s="13"/>
    </row>
    <row r="11727" spans="12:13" x14ac:dyDescent="0.2">
      <c r="L11727" s="12"/>
      <c r="M11727" s="13"/>
    </row>
    <row r="11728" spans="12:13" x14ac:dyDescent="0.2">
      <c r="L11728" s="12"/>
      <c r="M11728" s="13"/>
    </row>
    <row r="11729" spans="12:13" x14ac:dyDescent="0.2">
      <c r="L11729" s="12"/>
      <c r="M11729" s="13"/>
    </row>
    <row r="11730" spans="12:13" x14ac:dyDescent="0.2">
      <c r="L11730" s="12"/>
      <c r="M11730" s="13"/>
    </row>
    <row r="11731" spans="12:13" x14ac:dyDescent="0.2">
      <c r="L11731" s="12"/>
      <c r="M11731" s="13"/>
    </row>
    <row r="11732" spans="12:13" x14ac:dyDescent="0.2">
      <c r="L11732" s="12"/>
      <c r="M11732" s="13"/>
    </row>
    <row r="11733" spans="12:13" x14ac:dyDescent="0.2">
      <c r="L11733" s="12"/>
      <c r="M11733" s="13"/>
    </row>
    <row r="11734" spans="12:13" x14ac:dyDescent="0.2">
      <c r="L11734" s="12"/>
      <c r="M11734" s="13"/>
    </row>
    <row r="11735" spans="12:13" x14ac:dyDescent="0.2">
      <c r="L11735" s="12"/>
      <c r="M11735" s="13"/>
    </row>
    <row r="11736" spans="12:13" x14ac:dyDescent="0.2">
      <c r="L11736" s="12"/>
      <c r="M11736" s="13"/>
    </row>
    <row r="11737" spans="12:13" x14ac:dyDescent="0.2">
      <c r="L11737" s="12"/>
      <c r="M11737" s="13"/>
    </row>
    <row r="11738" spans="12:13" x14ac:dyDescent="0.2">
      <c r="L11738" s="12"/>
      <c r="M11738" s="13"/>
    </row>
    <row r="11739" spans="12:13" x14ac:dyDescent="0.2">
      <c r="L11739" s="12"/>
      <c r="M11739" s="13"/>
    </row>
    <row r="11740" spans="12:13" x14ac:dyDescent="0.2">
      <c r="L11740" s="12"/>
      <c r="M11740" s="13"/>
    </row>
    <row r="11741" spans="12:13" x14ac:dyDescent="0.2">
      <c r="L11741" s="12"/>
      <c r="M11741" s="13"/>
    </row>
    <row r="11742" spans="12:13" x14ac:dyDescent="0.2">
      <c r="L11742" s="12"/>
      <c r="M11742" s="13"/>
    </row>
    <row r="11743" spans="12:13" x14ac:dyDescent="0.2">
      <c r="L11743" s="12"/>
      <c r="M11743" s="13"/>
    </row>
    <row r="11744" spans="12:13" x14ac:dyDescent="0.2">
      <c r="L11744" s="12"/>
      <c r="M11744" s="13"/>
    </row>
    <row r="11745" spans="12:13" x14ac:dyDescent="0.2">
      <c r="L11745" s="12"/>
      <c r="M11745" s="13"/>
    </row>
    <row r="11746" spans="12:13" x14ac:dyDescent="0.2">
      <c r="L11746" s="12"/>
      <c r="M11746" s="13"/>
    </row>
    <row r="11747" spans="12:13" x14ac:dyDescent="0.2">
      <c r="L11747" s="12"/>
      <c r="M11747" s="13"/>
    </row>
    <row r="11748" spans="12:13" x14ac:dyDescent="0.2">
      <c r="L11748" s="12"/>
      <c r="M11748" s="13"/>
    </row>
    <row r="11749" spans="12:13" x14ac:dyDescent="0.2">
      <c r="L11749" s="12"/>
      <c r="M11749" s="13"/>
    </row>
    <row r="11750" spans="12:13" x14ac:dyDescent="0.2">
      <c r="L11750" s="12"/>
      <c r="M11750" s="13"/>
    </row>
    <row r="11751" spans="12:13" x14ac:dyDescent="0.2">
      <c r="L11751" s="12"/>
      <c r="M11751" s="13"/>
    </row>
    <row r="11752" spans="12:13" x14ac:dyDescent="0.2">
      <c r="L11752" s="12"/>
      <c r="M11752" s="13"/>
    </row>
    <row r="11753" spans="12:13" x14ac:dyDescent="0.2">
      <c r="L11753" s="12"/>
      <c r="M11753" s="13"/>
    </row>
    <row r="11754" spans="12:13" x14ac:dyDescent="0.2">
      <c r="L11754" s="12"/>
      <c r="M11754" s="13"/>
    </row>
    <row r="11755" spans="12:13" x14ac:dyDescent="0.2">
      <c r="L11755" s="12"/>
      <c r="M11755" s="13"/>
    </row>
    <row r="11756" spans="12:13" x14ac:dyDescent="0.2">
      <c r="L11756" s="12"/>
      <c r="M11756" s="13"/>
    </row>
    <row r="11757" spans="12:13" x14ac:dyDescent="0.2">
      <c r="L11757" s="12"/>
      <c r="M11757" s="13"/>
    </row>
    <row r="11758" spans="12:13" x14ac:dyDescent="0.2">
      <c r="L11758" s="12"/>
      <c r="M11758" s="13"/>
    </row>
    <row r="11759" spans="12:13" x14ac:dyDescent="0.2">
      <c r="L11759" s="12"/>
      <c r="M11759" s="13"/>
    </row>
    <row r="11760" spans="12:13" x14ac:dyDescent="0.2">
      <c r="L11760" s="12"/>
      <c r="M11760" s="13"/>
    </row>
    <row r="11761" spans="12:13" x14ac:dyDescent="0.2">
      <c r="L11761" s="12"/>
      <c r="M11761" s="13"/>
    </row>
    <row r="11762" spans="12:13" x14ac:dyDescent="0.2">
      <c r="L11762" s="12"/>
      <c r="M11762" s="13"/>
    </row>
    <row r="11763" spans="12:13" x14ac:dyDescent="0.2">
      <c r="L11763" s="12"/>
      <c r="M11763" s="13"/>
    </row>
    <row r="11764" spans="12:13" x14ac:dyDescent="0.2">
      <c r="L11764" s="12"/>
      <c r="M11764" s="13"/>
    </row>
    <row r="11765" spans="12:13" x14ac:dyDescent="0.2">
      <c r="L11765" s="12"/>
      <c r="M11765" s="13"/>
    </row>
    <row r="11766" spans="12:13" x14ac:dyDescent="0.2">
      <c r="L11766" s="12"/>
      <c r="M11766" s="13"/>
    </row>
    <row r="11767" spans="12:13" x14ac:dyDescent="0.2">
      <c r="L11767" s="12"/>
      <c r="M11767" s="13"/>
    </row>
    <row r="11768" spans="12:13" x14ac:dyDescent="0.2">
      <c r="L11768" s="12"/>
      <c r="M11768" s="13"/>
    </row>
    <row r="11769" spans="12:13" x14ac:dyDescent="0.2">
      <c r="L11769" s="12"/>
      <c r="M11769" s="13"/>
    </row>
    <row r="11770" spans="12:13" x14ac:dyDescent="0.2">
      <c r="L11770" s="12"/>
      <c r="M11770" s="13"/>
    </row>
    <row r="11771" spans="12:13" x14ac:dyDescent="0.2">
      <c r="L11771" s="12"/>
      <c r="M11771" s="13"/>
    </row>
    <row r="11772" spans="12:13" x14ac:dyDescent="0.2">
      <c r="L11772" s="12"/>
      <c r="M11772" s="13"/>
    </row>
    <row r="11773" spans="12:13" x14ac:dyDescent="0.2">
      <c r="L11773" s="12"/>
      <c r="M11773" s="13"/>
    </row>
    <row r="11774" spans="12:13" x14ac:dyDescent="0.2">
      <c r="L11774" s="12"/>
      <c r="M11774" s="13"/>
    </row>
    <row r="11775" spans="12:13" x14ac:dyDescent="0.2">
      <c r="L11775" s="12"/>
      <c r="M11775" s="13"/>
    </row>
    <row r="11776" spans="12:13" x14ac:dyDescent="0.2">
      <c r="L11776" s="12"/>
      <c r="M11776" s="13"/>
    </row>
    <row r="11777" spans="12:13" x14ac:dyDescent="0.2">
      <c r="L11777" s="12"/>
      <c r="M11777" s="13"/>
    </row>
    <row r="11778" spans="12:13" x14ac:dyDescent="0.2">
      <c r="L11778" s="17"/>
      <c r="M11778" s="18"/>
    </row>
    <row r="11779" spans="12:13" x14ac:dyDescent="0.2">
      <c r="L11779" s="12"/>
      <c r="M11779" s="13"/>
    </row>
    <row r="11780" spans="12:13" x14ac:dyDescent="0.2">
      <c r="L11780" s="12"/>
      <c r="M11780" s="13"/>
    </row>
    <row r="11781" spans="12:13" x14ac:dyDescent="0.2">
      <c r="L11781" s="12"/>
      <c r="M11781" s="13"/>
    </row>
    <row r="11782" spans="12:13" x14ac:dyDescent="0.2">
      <c r="L11782" s="12"/>
      <c r="M11782" s="13"/>
    </row>
    <row r="11783" spans="12:13" x14ac:dyDescent="0.2">
      <c r="L11783" s="12"/>
      <c r="M11783" s="13"/>
    </row>
    <row r="11784" spans="12:13" x14ac:dyDescent="0.2">
      <c r="L11784" s="12"/>
      <c r="M11784" s="13"/>
    </row>
    <row r="11785" spans="12:13" x14ac:dyDescent="0.2">
      <c r="L11785" s="12"/>
      <c r="M11785" s="13"/>
    </row>
    <row r="11786" spans="12:13" x14ac:dyDescent="0.2">
      <c r="L11786" s="12"/>
      <c r="M11786" s="13"/>
    </row>
    <row r="11787" spans="12:13" x14ac:dyDescent="0.2">
      <c r="L11787" s="12"/>
      <c r="M11787" s="13"/>
    </row>
    <row r="11788" spans="12:13" x14ac:dyDescent="0.2">
      <c r="L11788" s="12"/>
      <c r="M11788" s="13"/>
    </row>
    <row r="11789" spans="12:13" x14ac:dyDescent="0.2">
      <c r="L11789" s="12"/>
      <c r="M11789" s="13"/>
    </row>
    <row r="11790" spans="12:13" x14ac:dyDescent="0.2">
      <c r="L11790" s="12"/>
      <c r="M11790" s="13"/>
    </row>
    <row r="11791" spans="12:13" x14ac:dyDescent="0.2">
      <c r="L11791" s="12"/>
      <c r="M11791" s="13"/>
    </row>
    <row r="11792" spans="12:13" x14ac:dyDescent="0.2">
      <c r="L11792" s="12"/>
      <c r="M11792" s="13"/>
    </row>
    <row r="11793" spans="12:13" x14ac:dyDescent="0.2">
      <c r="L11793" s="12"/>
      <c r="M11793" s="13"/>
    </row>
    <row r="11794" spans="12:13" x14ac:dyDescent="0.2">
      <c r="L11794" s="12"/>
      <c r="M11794" s="13"/>
    </row>
    <row r="11795" spans="12:13" x14ac:dyDescent="0.2">
      <c r="L11795" s="12"/>
      <c r="M11795" s="13"/>
    </row>
    <row r="11796" spans="12:13" x14ac:dyDescent="0.2">
      <c r="L11796" s="12"/>
      <c r="M11796" s="13"/>
    </row>
    <row r="11797" spans="12:13" x14ac:dyDescent="0.2">
      <c r="L11797" s="12"/>
      <c r="M11797" s="13"/>
    </row>
    <row r="11798" spans="12:13" x14ac:dyDescent="0.2">
      <c r="L11798" s="12"/>
      <c r="M11798" s="13"/>
    </row>
    <row r="11799" spans="12:13" x14ac:dyDescent="0.2">
      <c r="L11799" s="12"/>
      <c r="M11799" s="13"/>
    </row>
    <row r="11800" spans="12:13" x14ac:dyDescent="0.2">
      <c r="L11800" s="12"/>
      <c r="M11800" s="13"/>
    </row>
    <row r="11801" spans="12:13" x14ac:dyDescent="0.2">
      <c r="L11801" s="12"/>
      <c r="M11801" s="13"/>
    </row>
    <row r="11802" spans="12:13" x14ac:dyDescent="0.2">
      <c r="L11802" s="12"/>
      <c r="M11802" s="13"/>
    </row>
    <row r="11803" spans="12:13" x14ac:dyDescent="0.2">
      <c r="L11803" s="12"/>
      <c r="M11803" s="13"/>
    </row>
    <row r="11804" spans="12:13" x14ac:dyDescent="0.2">
      <c r="L11804" s="12"/>
      <c r="M11804" s="13"/>
    </row>
    <row r="11805" spans="12:13" x14ac:dyDescent="0.2">
      <c r="L11805" s="12"/>
      <c r="M11805" s="13"/>
    </row>
    <row r="11806" spans="12:13" x14ac:dyDescent="0.2">
      <c r="L11806" s="12"/>
      <c r="M11806" s="13"/>
    </row>
    <row r="11807" spans="12:13" x14ac:dyDescent="0.2">
      <c r="L11807" s="12"/>
      <c r="M11807" s="13"/>
    </row>
    <row r="11808" spans="12:13" x14ac:dyDescent="0.2">
      <c r="L11808" s="12"/>
      <c r="M11808" s="13"/>
    </row>
    <row r="11809" spans="12:13" x14ac:dyDescent="0.2">
      <c r="L11809" s="12"/>
      <c r="M11809" s="13"/>
    </row>
    <row r="11810" spans="12:13" x14ac:dyDescent="0.2">
      <c r="L11810" s="12"/>
      <c r="M11810" s="13"/>
    </row>
    <row r="11811" spans="12:13" x14ac:dyDescent="0.2">
      <c r="L11811" s="12"/>
      <c r="M11811" s="13"/>
    </row>
    <row r="11812" spans="12:13" x14ac:dyDescent="0.2">
      <c r="L11812" s="12"/>
      <c r="M11812" s="13"/>
    </row>
    <row r="11813" spans="12:13" x14ac:dyDescent="0.2">
      <c r="L11813" s="12"/>
      <c r="M11813" s="13"/>
    </row>
    <row r="11814" spans="12:13" x14ac:dyDescent="0.2">
      <c r="L11814" s="12"/>
      <c r="M11814" s="13"/>
    </row>
    <row r="11815" spans="12:13" x14ac:dyDescent="0.2">
      <c r="L11815" s="12"/>
      <c r="M11815" s="13"/>
    </row>
    <row r="11816" spans="12:13" x14ac:dyDescent="0.2">
      <c r="L11816" s="12"/>
      <c r="M11816" s="13"/>
    </row>
    <row r="11817" spans="12:13" x14ac:dyDescent="0.2">
      <c r="L11817" s="12"/>
      <c r="M11817" s="13"/>
    </row>
    <row r="11818" spans="12:13" x14ac:dyDescent="0.2">
      <c r="L11818" s="12"/>
      <c r="M11818" s="13"/>
    </row>
    <row r="11819" spans="12:13" x14ac:dyDescent="0.2">
      <c r="L11819" s="12"/>
      <c r="M11819" s="13"/>
    </row>
    <row r="11820" spans="12:13" x14ac:dyDescent="0.2">
      <c r="L11820" s="12"/>
      <c r="M11820" s="13"/>
    </row>
    <row r="11821" spans="12:13" x14ac:dyDescent="0.2">
      <c r="L11821" s="12"/>
      <c r="M11821" s="13"/>
    </row>
    <row r="11822" spans="12:13" x14ac:dyDescent="0.2">
      <c r="L11822" s="12"/>
      <c r="M11822" s="13"/>
    </row>
    <row r="11823" spans="12:13" x14ac:dyDescent="0.2">
      <c r="L11823" s="12"/>
      <c r="M11823" s="13"/>
    </row>
    <row r="11824" spans="12:13" x14ac:dyDescent="0.2">
      <c r="L11824" s="12"/>
      <c r="M11824" s="13"/>
    </row>
    <row r="11825" spans="12:13" x14ac:dyDescent="0.2">
      <c r="L11825" s="12"/>
      <c r="M11825" s="13"/>
    </row>
    <row r="11826" spans="12:13" x14ac:dyDescent="0.2">
      <c r="L11826" s="12"/>
      <c r="M11826" s="13"/>
    </row>
    <row r="11827" spans="12:13" x14ac:dyDescent="0.2">
      <c r="L11827" s="12"/>
      <c r="M11827" s="13"/>
    </row>
    <row r="11828" spans="12:13" x14ac:dyDescent="0.2">
      <c r="L11828" s="12"/>
      <c r="M11828" s="13"/>
    </row>
    <row r="11829" spans="12:13" x14ac:dyDescent="0.2">
      <c r="L11829" s="12"/>
      <c r="M11829" s="13"/>
    </row>
    <row r="11830" spans="12:13" x14ac:dyDescent="0.2">
      <c r="L11830" s="12"/>
      <c r="M11830" s="13"/>
    </row>
    <row r="11831" spans="12:13" x14ac:dyDescent="0.2">
      <c r="L11831" s="12"/>
      <c r="M11831" s="13"/>
    </row>
    <row r="11832" spans="12:13" x14ac:dyDescent="0.2">
      <c r="L11832" s="12"/>
      <c r="M11832" s="13"/>
    </row>
    <row r="11833" spans="12:13" x14ac:dyDescent="0.2">
      <c r="L11833" s="12"/>
      <c r="M11833" s="13"/>
    </row>
    <row r="11834" spans="12:13" x14ac:dyDescent="0.2">
      <c r="L11834" s="12"/>
      <c r="M11834" s="13"/>
    </row>
    <row r="11835" spans="12:13" x14ac:dyDescent="0.2">
      <c r="L11835" s="12"/>
      <c r="M11835" s="13"/>
    </row>
    <row r="11836" spans="12:13" x14ac:dyDescent="0.2">
      <c r="L11836" s="12"/>
      <c r="M11836" s="13"/>
    </row>
    <row r="11837" spans="12:13" x14ac:dyDescent="0.2">
      <c r="L11837" s="12"/>
      <c r="M11837" s="13"/>
    </row>
    <row r="11838" spans="12:13" x14ac:dyDescent="0.2">
      <c r="L11838" s="12"/>
      <c r="M11838" s="13"/>
    </row>
    <row r="11839" spans="12:13" x14ac:dyDescent="0.2">
      <c r="L11839" s="12"/>
      <c r="M11839" s="13"/>
    </row>
    <row r="11840" spans="12:13" x14ac:dyDescent="0.2">
      <c r="L11840" s="12"/>
      <c r="M11840" s="13"/>
    </row>
    <row r="11841" spans="12:13" x14ac:dyDescent="0.2">
      <c r="L11841" s="12"/>
      <c r="M11841" s="13"/>
    </row>
    <row r="11842" spans="12:13" x14ac:dyDescent="0.2">
      <c r="L11842" s="12"/>
      <c r="M11842" s="13"/>
    </row>
    <row r="11843" spans="12:13" x14ac:dyDescent="0.2">
      <c r="L11843" s="12"/>
      <c r="M11843" s="13"/>
    </row>
    <row r="11844" spans="12:13" x14ac:dyDescent="0.2">
      <c r="L11844" s="12"/>
      <c r="M11844" s="13"/>
    </row>
    <row r="11845" spans="12:13" x14ac:dyDescent="0.2">
      <c r="L11845" s="12"/>
      <c r="M11845" s="13"/>
    </row>
    <row r="11846" spans="12:13" x14ac:dyDescent="0.2">
      <c r="L11846" s="12"/>
      <c r="M11846" s="13"/>
    </row>
    <row r="11847" spans="12:13" x14ac:dyDescent="0.2">
      <c r="L11847" s="12"/>
      <c r="M11847" s="13"/>
    </row>
    <row r="11848" spans="12:13" x14ac:dyDescent="0.2">
      <c r="L11848" s="12"/>
      <c r="M11848" s="13"/>
    </row>
    <row r="11849" spans="12:13" x14ac:dyDescent="0.2">
      <c r="L11849" s="12"/>
      <c r="M11849" s="13"/>
    </row>
    <row r="11850" spans="12:13" x14ac:dyDescent="0.2">
      <c r="L11850" s="12"/>
      <c r="M11850" s="13"/>
    </row>
    <row r="11851" spans="12:13" x14ac:dyDescent="0.2">
      <c r="L11851" s="12"/>
      <c r="M11851" s="13"/>
    </row>
    <row r="11852" spans="12:13" x14ac:dyDescent="0.2">
      <c r="L11852" s="12"/>
      <c r="M11852" s="13"/>
    </row>
    <row r="11853" spans="12:13" x14ac:dyDescent="0.2">
      <c r="L11853" s="12"/>
      <c r="M11853" s="13"/>
    </row>
    <row r="11854" spans="12:13" x14ac:dyDescent="0.2">
      <c r="L11854" s="12"/>
      <c r="M11854" s="13"/>
    </row>
    <row r="11855" spans="12:13" x14ac:dyDescent="0.2">
      <c r="L11855" s="12"/>
      <c r="M11855" s="13"/>
    </row>
    <row r="11856" spans="12:13" x14ac:dyDescent="0.2">
      <c r="L11856" s="12"/>
      <c r="M11856" s="13"/>
    </row>
    <row r="11857" spans="12:13" x14ac:dyDescent="0.2">
      <c r="L11857" s="12"/>
      <c r="M11857" s="13"/>
    </row>
    <row r="11858" spans="12:13" x14ac:dyDescent="0.2">
      <c r="L11858" s="12"/>
      <c r="M11858" s="13"/>
    </row>
    <row r="11859" spans="12:13" x14ac:dyDescent="0.2">
      <c r="L11859" s="12"/>
      <c r="M11859" s="13"/>
    </row>
    <row r="11860" spans="12:13" x14ac:dyDescent="0.2">
      <c r="L11860" s="12"/>
      <c r="M11860" s="13"/>
    </row>
    <row r="11861" spans="12:13" x14ac:dyDescent="0.2">
      <c r="L11861" s="12"/>
      <c r="M11861" s="13"/>
    </row>
    <row r="11862" spans="12:13" x14ac:dyDescent="0.2">
      <c r="L11862" s="12"/>
      <c r="M11862" s="13"/>
    </row>
    <row r="11863" spans="12:13" x14ac:dyDescent="0.2">
      <c r="L11863" s="12"/>
      <c r="M11863" s="13"/>
    </row>
    <row r="11864" spans="12:13" x14ac:dyDescent="0.2">
      <c r="L11864" s="12"/>
      <c r="M11864" s="13"/>
    </row>
    <row r="11865" spans="12:13" x14ac:dyDescent="0.2">
      <c r="L11865" s="12"/>
      <c r="M11865" s="13"/>
    </row>
    <row r="11866" spans="12:13" x14ac:dyDescent="0.2">
      <c r="L11866" s="12"/>
      <c r="M11866" s="13"/>
    </row>
    <row r="11867" spans="12:13" x14ac:dyDescent="0.2">
      <c r="L11867" s="12"/>
      <c r="M11867" s="13"/>
    </row>
    <row r="11868" spans="12:13" x14ac:dyDescent="0.2">
      <c r="L11868" s="12"/>
      <c r="M11868" s="13"/>
    </row>
    <row r="11869" spans="12:13" x14ac:dyDescent="0.2">
      <c r="L11869" s="12"/>
      <c r="M11869" s="13"/>
    </row>
    <row r="11870" spans="12:13" x14ac:dyDescent="0.2">
      <c r="L11870" s="12"/>
      <c r="M11870" s="13"/>
    </row>
    <row r="11871" spans="12:13" x14ac:dyDescent="0.2">
      <c r="L11871" s="12"/>
      <c r="M11871" s="13"/>
    </row>
    <row r="11872" spans="12:13" x14ac:dyDescent="0.2">
      <c r="L11872" s="12"/>
      <c r="M11872" s="13"/>
    </row>
    <row r="11873" spans="12:13" x14ac:dyDescent="0.2">
      <c r="L11873" s="12"/>
      <c r="M11873" s="13"/>
    </row>
    <row r="11874" spans="12:13" x14ac:dyDescent="0.2">
      <c r="L11874" s="12"/>
      <c r="M11874" s="13"/>
    </row>
    <row r="11875" spans="12:13" x14ac:dyDescent="0.2">
      <c r="L11875" s="12"/>
      <c r="M11875" s="13"/>
    </row>
    <row r="11876" spans="12:13" x14ac:dyDescent="0.2">
      <c r="L11876" s="12"/>
      <c r="M11876" s="13"/>
    </row>
    <row r="11877" spans="12:13" x14ac:dyDescent="0.2">
      <c r="L11877" s="12"/>
      <c r="M11877" s="13"/>
    </row>
    <row r="11878" spans="12:13" x14ac:dyDescent="0.2">
      <c r="L11878" s="12"/>
      <c r="M11878" s="13"/>
    </row>
    <row r="11879" spans="12:13" x14ac:dyDescent="0.2">
      <c r="L11879" s="12"/>
      <c r="M11879" s="13"/>
    </row>
    <row r="11880" spans="12:13" x14ac:dyDescent="0.2">
      <c r="L11880" s="12"/>
      <c r="M11880" s="13"/>
    </row>
    <row r="11881" spans="12:13" x14ac:dyDescent="0.2">
      <c r="L11881" s="12"/>
      <c r="M11881" s="13"/>
    </row>
    <row r="11882" spans="12:13" x14ac:dyDescent="0.2">
      <c r="L11882" s="12"/>
      <c r="M11882" s="13"/>
    </row>
    <row r="11883" spans="12:13" x14ac:dyDescent="0.2">
      <c r="L11883" s="12"/>
      <c r="M11883" s="13"/>
    </row>
    <row r="11884" spans="12:13" x14ac:dyDescent="0.2">
      <c r="L11884" s="12"/>
      <c r="M11884" s="13"/>
    </row>
    <row r="11885" spans="12:13" x14ac:dyDescent="0.2">
      <c r="L11885" s="12"/>
      <c r="M11885" s="13"/>
    </row>
    <row r="11886" spans="12:13" x14ac:dyDescent="0.2">
      <c r="L11886" s="12"/>
      <c r="M11886" s="13"/>
    </row>
    <row r="11887" spans="12:13" x14ac:dyDescent="0.2">
      <c r="L11887" s="12"/>
      <c r="M11887" s="13"/>
    </row>
    <row r="11888" spans="12:13" x14ac:dyDescent="0.2">
      <c r="L11888" s="12"/>
      <c r="M11888" s="13"/>
    </row>
    <row r="11889" spans="12:13" x14ac:dyDescent="0.2">
      <c r="L11889" s="12"/>
      <c r="M11889" s="13"/>
    </row>
    <row r="11890" spans="12:13" x14ac:dyDescent="0.2">
      <c r="L11890" s="12"/>
      <c r="M11890" s="13"/>
    </row>
    <row r="11891" spans="12:13" x14ac:dyDescent="0.2">
      <c r="L11891" s="12"/>
      <c r="M11891" s="13"/>
    </row>
    <row r="11892" spans="12:13" x14ac:dyDescent="0.2">
      <c r="L11892" s="12"/>
      <c r="M11892" s="13"/>
    </row>
    <row r="11893" spans="12:13" x14ac:dyDescent="0.2">
      <c r="L11893" s="12"/>
      <c r="M11893" s="13"/>
    </row>
    <row r="11894" spans="12:13" x14ac:dyDescent="0.2">
      <c r="L11894" s="12"/>
      <c r="M11894" s="13"/>
    </row>
    <row r="11895" spans="12:13" x14ac:dyDescent="0.2">
      <c r="L11895" s="12"/>
      <c r="M11895" s="13"/>
    </row>
    <row r="11896" spans="12:13" x14ac:dyDescent="0.2">
      <c r="L11896" s="12"/>
      <c r="M11896" s="13"/>
    </row>
    <row r="11897" spans="12:13" x14ac:dyDescent="0.2">
      <c r="L11897" s="12"/>
      <c r="M11897" s="13"/>
    </row>
    <row r="11898" spans="12:13" x14ac:dyDescent="0.2">
      <c r="L11898" s="12"/>
      <c r="M11898" s="13"/>
    </row>
    <row r="11899" spans="12:13" x14ac:dyDescent="0.2">
      <c r="L11899" s="12"/>
      <c r="M11899" s="13"/>
    </row>
    <row r="11900" spans="12:13" x14ac:dyDescent="0.2">
      <c r="L11900" s="12"/>
      <c r="M11900" s="13"/>
    </row>
    <row r="11901" spans="12:13" x14ac:dyDescent="0.2">
      <c r="L11901" s="12"/>
      <c r="M11901" s="13"/>
    </row>
    <row r="11902" spans="12:13" x14ac:dyDescent="0.2">
      <c r="L11902" s="12"/>
      <c r="M11902" s="13"/>
    </row>
    <row r="11903" spans="12:13" x14ac:dyDescent="0.2">
      <c r="L11903" s="12"/>
      <c r="M11903" s="13"/>
    </row>
    <row r="11904" spans="12:13" x14ac:dyDescent="0.2">
      <c r="L11904" s="12"/>
      <c r="M11904" s="13"/>
    </row>
    <row r="11905" spans="12:13" x14ac:dyDescent="0.2">
      <c r="L11905" s="12"/>
      <c r="M11905" s="13"/>
    </row>
    <row r="11906" spans="12:13" x14ac:dyDescent="0.2">
      <c r="L11906" s="12"/>
      <c r="M11906" s="13"/>
    </row>
    <row r="11907" spans="12:13" x14ac:dyDescent="0.2">
      <c r="L11907" s="12"/>
      <c r="M11907" s="13"/>
    </row>
    <row r="11908" spans="12:13" x14ac:dyDescent="0.2">
      <c r="L11908" s="12"/>
      <c r="M11908" s="13"/>
    </row>
    <row r="11909" spans="12:13" x14ac:dyDescent="0.2">
      <c r="L11909" s="12"/>
      <c r="M11909" s="13"/>
    </row>
    <row r="11910" spans="12:13" x14ac:dyDescent="0.2">
      <c r="L11910" s="12"/>
      <c r="M11910" s="13"/>
    </row>
    <row r="11911" spans="12:13" x14ac:dyDescent="0.2">
      <c r="L11911" s="12"/>
      <c r="M11911" s="13"/>
    </row>
    <row r="11912" spans="12:13" x14ac:dyDescent="0.2">
      <c r="L11912" s="12"/>
      <c r="M11912" s="13"/>
    </row>
    <row r="11913" spans="12:13" x14ac:dyDescent="0.2">
      <c r="L11913" s="12"/>
      <c r="M11913" s="13"/>
    </row>
    <row r="11914" spans="12:13" x14ac:dyDescent="0.2">
      <c r="L11914" s="12"/>
      <c r="M11914" s="13"/>
    </row>
    <row r="11915" spans="12:13" x14ac:dyDescent="0.2">
      <c r="L11915" s="12"/>
      <c r="M11915" s="13"/>
    </row>
    <row r="11916" spans="12:13" x14ac:dyDescent="0.2">
      <c r="L11916" s="12"/>
      <c r="M11916" s="13"/>
    </row>
    <row r="11917" spans="12:13" x14ac:dyDescent="0.2">
      <c r="L11917" s="12"/>
      <c r="M11917" s="13"/>
    </row>
    <row r="11918" spans="12:13" x14ac:dyDescent="0.2">
      <c r="L11918" s="12"/>
      <c r="M11918" s="13"/>
    </row>
    <row r="11919" spans="12:13" x14ac:dyDescent="0.2">
      <c r="L11919" s="12"/>
      <c r="M11919" s="13"/>
    </row>
    <row r="11920" spans="12:13" x14ac:dyDescent="0.2">
      <c r="L11920" s="12"/>
      <c r="M11920" s="13"/>
    </row>
    <row r="11921" spans="12:13" x14ac:dyDescent="0.2">
      <c r="L11921" s="12"/>
      <c r="M11921" s="13"/>
    </row>
    <row r="11922" spans="12:13" x14ac:dyDescent="0.2">
      <c r="L11922" s="12"/>
      <c r="M11922" s="13"/>
    </row>
    <row r="11923" spans="12:13" x14ac:dyDescent="0.2">
      <c r="L11923" s="12"/>
      <c r="M11923" s="13"/>
    </row>
    <row r="11924" spans="12:13" x14ac:dyDescent="0.2">
      <c r="L11924" s="12"/>
      <c r="M11924" s="13"/>
    </row>
    <row r="11925" spans="12:13" x14ac:dyDescent="0.2">
      <c r="L11925" s="12"/>
      <c r="M11925" s="13"/>
    </row>
    <row r="11926" spans="12:13" x14ac:dyDescent="0.2">
      <c r="L11926" s="12"/>
      <c r="M11926" s="13"/>
    </row>
    <row r="11927" spans="12:13" x14ac:dyDescent="0.2">
      <c r="L11927" s="12"/>
      <c r="M11927" s="13"/>
    </row>
    <row r="11928" spans="12:13" x14ac:dyDescent="0.2">
      <c r="L11928" s="12"/>
      <c r="M11928" s="13"/>
    </row>
    <row r="11929" spans="12:13" x14ac:dyDescent="0.2">
      <c r="L11929" s="12"/>
      <c r="M11929" s="13"/>
    </row>
    <row r="11930" spans="12:13" x14ac:dyDescent="0.2">
      <c r="L11930" s="12"/>
      <c r="M11930" s="13"/>
    </row>
    <row r="11931" spans="12:13" x14ac:dyDescent="0.2">
      <c r="L11931" s="12"/>
      <c r="M11931" s="13"/>
    </row>
    <row r="11932" spans="12:13" x14ac:dyDescent="0.2">
      <c r="L11932" s="12"/>
      <c r="M11932" s="13"/>
    </row>
    <row r="11933" spans="12:13" x14ac:dyDescent="0.2">
      <c r="L11933" s="12"/>
      <c r="M11933" s="13"/>
    </row>
    <row r="11934" spans="12:13" x14ac:dyDescent="0.2">
      <c r="L11934" s="12"/>
      <c r="M11934" s="13"/>
    </row>
    <row r="11935" spans="12:13" x14ac:dyDescent="0.2">
      <c r="L11935" s="12"/>
      <c r="M11935" s="13"/>
    </row>
    <row r="11936" spans="12:13" x14ac:dyDescent="0.2">
      <c r="L11936" s="12"/>
      <c r="M11936" s="13"/>
    </row>
    <row r="11937" spans="12:13" x14ac:dyDescent="0.2">
      <c r="L11937" s="12"/>
      <c r="M11937" s="13"/>
    </row>
    <row r="11938" spans="12:13" x14ac:dyDescent="0.2">
      <c r="L11938" s="12"/>
      <c r="M11938" s="13"/>
    </row>
    <row r="11939" spans="12:13" x14ac:dyDescent="0.2">
      <c r="L11939" s="12"/>
      <c r="M11939" s="13"/>
    </row>
    <row r="11940" spans="12:13" x14ac:dyDescent="0.2">
      <c r="L11940" s="12"/>
      <c r="M11940" s="13"/>
    </row>
    <row r="11941" spans="12:13" x14ac:dyDescent="0.2">
      <c r="L11941" s="12"/>
      <c r="M11941" s="13"/>
    </row>
    <row r="11942" spans="12:13" x14ac:dyDescent="0.2">
      <c r="L11942" s="12"/>
      <c r="M11942" s="13"/>
    </row>
    <row r="11943" spans="12:13" x14ac:dyDescent="0.2">
      <c r="L11943" s="12"/>
      <c r="M11943" s="13"/>
    </row>
    <row r="11944" spans="12:13" x14ac:dyDescent="0.2">
      <c r="L11944" s="12"/>
      <c r="M11944" s="13"/>
    </row>
    <row r="11945" spans="12:13" x14ac:dyDescent="0.2">
      <c r="L11945" s="12"/>
      <c r="M11945" s="13"/>
    </row>
    <row r="11946" spans="12:13" x14ac:dyDescent="0.2">
      <c r="L11946" s="12"/>
      <c r="M11946" s="13"/>
    </row>
    <row r="11947" spans="12:13" x14ac:dyDescent="0.2">
      <c r="L11947" s="12"/>
      <c r="M11947" s="13"/>
    </row>
    <row r="11948" spans="12:13" x14ac:dyDescent="0.2">
      <c r="L11948" s="12"/>
      <c r="M11948" s="13"/>
    </row>
    <row r="11949" spans="12:13" x14ac:dyDescent="0.2">
      <c r="L11949" s="12"/>
      <c r="M11949" s="13"/>
    </row>
    <row r="11950" spans="12:13" x14ac:dyDescent="0.2">
      <c r="L11950" s="12"/>
      <c r="M11950" s="13"/>
    </row>
    <row r="11951" spans="12:13" x14ac:dyDescent="0.2">
      <c r="L11951" s="12"/>
      <c r="M11951" s="13"/>
    </row>
    <row r="11952" spans="12:13" x14ac:dyDescent="0.2">
      <c r="L11952" s="12"/>
      <c r="M11952" s="13"/>
    </row>
    <row r="11953" spans="12:13" x14ac:dyDescent="0.2">
      <c r="L11953" s="12"/>
      <c r="M11953" s="13"/>
    </row>
    <row r="11954" spans="12:13" x14ac:dyDescent="0.2">
      <c r="L11954" s="12"/>
      <c r="M11954" s="13"/>
    </row>
    <row r="11955" spans="12:13" x14ac:dyDescent="0.2">
      <c r="L11955" s="12"/>
      <c r="M11955" s="13"/>
    </row>
    <row r="11956" spans="12:13" x14ac:dyDescent="0.2">
      <c r="L11956" s="12"/>
      <c r="M11956" s="13"/>
    </row>
    <row r="11957" spans="12:13" x14ac:dyDescent="0.2">
      <c r="L11957" s="12"/>
      <c r="M11957" s="13"/>
    </row>
    <row r="11958" spans="12:13" x14ac:dyDescent="0.2">
      <c r="L11958" s="12"/>
      <c r="M11958" s="13"/>
    </row>
    <row r="11959" spans="12:13" x14ac:dyDescent="0.2">
      <c r="L11959" s="12"/>
      <c r="M11959" s="13"/>
    </row>
    <row r="11960" spans="12:13" x14ac:dyDescent="0.2">
      <c r="L11960" s="12"/>
      <c r="M11960" s="13"/>
    </row>
    <row r="11961" spans="12:13" x14ac:dyDescent="0.2">
      <c r="L11961" s="12"/>
      <c r="M11961" s="13"/>
    </row>
    <row r="11962" spans="12:13" x14ac:dyDescent="0.2">
      <c r="L11962" s="12"/>
      <c r="M11962" s="13"/>
    </row>
    <row r="11963" spans="12:13" x14ac:dyDescent="0.2">
      <c r="L11963" s="12"/>
      <c r="M11963" s="13"/>
    </row>
    <row r="11964" spans="12:13" x14ac:dyDescent="0.2">
      <c r="L11964" s="12"/>
      <c r="M11964" s="13"/>
    </row>
    <row r="11965" spans="12:13" x14ac:dyDescent="0.2">
      <c r="L11965" s="12"/>
      <c r="M11965" s="13"/>
    </row>
    <row r="11966" spans="12:13" x14ac:dyDescent="0.2">
      <c r="L11966" s="12"/>
      <c r="M11966" s="13"/>
    </row>
    <row r="11967" spans="12:13" x14ac:dyDescent="0.2">
      <c r="L11967" s="12"/>
      <c r="M11967" s="13"/>
    </row>
    <row r="11968" spans="12:13" x14ac:dyDescent="0.2">
      <c r="L11968" s="12"/>
      <c r="M11968" s="13"/>
    </row>
    <row r="11969" spans="12:13" x14ac:dyDescent="0.2">
      <c r="L11969" s="12"/>
      <c r="M11969" s="13"/>
    </row>
    <row r="11970" spans="12:13" x14ac:dyDescent="0.2">
      <c r="L11970" s="12"/>
      <c r="M11970" s="13"/>
    </row>
    <row r="11971" spans="12:13" x14ac:dyDescent="0.2">
      <c r="L11971" s="12"/>
      <c r="M11971" s="13"/>
    </row>
    <row r="11972" spans="12:13" x14ac:dyDescent="0.2">
      <c r="L11972" s="12"/>
      <c r="M11972" s="13"/>
    </row>
    <row r="11973" spans="12:13" x14ac:dyDescent="0.2">
      <c r="L11973" s="12"/>
      <c r="M11973" s="13"/>
    </row>
    <row r="11974" spans="12:13" x14ac:dyDescent="0.2">
      <c r="L11974" s="12"/>
      <c r="M11974" s="13"/>
    </row>
    <row r="11975" spans="12:13" x14ac:dyDescent="0.2">
      <c r="L11975" s="12"/>
      <c r="M11975" s="13"/>
    </row>
    <row r="11976" spans="12:13" x14ac:dyDescent="0.2">
      <c r="L11976" s="12"/>
      <c r="M11976" s="13"/>
    </row>
    <row r="11977" spans="12:13" x14ac:dyDescent="0.2">
      <c r="L11977" s="12"/>
      <c r="M11977" s="13"/>
    </row>
    <row r="11978" spans="12:13" x14ac:dyDescent="0.2">
      <c r="L11978" s="12"/>
      <c r="M11978" s="13"/>
    </row>
    <row r="11979" spans="12:13" x14ac:dyDescent="0.2">
      <c r="L11979" s="12"/>
      <c r="M11979" s="13"/>
    </row>
    <row r="11980" spans="12:13" x14ac:dyDescent="0.2">
      <c r="L11980" s="12"/>
      <c r="M11980" s="13"/>
    </row>
    <row r="11981" spans="12:13" x14ac:dyDescent="0.2">
      <c r="L11981" s="12"/>
      <c r="M11981" s="13"/>
    </row>
    <row r="11982" spans="12:13" x14ac:dyDescent="0.2">
      <c r="L11982" s="12"/>
      <c r="M11982" s="13"/>
    </row>
    <row r="11983" spans="12:13" x14ac:dyDescent="0.2">
      <c r="L11983" s="12"/>
      <c r="M11983" s="13"/>
    </row>
    <row r="11984" spans="12:13" x14ac:dyDescent="0.2">
      <c r="L11984" s="12"/>
      <c r="M11984" s="13"/>
    </row>
    <row r="11985" spans="12:13" x14ac:dyDescent="0.2">
      <c r="L11985" s="12"/>
      <c r="M11985" s="13"/>
    </row>
    <row r="11986" spans="12:13" x14ac:dyDescent="0.2">
      <c r="L11986" s="12"/>
      <c r="M11986" s="13"/>
    </row>
    <row r="11987" spans="12:13" x14ac:dyDescent="0.2">
      <c r="L11987" s="12"/>
      <c r="M11987" s="13"/>
    </row>
    <row r="11988" spans="12:13" x14ac:dyDescent="0.2">
      <c r="L11988" s="12"/>
      <c r="M11988" s="13"/>
    </row>
    <row r="11989" spans="12:13" x14ac:dyDescent="0.2">
      <c r="L11989" s="12"/>
      <c r="M11989" s="13"/>
    </row>
    <row r="11990" spans="12:13" x14ac:dyDescent="0.2">
      <c r="L11990" s="12"/>
      <c r="M11990" s="13"/>
    </row>
    <row r="11991" spans="12:13" x14ac:dyDescent="0.2">
      <c r="L11991" s="12"/>
      <c r="M11991" s="13"/>
    </row>
    <row r="11992" spans="12:13" x14ac:dyDescent="0.2">
      <c r="L11992" s="12"/>
      <c r="M11992" s="13"/>
    </row>
    <row r="11993" spans="12:13" x14ac:dyDescent="0.2">
      <c r="L11993" s="12"/>
      <c r="M11993" s="13"/>
    </row>
    <row r="11994" spans="12:13" x14ac:dyDescent="0.2">
      <c r="L11994" s="12"/>
      <c r="M11994" s="13"/>
    </row>
    <row r="11995" spans="12:13" x14ac:dyDescent="0.2">
      <c r="L11995" s="12"/>
      <c r="M11995" s="13"/>
    </row>
    <row r="11996" spans="12:13" x14ac:dyDescent="0.2">
      <c r="L11996" s="12"/>
      <c r="M11996" s="13"/>
    </row>
    <row r="11997" spans="12:13" x14ac:dyDescent="0.2">
      <c r="L11997" s="12"/>
      <c r="M11997" s="13"/>
    </row>
    <row r="11998" spans="12:13" x14ac:dyDescent="0.2">
      <c r="L11998" s="12"/>
      <c r="M11998" s="13"/>
    </row>
    <row r="11999" spans="12:13" x14ac:dyDescent="0.2">
      <c r="L11999" s="12"/>
      <c r="M11999" s="13"/>
    </row>
    <row r="12000" spans="12:13" x14ac:dyDescent="0.2">
      <c r="L12000" s="12"/>
      <c r="M12000" s="13"/>
    </row>
    <row r="12001" spans="12:13" x14ac:dyDescent="0.2">
      <c r="L12001" s="12"/>
      <c r="M12001" s="13"/>
    </row>
    <row r="12002" spans="12:13" x14ac:dyDescent="0.2">
      <c r="L12002" s="12"/>
      <c r="M12002" s="13"/>
    </row>
    <row r="12003" spans="12:13" x14ac:dyDescent="0.2">
      <c r="L12003" s="12"/>
      <c r="M12003" s="13"/>
    </row>
    <row r="12004" spans="12:13" x14ac:dyDescent="0.2">
      <c r="L12004" s="12"/>
      <c r="M12004" s="13"/>
    </row>
    <row r="12005" spans="12:13" x14ac:dyDescent="0.2">
      <c r="L12005" s="12"/>
      <c r="M12005" s="13"/>
    </row>
    <row r="12006" spans="12:13" x14ac:dyDescent="0.2">
      <c r="L12006" s="12"/>
      <c r="M12006" s="13"/>
    </row>
    <row r="12007" spans="12:13" x14ac:dyDescent="0.2">
      <c r="L12007" s="12"/>
      <c r="M12007" s="13"/>
    </row>
    <row r="12008" spans="12:13" x14ac:dyDescent="0.2">
      <c r="L12008" s="12"/>
      <c r="M12008" s="13"/>
    </row>
    <row r="12009" spans="12:13" x14ac:dyDescent="0.2">
      <c r="L12009" s="12"/>
      <c r="M12009" s="13"/>
    </row>
    <row r="12010" spans="12:13" x14ac:dyDescent="0.2">
      <c r="L12010" s="12"/>
      <c r="M12010" s="13"/>
    </row>
    <row r="12011" spans="12:13" x14ac:dyDescent="0.2">
      <c r="L12011" s="12"/>
      <c r="M12011" s="13"/>
    </row>
    <row r="12012" spans="12:13" x14ac:dyDescent="0.2">
      <c r="L12012" s="12"/>
      <c r="M12012" s="13"/>
    </row>
    <row r="12013" spans="12:13" x14ac:dyDescent="0.2">
      <c r="L12013" s="12"/>
      <c r="M12013" s="13"/>
    </row>
    <row r="12014" spans="12:13" x14ac:dyDescent="0.2">
      <c r="L12014" s="12"/>
      <c r="M12014" s="13"/>
    </row>
    <row r="12015" spans="12:13" x14ac:dyDescent="0.2">
      <c r="L12015" s="12"/>
      <c r="M12015" s="13"/>
    </row>
    <row r="12016" spans="12:13" x14ac:dyDescent="0.2">
      <c r="L12016" s="12"/>
      <c r="M12016" s="13"/>
    </row>
    <row r="12017" spans="12:13" x14ac:dyDescent="0.2">
      <c r="L12017" s="12"/>
      <c r="M12017" s="13"/>
    </row>
    <row r="12018" spans="12:13" x14ac:dyDescent="0.2">
      <c r="L12018" s="12"/>
      <c r="M12018" s="13"/>
    </row>
    <row r="12019" spans="12:13" x14ac:dyDescent="0.2">
      <c r="L12019" s="12"/>
      <c r="M12019" s="13"/>
    </row>
    <row r="12020" spans="12:13" x14ac:dyDescent="0.2">
      <c r="L12020" s="12"/>
      <c r="M12020" s="13"/>
    </row>
    <row r="12021" spans="12:13" x14ac:dyDescent="0.2">
      <c r="L12021" s="12"/>
      <c r="M12021" s="13"/>
    </row>
    <row r="12022" spans="12:13" x14ac:dyDescent="0.2">
      <c r="L12022" s="12"/>
      <c r="M12022" s="13"/>
    </row>
    <row r="12023" spans="12:13" x14ac:dyDescent="0.2">
      <c r="L12023" s="12"/>
      <c r="M12023" s="13"/>
    </row>
    <row r="12024" spans="12:13" x14ac:dyDescent="0.2">
      <c r="L12024" s="12"/>
      <c r="M12024" s="13"/>
    </row>
    <row r="12025" spans="12:13" x14ac:dyDescent="0.2">
      <c r="L12025" s="12"/>
      <c r="M12025" s="13"/>
    </row>
    <row r="12026" spans="12:13" x14ac:dyDescent="0.2">
      <c r="L12026" s="12"/>
      <c r="M12026" s="13"/>
    </row>
    <row r="12027" spans="12:13" x14ac:dyDescent="0.2">
      <c r="L12027" s="12"/>
      <c r="M12027" s="13"/>
    </row>
    <row r="12028" spans="12:13" x14ac:dyDescent="0.2">
      <c r="L12028" s="12"/>
      <c r="M12028" s="13"/>
    </row>
    <row r="12029" spans="12:13" x14ac:dyDescent="0.2">
      <c r="L12029" s="12"/>
      <c r="M12029" s="13"/>
    </row>
    <row r="12030" spans="12:13" x14ac:dyDescent="0.2">
      <c r="L12030" s="12"/>
      <c r="M12030" s="13"/>
    </row>
    <row r="12031" spans="12:13" x14ac:dyDescent="0.2">
      <c r="L12031" s="12"/>
      <c r="M12031" s="13"/>
    </row>
    <row r="12032" spans="12:13" x14ac:dyDescent="0.2">
      <c r="L12032" s="12"/>
      <c r="M12032" s="13"/>
    </row>
    <row r="12033" spans="12:13" x14ac:dyDescent="0.2">
      <c r="L12033" s="12"/>
      <c r="M12033" s="13"/>
    </row>
    <row r="12034" spans="12:13" x14ac:dyDescent="0.2">
      <c r="L12034" s="17"/>
      <c r="M12034" s="18"/>
    </row>
    <row r="12035" spans="12:13" x14ac:dyDescent="0.2">
      <c r="L12035" s="12"/>
      <c r="M12035" s="13"/>
    </row>
    <row r="12036" spans="12:13" x14ac:dyDescent="0.2">
      <c r="L12036" s="12"/>
      <c r="M12036" s="13"/>
    </row>
    <row r="12037" spans="12:13" x14ac:dyDescent="0.2">
      <c r="L12037" s="12"/>
      <c r="M12037" s="13"/>
    </row>
    <row r="12038" spans="12:13" x14ac:dyDescent="0.2">
      <c r="L12038" s="12"/>
      <c r="M12038" s="13"/>
    </row>
    <row r="12039" spans="12:13" x14ac:dyDescent="0.2">
      <c r="L12039" s="12"/>
      <c r="M12039" s="13"/>
    </row>
    <row r="12040" spans="12:13" x14ac:dyDescent="0.2">
      <c r="L12040" s="12"/>
      <c r="M12040" s="13"/>
    </row>
    <row r="12041" spans="12:13" x14ac:dyDescent="0.2">
      <c r="L12041" s="12"/>
      <c r="M12041" s="13"/>
    </row>
    <row r="12042" spans="12:13" x14ac:dyDescent="0.2">
      <c r="L12042" s="12"/>
      <c r="M12042" s="13"/>
    </row>
    <row r="12043" spans="12:13" x14ac:dyDescent="0.2">
      <c r="L12043" s="12"/>
      <c r="M12043" s="13"/>
    </row>
    <row r="12044" spans="12:13" x14ac:dyDescent="0.2">
      <c r="L12044" s="12"/>
      <c r="M12044" s="13"/>
    </row>
    <row r="12045" spans="12:13" x14ac:dyDescent="0.2">
      <c r="L12045" s="12"/>
      <c r="M12045" s="13"/>
    </row>
    <row r="12046" spans="12:13" x14ac:dyDescent="0.2">
      <c r="L12046" s="12"/>
      <c r="M12046" s="13"/>
    </row>
    <row r="12047" spans="12:13" x14ac:dyDescent="0.2">
      <c r="L12047" s="12"/>
      <c r="M12047" s="13"/>
    </row>
    <row r="12048" spans="12:13" x14ac:dyDescent="0.2">
      <c r="L12048" s="12"/>
      <c r="M12048" s="13"/>
    </row>
    <row r="12049" spans="12:13" x14ac:dyDescent="0.2">
      <c r="L12049" s="12"/>
      <c r="M12049" s="13"/>
    </row>
    <row r="12050" spans="12:13" x14ac:dyDescent="0.2">
      <c r="L12050" s="12"/>
      <c r="M12050" s="13"/>
    </row>
    <row r="12051" spans="12:13" x14ac:dyDescent="0.2">
      <c r="L12051" s="12"/>
      <c r="M12051" s="13"/>
    </row>
    <row r="12052" spans="12:13" x14ac:dyDescent="0.2">
      <c r="L12052" s="12"/>
      <c r="M12052" s="13"/>
    </row>
    <row r="12053" spans="12:13" x14ac:dyDescent="0.2">
      <c r="L12053" s="12"/>
      <c r="M12053" s="13"/>
    </row>
    <row r="12054" spans="12:13" x14ac:dyDescent="0.2">
      <c r="L12054" s="12"/>
      <c r="M12054" s="13"/>
    </row>
    <row r="12055" spans="12:13" x14ac:dyDescent="0.2">
      <c r="L12055" s="12"/>
      <c r="M12055" s="13"/>
    </row>
    <row r="12056" spans="12:13" x14ac:dyDescent="0.2">
      <c r="L12056" s="12"/>
      <c r="M12056" s="13"/>
    </row>
    <row r="12057" spans="12:13" x14ac:dyDescent="0.2">
      <c r="L12057" s="12"/>
      <c r="M12057" s="13"/>
    </row>
    <row r="12058" spans="12:13" x14ac:dyDescent="0.2">
      <c r="L12058" s="12"/>
      <c r="M12058" s="13"/>
    </row>
    <row r="12059" spans="12:13" x14ac:dyDescent="0.2">
      <c r="L12059" s="12"/>
      <c r="M12059" s="13"/>
    </row>
    <row r="12060" spans="12:13" x14ac:dyDescent="0.2">
      <c r="L12060" s="12"/>
      <c r="M12060" s="13"/>
    </row>
    <row r="12061" spans="12:13" x14ac:dyDescent="0.2">
      <c r="L12061" s="12"/>
      <c r="M12061" s="13"/>
    </row>
    <row r="12062" spans="12:13" x14ac:dyDescent="0.2">
      <c r="L12062" s="12"/>
      <c r="M12062" s="13"/>
    </row>
    <row r="12063" spans="12:13" x14ac:dyDescent="0.2">
      <c r="L12063" s="12"/>
      <c r="M12063" s="13"/>
    </row>
    <row r="12064" spans="12:13" x14ac:dyDescent="0.2">
      <c r="L12064" s="12"/>
      <c r="M12064" s="13"/>
    </row>
    <row r="12065" spans="12:13" x14ac:dyDescent="0.2">
      <c r="L12065" s="12"/>
      <c r="M12065" s="13"/>
    </row>
    <row r="12066" spans="12:13" x14ac:dyDescent="0.2">
      <c r="L12066" s="12"/>
      <c r="M12066" s="13"/>
    </row>
    <row r="12067" spans="12:13" x14ac:dyDescent="0.2">
      <c r="L12067" s="12"/>
      <c r="M12067" s="13"/>
    </row>
    <row r="12068" spans="12:13" x14ac:dyDescent="0.2">
      <c r="L12068" s="12"/>
      <c r="M12068" s="13"/>
    </row>
    <row r="12069" spans="12:13" x14ac:dyDescent="0.2">
      <c r="L12069" s="12"/>
      <c r="M12069" s="13"/>
    </row>
    <row r="12070" spans="12:13" x14ac:dyDescent="0.2">
      <c r="L12070" s="12"/>
      <c r="M12070" s="13"/>
    </row>
    <row r="12071" spans="12:13" x14ac:dyDescent="0.2">
      <c r="L12071" s="12"/>
      <c r="M12071" s="13"/>
    </row>
    <row r="12072" spans="12:13" x14ac:dyDescent="0.2">
      <c r="L12072" s="12"/>
      <c r="M12072" s="13"/>
    </row>
    <row r="12073" spans="12:13" x14ac:dyDescent="0.2">
      <c r="L12073" s="12"/>
      <c r="M12073" s="13"/>
    </row>
    <row r="12074" spans="12:13" x14ac:dyDescent="0.2">
      <c r="L12074" s="12"/>
      <c r="M12074" s="13"/>
    </row>
    <row r="12075" spans="12:13" x14ac:dyDescent="0.2">
      <c r="L12075" s="12"/>
      <c r="M12075" s="13"/>
    </row>
    <row r="12076" spans="12:13" x14ac:dyDescent="0.2">
      <c r="L12076" s="12"/>
      <c r="M12076" s="13"/>
    </row>
    <row r="12077" spans="12:13" x14ac:dyDescent="0.2">
      <c r="L12077" s="12"/>
      <c r="M12077" s="13"/>
    </row>
    <row r="12078" spans="12:13" x14ac:dyDescent="0.2">
      <c r="L12078" s="12"/>
      <c r="M12078" s="13"/>
    </row>
    <row r="12079" spans="12:13" x14ac:dyDescent="0.2">
      <c r="L12079" s="12"/>
      <c r="M12079" s="13"/>
    </row>
    <row r="12080" spans="12:13" x14ac:dyDescent="0.2">
      <c r="L12080" s="12"/>
      <c r="M12080" s="13"/>
    </row>
    <row r="12081" spans="12:13" x14ac:dyDescent="0.2">
      <c r="L12081" s="12"/>
      <c r="M12081" s="13"/>
    </row>
    <row r="12082" spans="12:13" x14ac:dyDescent="0.2">
      <c r="L12082" s="12"/>
      <c r="M12082" s="13"/>
    </row>
    <row r="12083" spans="12:13" x14ac:dyDescent="0.2">
      <c r="L12083" s="12"/>
      <c r="M12083" s="13"/>
    </row>
    <row r="12084" spans="12:13" x14ac:dyDescent="0.2">
      <c r="L12084" s="12"/>
      <c r="M12084" s="13"/>
    </row>
    <row r="12085" spans="12:13" x14ac:dyDescent="0.2">
      <c r="L12085" s="12"/>
      <c r="M12085" s="13"/>
    </row>
    <row r="12086" spans="12:13" x14ac:dyDescent="0.2">
      <c r="L12086" s="12"/>
      <c r="M12086" s="13"/>
    </row>
    <row r="12087" spans="12:13" x14ac:dyDescent="0.2">
      <c r="L12087" s="12"/>
      <c r="M12087" s="13"/>
    </row>
    <row r="12088" spans="12:13" x14ac:dyDescent="0.2">
      <c r="L12088" s="12"/>
      <c r="M12088" s="13"/>
    </row>
    <row r="12089" spans="12:13" x14ac:dyDescent="0.2">
      <c r="L12089" s="12"/>
      <c r="M12089" s="13"/>
    </row>
    <row r="12090" spans="12:13" x14ac:dyDescent="0.2">
      <c r="L12090" s="12"/>
      <c r="M12090" s="13"/>
    </row>
    <row r="12091" spans="12:13" x14ac:dyDescent="0.2">
      <c r="L12091" s="12"/>
      <c r="M12091" s="13"/>
    </row>
    <row r="12092" spans="12:13" x14ac:dyDescent="0.2">
      <c r="L12092" s="12"/>
      <c r="M12092" s="13"/>
    </row>
    <row r="12093" spans="12:13" x14ac:dyDescent="0.2">
      <c r="L12093" s="12"/>
      <c r="M12093" s="13"/>
    </row>
    <row r="12094" spans="12:13" x14ac:dyDescent="0.2">
      <c r="L12094" s="12"/>
      <c r="M12094" s="13"/>
    </row>
    <row r="12095" spans="12:13" x14ac:dyDescent="0.2">
      <c r="L12095" s="12"/>
      <c r="M12095" s="13"/>
    </row>
    <row r="12096" spans="12:13" x14ac:dyDescent="0.2">
      <c r="L12096" s="12"/>
      <c r="M12096" s="13"/>
    </row>
    <row r="12097" spans="12:13" x14ac:dyDescent="0.2">
      <c r="L12097" s="12"/>
      <c r="M12097" s="13"/>
    </row>
    <row r="12098" spans="12:13" x14ac:dyDescent="0.2">
      <c r="L12098" s="12"/>
      <c r="M12098" s="13"/>
    </row>
    <row r="12099" spans="12:13" x14ac:dyDescent="0.2">
      <c r="L12099" s="12"/>
      <c r="M12099" s="13"/>
    </row>
    <row r="12100" spans="12:13" x14ac:dyDescent="0.2">
      <c r="L12100" s="12"/>
      <c r="M12100" s="13"/>
    </row>
    <row r="12101" spans="12:13" x14ac:dyDescent="0.2">
      <c r="L12101" s="12"/>
      <c r="M12101" s="13"/>
    </row>
    <row r="12102" spans="12:13" x14ac:dyDescent="0.2">
      <c r="L12102" s="12"/>
      <c r="M12102" s="13"/>
    </row>
    <row r="12103" spans="12:13" x14ac:dyDescent="0.2">
      <c r="L12103" s="12"/>
      <c r="M12103" s="13"/>
    </row>
    <row r="12104" spans="12:13" x14ac:dyDescent="0.2">
      <c r="L12104" s="12"/>
      <c r="M12104" s="13"/>
    </row>
    <row r="12105" spans="12:13" x14ac:dyDescent="0.2">
      <c r="L12105" s="12"/>
      <c r="M12105" s="13"/>
    </row>
    <row r="12106" spans="12:13" x14ac:dyDescent="0.2">
      <c r="L12106" s="12"/>
      <c r="M12106" s="13"/>
    </row>
    <row r="12107" spans="12:13" x14ac:dyDescent="0.2">
      <c r="L12107" s="12"/>
      <c r="M12107" s="13"/>
    </row>
    <row r="12108" spans="12:13" x14ac:dyDescent="0.2">
      <c r="L12108" s="12"/>
      <c r="M12108" s="13"/>
    </row>
    <row r="12109" spans="12:13" x14ac:dyDescent="0.2">
      <c r="L12109" s="12"/>
      <c r="M12109" s="13"/>
    </row>
    <row r="12110" spans="12:13" x14ac:dyDescent="0.2">
      <c r="L12110" s="12"/>
      <c r="M12110" s="13"/>
    </row>
    <row r="12111" spans="12:13" x14ac:dyDescent="0.2">
      <c r="L12111" s="12"/>
      <c r="M12111" s="13"/>
    </row>
    <row r="12112" spans="12:13" x14ac:dyDescent="0.2">
      <c r="L12112" s="12"/>
      <c r="M12112" s="13"/>
    </row>
    <row r="12113" spans="12:13" x14ac:dyDescent="0.2">
      <c r="L12113" s="12"/>
      <c r="M12113" s="13"/>
    </row>
    <row r="12114" spans="12:13" x14ac:dyDescent="0.2">
      <c r="L12114" s="12"/>
      <c r="M12114" s="13"/>
    </row>
    <row r="12115" spans="12:13" x14ac:dyDescent="0.2">
      <c r="L12115" s="12"/>
      <c r="M12115" s="13"/>
    </row>
    <row r="12116" spans="12:13" x14ac:dyDescent="0.2">
      <c r="L12116" s="12"/>
      <c r="M12116" s="13"/>
    </row>
    <row r="12117" spans="12:13" x14ac:dyDescent="0.2">
      <c r="L12117" s="12"/>
      <c r="M12117" s="13"/>
    </row>
    <row r="12118" spans="12:13" x14ac:dyDescent="0.2">
      <c r="L12118" s="12"/>
      <c r="M12118" s="13"/>
    </row>
    <row r="12119" spans="12:13" x14ac:dyDescent="0.2">
      <c r="L12119" s="12"/>
      <c r="M12119" s="13"/>
    </row>
    <row r="12120" spans="12:13" x14ac:dyDescent="0.2">
      <c r="L12120" s="12"/>
      <c r="M12120" s="13"/>
    </row>
    <row r="12121" spans="12:13" x14ac:dyDescent="0.2">
      <c r="L12121" s="12"/>
      <c r="M12121" s="13"/>
    </row>
    <row r="12122" spans="12:13" x14ac:dyDescent="0.2">
      <c r="L12122" s="12"/>
      <c r="M12122" s="13"/>
    </row>
    <row r="12123" spans="12:13" x14ac:dyDescent="0.2">
      <c r="L12123" s="12"/>
      <c r="M12123" s="13"/>
    </row>
    <row r="12124" spans="12:13" x14ac:dyDescent="0.2">
      <c r="L12124" s="12"/>
      <c r="M12124" s="13"/>
    </row>
    <row r="12125" spans="12:13" x14ac:dyDescent="0.2">
      <c r="L12125" s="12"/>
      <c r="M12125" s="13"/>
    </row>
    <row r="12126" spans="12:13" x14ac:dyDescent="0.2">
      <c r="L12126" s="12"/>
      <c r="M12126" s="13"/>
    </row>
    <row r="12127" spans="12:13" x14ac:dyDescent="0.2">
      <c r="L12127" s="12"/>
      <c r="M12127" s="13"/>
    </row>
    <row r="12128" spans="12:13" x14ac:dyDescent="0.2">
      <c r="L12128" s="12"/>
      <c r="M12128" s="13"/>
    </row>
    <row r="12129" spans="12:13" x14ac:dyDescent="0.2">
      <c r="L12129" s="12"/>
      <c r="M12129" s="13"/>
    </row>
    <row r="12130" spans="12:13" x14ac:dyDescent="0.2">
      <c r="L12130" s="12"/>
      <c r="M12130" s="13"/>
    </row>
    <row r="12131" spans="12:13" x14ac:dyDescent="0.2">
      <c r="L12131" s="12"/>
      <c r="M12131" s="13"/>
    </row>
    <row r="12132" spans="12:13" x14ac:dyDescent="0.2">
      <c r="L12132" s="12"/>
      <c r="M12132" s="13"/>
    </row>
    <row r="12133" spans="12:13" x14ac:dyDescent="0.2">
      <c r="L12133" s="12"/>
      <c r="M12133" s="13"/>
    </row>
    <row r="12134" spans="12:13" x14ac:dyDescent="0.2">
      <c r="L12134" s="12"/>
      <c r="M12134" s="13"/>
    </row>
    <row r="12135" spans="12:13" x14ac:dyDescent="0.2">
      <c r="L12135" s="12"/>
      <c r="M12135" s="13"/>
    </row>
    <row r="12136" spans="12:13" x14ac:dyDescent="0.2">
      <c r="L12136" s="12"/>
      <c r="M12136" s="13"/>
    </row>
    <row r="12137" spans="12:13" x14ac:dyDescent="0.2">
      <c r="L12137" s="12"/>
      <c r="M12137" s="13"/>
    </row>
    <row r="12138" spans="12:13" x14ac:dyDescent="0.2">
      <c r="L12138" s="12"/>
      <c r="M12138" s="13"/>
    </row>
    <row r="12139" spans="12:13" x14ac:dyDescent="0.2">
      <c r="L12139" s="12"/>
      <c r="M12139" s="13"/>
    </row>
    <row r="12140" spans="12:13" x14ac:dyDescent="0.2">
      <c r="L12140" s="12"/>
      <c r="M12140" s="13"/>
    </row>
    <row r="12141" spans="12:13" x14ac:dyDescent="0.2">
      <c r="L12141" s="12"/>
      <c r="M12141" s="13"/>
    </row>
    <row r="12142" spans="12:13" x14ac:dyDescent="0.2">
      <c r="L12142" s="12"/>
      <c r="M12142" s="13"/>
    </row>
    <row r="12143" spans="12:13" x14ac:dyDescent="0.2">
      <c r="L12143" s="12"/>
      <c r="M12143" s="13"/>
    </row>
    <row r="12144" spans="12:13" x14ac:dyDescent="0.2">
      <c r="L12144" s="12"/>
      <c r="M12144" s="13"/>
    </row>
    <row r="12145" spans="12:13" x14ac:dyDescent="0.2">
      <c r="L12145" s="12"/>
      <c r="M12145" s="13"/>
    </row>
    <row r="12146" spans="12:13" x14ac:dyDescent="0.2">
      <c r="L12146" s="12"/>
      <c r="M12146" s="13"/>
    </row>
    <row r="12147" spans="12:13" x14ac:dyDescent="0.2">
      <c r="L12147" s="12"/>
      <c r="M12147" s="13"/>
    </row>
    <row r="12148" spans="12:13" x14ac:dyDescent="0.2">
      <c r="L12148" s="12"/>
      <c r="M12148" s="13"/>
    </row>
    <row r="12149" spans="12:13" x14ac:dyDescent="0.2">
      <c r="L12149" s="12"/>
      <c r="M12149" s="13"/>
    </row>
    <row r="12150" spans="12:13" x14ac:dyDescent="0.2">
      <c r="L12150" s="12"/>
      <c r="M12150" s="13"/>
    </row>
    <row r="12151" spans="12:13" x14ac:dyDescent="0.2">
      <c r="L12151" s="12"/>
      <c r="M12151" s="13"/>
    </row>
    <row r="12152" spans="12:13" x14ac:dyDescent="0.2">
      <c r="L12152" s="12"/>
      <c r="M12152" s="13"/>
    </row>
    <row r="12153" spans="12:13" x14ac:dyDescent="0.2">
      <c r="L12153" s="12"/>
      <c r="M12153" s="13"/>
    </row>
    <row r="12154" spans="12:13" x14ac:dyDescent="0.2">
      <c r="L12154" s="12"/>
      <c r="M12154" s="13"/>
    </row>
    <row r="12155" spans="12:13" x14ac:dyDescent="0.2">
      <c r="L12155" s="12"/>
      <c r="M12155" s="13"/>
    </row>
    <row r="12156" spans="12:13" x14ac:dyDescent="0.2">
      <c r="L12156" s="12"/>
      <c r="M12156" s="13"/>
    </row>
    <row r="12157" spans="12:13" x14ac:dyDescent="0.2">
      <c r="L12157" s="12"/>
      <c r="M12157" s="13"/>
    </row>
    <row r="12158" spans="12:13" x14ac:dyDescent="0.2">
      <c r="L12158" s="12"/>
      <c r="M12158" s="13"/>
    </row>
    <row r="12159" spans="12:13" x14ac:dyDescent="0.2">
      <c r="L12159" s="12"/>
      <c r="M12159" s="13"/>
    </row>
    <row r="12160" spans="12:13" x14ac:dyDescent="0.2">
      <c r="L12160" s="12"/>
      <c r="M12160" s="13"/>
    </row>
    <row r="12161" spans="12:13" x14ac:dyDescent="0.2">
      <c r="L12161" s="12"/>
      <c r="M12161" s="13"/>
    </row>
    <row r="12162" spans="12:13" x14ac:dyDescent="0.2">
      <c r="L12162" s="12"/>
      <c r="M12162" s="13"/>
    </row>
    <row r="12163" spans="12:13" x14ac:dyDescent="0.2">
      <c r="L12163" s="12"/>
      <c r="M12163" s="13"/>
    </row>
    <row r="12164" spans="12:13" x14ac:dyDescent="0.2">
      <c r="L12164" s="12"/>
      <c r="M12164" s="13"/>
    </row>
    <row r="12165" spans="12:13" x14ac:dyDescent="0.2">
      <c r="L12165" s="12"/>
      <c r="M12165" s="13"/>
    </row>
    <row r="12166" spans="12:13" x14ac:dyDescent="0.2">
      <c r="L12166" s="12"/>
      <c r="M12166" s="13"/>
    </row>
    <row r="12167" spans="12:13" x14ac:dyDescent="0.2">
      <c r="L12167" s="12"/>
      <c r="M12167" s="13"/>
    </row>
    <row r="12168" spans="12:13" x14ac:dyDescent="0.2">
      <c r="L12168" s="12"/>
      <c r="M12168" s="13"/>
    </row>
    <row r="12169" spans="12:13" x14ac:dyDescent="0.2">
      <c r="L12169" s="12"/>
      <c r="M12169" s="13"/>
    </row>
    <row r="12170" spans="12:13" x14ac:dyDescent="0.2">
      <c r="L12170" s="12"/>
      <c r="M12170" s="13"/>
    </row>
    <row r="12171" spans="12:13" x14ac:dyDescent="0.2">
      <c r="L12171" s="12"/>
      <c r="M12171" s="13"/>
    </row>
    <row r="12172" spans="12:13" x14ac:dyDescent="0.2">
      <c r="L12172" s="12"/>
      <c r="M12172" s="13"/>
    </row>
    <row r="12173" spans="12:13" x14ac:dyDescent="0.2">
      <c r="L12173" s="12"/>
      <c r="M12173" s="13"/>
    </row>
    <row r="12174" spans="12:13" x14ac:dyDescent="0.2">
      <c r="L12174" s="12"/>
      <c r="M12174" s="13"/>
    </row>
    <row r="12175" spans="12:13" x14ac:dyDescent="0.2">
      <c r="L12175" s="12"/>
      <c r="M12175" s="13"/>
    </row>
    <row r="12176" spans="12:13" x14ac:dyDescent="0.2">
      <c r="L12176" s="12"/>
      <c r="M12176" s="13"/>
    </row>
    <row r="12177" spans="12:13" x14ac:dyDescent="0.2">
      <c r="L12177" s="12"/>
      <c r="M12177" s="13"/>
    </row>
    <row r="12178" spans="12:13" x14ac:dyDescent="0.2">
      <c r="L12178" s="12"/>
      <c r="M12178" s="13"/>
    </row>
    <row r="12179" spans="12:13" x14ac:dyDescent="0.2">
      <c r="L12179" s="12"/>
      <c r="M12179" s="13"/>
    </row>
    <row r="12180" spans="12:13" x14ac:dyDescent="0.2">
      <c r="L12180" s="12"/>
      <c r="M12180" s="13"/>
    </row>
    <row r="12181" spans="12:13" x14ac:dyDescent="0.2">
      <c r="L12181" s="12"/>
      <c r="M12181" s="13"/>
    </row>
    <row r="12182" spans="12:13" x14ac:dyDescent="0.2">
      <c r="L12182" s="12"/>
      <c r="M12182" s="13"/>
    </row>
    <row r="12183" spans="12:13" x14ac:dyDescent="0.2">
      <c r="L12183" s="12"/>
      <c r="M12183" s="13"/>
    </row>
    <row r="12184" spans="12:13" x14ac:dyDescent="0.2">
      <c r="L12184" s="12"/>
      <c r="M12184" s="13"/>
    </row>
    <row r="12185" spans="12:13" x14ac:dyDescent="0.2">
      <c r="L12185" s="12"/>
      <c r="M12185" s="13"/>
    </row>
    <row r="12186" spans="12:13" x14ac:dyDescent="0.2">
      <c r="L12186" s="12"/>
      <c r="M12186" s="13"/>
    </row>
    <row r="12187" spans="12:13" x14ac:dyDescent="0.2">
      <c r="L12187" s="12"/>
      <c r="M12187" s="13"/>
    </row>
    <row r="12188" spans="12:13" x14ac:dyDescent="0.2">
      <c r="L12188" s="12"/>
      <c r="M12188" s="13"/>
    </row>
    <row r="12189" spans="12:13" x14ac:dyDescent="0.2">
      <c r="L12189" s="12"/>
      <c r="M12189" s="13"/>
    </row>
    <row r="12190" spans="12:13" x14ac:dyDescent="0.2">
      <c r="L12190" s="12"/>
      <c r="M12190" s="13"/>
    </row>
    <row r="12191" spans="12:13" x14ac:dyDescent="0.2">
      <c r="L12191" s="12"/>
      <c r="M12191" s="13"/>
    </row>
    <row r="12192" spans="12:13" x14ac:dyDescent="0.2">
      <c r="L12192" s="12"/>
      <c r="M12192" s="13"/>
    </row>
    <row r="12193" spans="12:13" x14ac:dyDescent="0.2">
      <c r="L12193" s="12"/>
      <c r="M12193" s="13"/>
    </row>
    <row r="12194" spans="12:13" x14ac:dyDescent="0.2">
      <c r="L12194" s="12"/>
      <c r="M12194" s="13"/>
    </row>
    <row r="12195" spans="12:13" x14ac:dyDescent="0.2">
      <c r="L12195" s="12"/>
      <c r="M12195" s="13"/>
    </row>
    <row r="12196" spans="12:13" x14ac:dyDescent="0.2">
      <c r="L12196" s="12"/>
      <c r="M12196" s="13"/>
    </row>
    <row r="12197" spans="12:13" x14ac:dyDescent="0.2">
      <c r="L12197" s="12"/>
      <c r="M12197" s="13"/>
    </row>
    <row r="12198" spans="12:13" x14ac:dyDescent="0.2">
      <c r="L12198" s="12"/>
      <c r="M12198" s="13"/>
    </row>
    <row r="12199" spans="12:13" x14ac:dyDescent="0.2">
      <c r="L12199" s="12"/>
      <c r="M12199" s="13"/>
    </row>
    <row r="12200" spans="12:13" x14ac:dyDescent="0.2">
      <c r="L12200" s="12"/>
      <c r="M12200" s="13"/>
    </row>
    <row r="12201" spans="12:13" x14ac:dyDescent="0.2">
      <c r="L12201" s="12"/>
      <c r="M12201" s="13"/>
    </row>
    <row r="12202" spans="12:13" x14ac:dyDescent="0.2">
      <c r="L12202" s="12"/>
      <c r="M12202" s="13"/>
    </row>
    <row r="12203" spans="12:13" x14ac:dyDescent="0.2">
      <c r="L12203" s="12"/>
      <c r="M12203" s="13"/>
    </row>
    <row r="12204" spans="12:13" x14ac:dyDescent="0.2">
      <c r="L12204" s="12"/>
      <c r="M12204" s="13"/>
    </row>
    <row r="12205" spans="12:13" x14ac:dyDescent="0.2">
      <c r="L12205" s="12"/>
      <c r="M12205" s="13"/>
    </row>
    <row r="12206" spans="12:13" x14ac:dyDescent="0.2">
      <c r="L12206" s="12"/>
      <c r="M12206" s="13"/>
    </row>
    <row r="12207" spans="12:13" x14ac:dyDescent="0.2">
      <c r="L12207" s="12"/>
      <c r="M12207" s="13"/>
    </row>
    <row r="12208" spans="12:13" x14ac:dyDescent="0.2">
      <c r="L12208" s="12"/>
      <c r="M12208" s="13"/>
    </row>
    <row r="12209" spans="12:13" x14ac:dyDescent="0.2">
      <c r="L12209" s="12"/>
      <c r="M12209" s="13"/>
    </row>
    <row r="12210" spans="12:13" x14ac:dyDescent="0.2">
      <c r="L12210" s="12"/>
      <c r="M12210" s="13"/>
    </row>
    <row r="12211" spans="12:13" x14ac:dyDescent="0.2">
      <c r="L12211" s="12"/>
      <c r="M12211" s="13"/>
    </row>
    <row r="12212" spans="12:13" x14ac:dyDescent="0.2">
      <c r="L12212" s="12"/>
      <c r="M12212" s="13"/>
    </row>
    <row r="12213" spans="12:13" x14ac:dyDescent="0.2">
      <c r="L12213" s="12"/>
      <c r="M12213" s="13"/>
    </row>
    <row r="12214" spans="12:13" x14ac:dyDescent="0.2">
      <c r="L12214" s="12"/>
      <c r="M12214" s="13"/>
    </row>
    <row r="12215" spans="12:13" x14ac:dyDescent="0.2">
      <c r="L12215" s="12"/>
      <c r="M12215" s="13"/>
    </row>
    <row r="12216" spans="12:13" x14ac:dyDescent="0.2">
      <c r="L12216" s="12"/>
      <c r="M12216" s="13"/>
    </row>
    <row r="12217" spans="12:13" x14ac:dyDescent="0.2">
      <c r="L12217" s="12"/>
      <c r="M12217" s="13"/>
    </row>
    <row r="12218" spans="12:13" x14ac:dyDescent="0.2">
      <c r="L12218" s="12"/>
      <c r="M12218" s="13"/>
    </row>
    <row r="12219" spans="12:13" x14ac:dyDescent="0.2">
      <c r="L12219" s="12"/>
      <c r="M12219" s="13"/>
    </row>
    <row r="12220" spans="12:13" x14ac:dyDescent="0.2">
      <c r="L12220" s="12"/>
      <c r="M12220" s="13"/>
    </row>
    <row r="12221" spans="12:13" x14ac:dyDescent="0.2">
      <c r="L12221" s="12"/>
      <c r="M12221" s="13"/>
    </row>
    <row r="12222" spans="12:13" x14ac:dyDescent="0.2">
      <c r="L12222" s="12"/>
      <c r="M12222" s="13"/>
    </row>
    <row r="12223" spans="12:13" x14ac:dyDescent="0.2">
      <c r="L12223" s="12"/>
      <c r="M12223" s="13"/>
    </row>
    <row r="12224" spans="12:13" x14ac:dyDescent="0.2">
      <c r="L12224" s="12"/>
      <c r="M12224" s="13"/>
    </row>
    <row r="12225" spans="12:13" x14ac:dyDescent="0.2">
      <c r="L12225" s="12"/>
      <c r="M12225" s="13"/>
    </row>
    <row r="12226" spans="12:13" x14ac:dyDescent="0.2">
      <c r="L12226" s="12"/>
      <c r="M12226" s="13"/>
    </row>
    <row r="12227" spans="12:13" x14ac:dyDescent="0.2">
      <c r="L12227" s="12"/>
      <c r="M12227" s="13"/>
    </row>
    <row r="12228" spans="12:13" x14ac:dyDescent="0.2">
      <c r="L12228" s="12"/>
      <c r="M12228" s="13"/>
    </row>
    <row r="12229" spans="12:13" x14ac:dyDescent="0.2">
      <c r="L12229" s="12"/>
      <c r="M12229" s="13"/>
    </row>
    <row r="12230" spans="12:13" x14ac:dyDescent="0.2">
      <c r="L12230" s="12"/>
      <c r="M12230" s="13"/>
    </row>
    <row r="12231" spans="12:13" x14ac:dyDescent="0.2">
      <c r="L12231" s="12"/>
      <c r="M12231" s="13"/>
    </row>
    <row r="12232" spans="12:13" x14ac:dyDescent="0.2">
      <c r="L12232" s="12"/>
      <c r="M12232" s="13"/>
    </row>
    <row r="12233" spans="12:13" x14ac:dyDescent="0.2">
      <c r="L12233" s="12"/>
      <c r="M12233" s="13"/>
    </row>
    <row r="12234" spans="12:13" x14ac:dyDescent="0.2">
      <c r="L12234" s="12"/>
      <c r="M12234" s="13"/>
    </row>
    <row r="12235" spans="12:13" x14ac:dyDescent="0.2">
      <c r="L12235" s="12"/>
      <c r="M12235" s="13"/>
    </row>
    <row r="12236" spans="12:13" x14ac:dyDescent="0.2">
      <c r="L12236" s="12"/>
      <c r="M12236" s="13"/>
    </row>
    <row r="12237" spans="12:13" x14ac:dyDescent="0.2">
      <c r="L12237" s="12"/>
      <c r="M12237" s="13"/>
    </row>
    <row r="12238" spans="12:13" x14ac:dyDescent="0.2">
      <c r="L12238" s="12"/>
      <c r="M12238" s="13"/>
    </row>
    <row r="12239" spans="12:13" x14ac:dyDescent="0.2">
      <c r="L12239" s="12"/>
      <c r="M12239" s="13"/>
    </row>
    <row r="12240" spans="12:13" x14ac:dyDescent="0.2">
      <c r="L12240" s="12"/>
      <c r="M12240" s="13"/>
    </row>
    <row r="12241" spans="12:13" x14ac:dyDescent="0.2">
      <c r="L12241" s="12"/>
      <c r="M12241" s="13"/>
    </row>
    <row r="12242" spans="12:13" x14ac:dyDescent="0.2">
      <c r="L12242" s="12"/>
      <c r="M12242" s="13"/>
    </row>
    <row r="12243" spans="12:13" x14ac:dyDescent="0.2">
      <c r="L12243" s="12"/>
      <c r="M12243" s="13"/>
    </row>
    <row r="12244" spans="12:13" x14ac:dyDescent="0.2">
      <c r="L12244" s="12"/>
      <c r="M12244" s="13"/>
    </row>
    <row r="12245" spans="12:13" x14ac:dyDescent="0.2">
      <c r="L12245" s="12"/>
      <c r="M12245" s="13"/>
    </row>
    <row r="12246" spans="12:13" x14ac:dyDescent="0.2">
      <c r="L12246" s="12"/>
      <c r="M12246" s="13"/>
    </row>
    <row r="12247" spans="12:13" x14ac:dyDescent="0.2">
      <c r="L12247" s="12"/>
      <c r="M12247" s="13"/>
    </row>
    <row r="12248" spans="12:13" x14ac:dyDescent="0.2">
      <c r="L12248" s="12"/>
      <c r="M12248" s="13"/>
    </row>
    <row r="12249" spans="12:13" x14ac:dyDescent="0.2">
      <c r="L12249" s="12"/>
      <c r="M12249" s="13"/>
    </row>
    <row r="12250" spans="12:13" x14ac:dyDescent="0.2">
      <c r="L12250" s="12"/>
      <c r="M12250" s="13"/>
    </row>
    <row r="12251" spans="12:13" x14ac:dyDescent="0.2">
      <c r="L12251" s="12"/>
      <c r="M12251" s="13"/>
    </row>
    <row r="12252" spans="12:13" x14ac:dyDescent="0.2">
      <c r="L12252" s="12"/>
      <c r="M12252" s="13"/>
    </row>
    <row r="12253" spans="12:13" x14ac:dyDescent="0.2">
      <c r="L12253" s="12"/>
      <c r="M12253" s="13"/>
    </row>
    <row r="12254" spans="12:13" x14ac:dyDescent="0.2">
      <c r="L12254" s="12"/>
      <c r="M12254" s="13"/>
    </row>
    <row r="12255" spans="12:13" x14ac:dyDescent="0.2">
      <c r="L12255" s="12"/>
      <c r="M12255" s="13"/>
    </row>
    <row r="12256" spans="12:13" x14ac:dyDescent="0.2">
      <c r="L12256" s="12"/>
      <c r="M12256" s="13"/>
    </row>
    <row r="12257" spans="12:13" x14ac:dyDescent="0.2">
      <c r="L12257" s="12"/>
      <c r="M12257" s="13"/>
    </row>
    <row r="12258" spans="12:13" x14ac:dyDescent="0.2">
      <c r="L12258" s="12"/>
      <c r="M12258" s="13"/>
    </row>
    <row r="12259" spans="12:13" x14ac:dyDescent="0.2">
      <c r="L12259" s="12"/>
      <c r="M12259" s="13"/>
    </row>
    <row r="12260" spans="12:13" x14ac:dyDescent="0.2">
      <c r="L12260" s="12"/>
      <c r="M12260" s="13"/>
    </row>
    <row r="12261" spans="12:13" x14ac:dyDescent="0.2">
      <c r="L12261" s="12"/>
      <c r="M12261" s="13"/>
    </row>
    <row r="12262" spans="12:13" x14ac:dyDescent="0.2">
      <c r="L12262" s="12"/>
      <c r="M12262" s="13"/>
    </row>
    <row r="12263" spans="12:13" x14ac:dyDescent="0.2">
      <c r="L12263" s="12"/>
      <c r="M12263" s="13"/>
    </row>
    <row r="12264" spans="12:13" x14ac:dyDescent="0.2">
      <c r="L12264" s="12"/>
      <c r="M12264" s="13"/>
    </row>
    <row r="12265" spans="12:13" x14ac:dyDescent="0.2">
      <c r="L12265" s="12"/>
      <c r="M12265" s="13"/>
    </row>
    <row r="12266" spans="12:13" x14ac:dyDescent="0.2">
      <c r="L12266" s="12"/>
      <c r="M12266" s="13"/>
    </row>
    <row r="12267" spans="12:13" x14ac:dyDescent="0.2">
      <c r="L12267" s="12"/>
      <c r="M12267" s="13"/>
    </row>
    <row r="12268" spans="12:13" x14ac:dyDescent="0.2">
      <c r="L12268" s="12"/>
      <c r="M12268" s="13"/>
    </row>
    <row r="12269" spans="12:13" x14ac:dyDescent="0.2">
      <c r="L12269" s="12"/>
      <c r="M12269" s="13"/>
    </row>
    <row r="12270" spans="12:13" x14ac:dyDescent="0.2">
      <c r="L12270" s="12"/>
      <c r="M12270" s="13"/>
    </row>
    <row r="12271" spans="12:13" x14ac:dyDescent="0.2">
      <c r="L12271" s="12"/>
      <c r="M12271" s="13"/>
    </row>
    <row r="12272" spans="12:13" x14ac:dyDescent="0.2">
      <c r="L12272" s="12"/>
      <c r="M12272" s="13"/>
    </row>
    <row r="12273" spans="12:13" x14ac:dyDescent="0.2">
      <c r="L12273" s="12"/>
      <c r="M12273" s="13"/>
    </row>
    <row r="12274" spans="12:13" x14ac:dyDescent="0.2">
      <c r="L12274" s="12"/>
      <c r="M12274" s="13"/>
    </row>
    <row r="12275" spans="12:13" x14ac:dyDescent="0.2">
      <c r="L12275" s="12"/>
      <c r="M12275" s="13"/>
    </row>
    <row r="12276" spans="12:13" x14ac:dyDescent="0.2">
      <c r="L12276" s="12"/>
      <c r="M12276" s="13"/>
    </row>
    <row r="12277" spans="12:13" x14ac:dyDescent="0.2">
      <c r="L12277" s="12"/>
      <c r="M12277" s="13"/>
    </row>
    <row r="12278" spans="12:13" x14ac:dyDescent="0.2">
      <c r="L12278" s="12"/>
      <c r="M12278" s="13"/>
    </row>
    <row r="12279" spans="12:13" x14ac:dyDescent="0.2">
      <c r="L12279" s="12"/>
      <c r="M12279" s="13"/>
    </row>
    <row r="12280" spans="12:13" x14ac:dyDescent="0.2">
      <c r="L12280" s="12"/>
      <c r="M12280" s="13"/>
    </row>
    <row r="12281" spans="12:13" x14ac:dyDescent="0.2">
      <c r="L12281" s="12"/>
      <c r="M12281" s="13"/>
    </row>
    <row r="12282" spans="12:13" x14ac:dyDescent="0.2">
      <c r="L12282" s="12"/>
      <c r="M12282" s="13"/>
    </row>
    <row r="12283" spans="12:13" x14ac:dyDescent="0.2">
      <c r="L12283" s="12"/>
      <c r="M12283" s="13"/>
    </row>
    <row r="12284" spans="12:13" x14ac:dyDescent="0.2">
      <c r="L12284" s="12"/>
      <c r="M12284" s="13"/>
    </row>
    <row r="12285" spans="12:13" x14ac:dyDescent="0.2">
      <c r="L12285" s="12"/>
      <c r="M12285" s="13"/>
    </row>
    <row r="12286" spans="12:13" x14ac:dyDescent="0.2">
      <c r="L12286" s="12"/>
      <c r="M12286" s="13"/>
    </row>
    <row r="12287" spans="12:13" x14ac:dyDescent="0.2">
      <c r="L12287" s="12"/>
      <c r="M12287" s="13"/>
    </row>
    <row r="12288" spans="12:13" x14ac:dyDescent="0.2">
      <c r="L12288" s="12"/>
      <c r="M12288" s="13"/>
    </row>
    <row r="12289" spans="12:13" x14ac:dyDescent="0.2">
      <c r="L12289" s="12"/>
      <c r="M12289" s="13"/>
    </row>
    <row r="12290" spans="12:13" x14ac:dyDescent="0.2">
      <c r="L12290" s="17"/>
      <c r="M12290" s="18"/>
    </row>
    <row r="12291" spans="12:13" x14ac:dyDescent="0.2">
      <c r="L12291" s="12"/>
      <c r="M12291" s="13"/>
    </row>
    <row r="12292" spans="12:13" x14ac:dyDescent="0.2">
      <c r="L12292" s="12"/>
      <c r="M12292" s="13"/>
    </row>
    <row r="12293" spans="12:13" x14ac:dyDescent="0.2">
      <c r="L12293" s="12"/>
      <c r="M12293" s="13"/>
    </row>
    <row r="12294" spans="12:13" x14ac:dyDescent="0.2">
      <c r="L12294" s="12"/>
      <c r="M12294" s="13"/>
    </row>
    <row r="12295" spans="12:13" x14ac:dyDescent="0.2">
      <c r="L12295" s="12"/>
      <c r="M12295" s="13"/>
    </row>
    <row r="12296" spans="12:13" x14ac:dyDescent="0.2">
      <c r="L12296" s="12"/>
      <c r="M12296" s="13"/>
    </row>
    <row r="12297" spans="12:13" x14ac:dyDescent="0.2">
      <c r="L12297" s="12"/>
      <c r="M12297" s="13"/>
    </row>
    <row r="12298" spans="12:13" x14ac:dyDescent="0.2">
      <c r="L12298" s="12"/>
      <c r="M12298" s="13"/>
    </row>
    <row r="12299" spans="12:13" x14ac:dyDescent="0.2">
      <c r="L12299" s="12"/>
      <c r="M12299" s="13"/>
    </row>
    <row r="12300" spans="12:13" x14ac:dyDescent="0.2">
      <c r="L12300" s="12"/>
      <c r="M12300" s="13"/>
    </row>
    <row r="12301" spans="12:13" x14ac:dyDescent="0.2">
      <c r="L12301" s="12"/>
      <c r="M12301" s="13"/>
    </row>
    <row r="12302" spans="12:13" x14ac:dyDescent="0.2">
      <c r="L12302" s="12"/>
      <c r="M12302" s="13"/>
    </row>
    <row r="12303" spans="12:13" x14ac:dyDescent="0.2">
      <c r="L12303" s="12"/>
      <c r="M12303" s="13"/>
    </row>
    <row r="12304" spans="12:13" x14ac:dyDescent="0.2">
      <c r="L12304" s="12"/>
      <c r="M12304" s="13"/>
    </row>
    <row r="12305" spans="12:13" x14ac:dyDescent="0.2">
      <c r="L12305" s="12"/>
      <c r="M12305" s="13"/>
    </row>
    <row r="12306" spans="12:13" x14ac:dyDescent="0.2">
      <c r="L12306" s="12"/>
      <c r="M12306" s="13"/>
    </row>
    <row r="12307" spans="12:13" x14ac:dyDescent="0.2">
      <c r="L12307" s="12"/>
      <c r="M12307" s="13"/>
    </row>
    <row r="12308" spans="12:13" x14ac:dyDescent="0.2">
      <c r="L12308" s="12"/>
      <c r="M12308" s="13"/>
    </row>
    <row r="12309" spans="12:13" x14ac:dyDescent="0.2">
      <c r="L12309" s="12"/>
      <c r="M12309" s="13"/>
    </row>
    <row r="12310" spans="12:13" x14ac:dyDescent="0.2">
      <c r="L12310" s="12"/>
      <c r="M12310" s="13"/>
    </row>
    <row r="12311" spans="12:13" x14ac:dyDescent="0.2">
      <c r="L12311" s="12"/>
      <c r="M12311" s="13"/>
    </row>
    <row r="12312" spans="12:13" x14ac:dyDescent="0.2">
      <c r="L12312" s="12"/>
      <c r="M12312" s="13"/>
    </row>
    <row r="12313" spans="12:13" x14ac:dyDescent="0.2">
      <c r="L12313" s="12"/>
      <c r="M12313" s="13"/>
    </row>
    <row r="12314" spans="12:13" x14ac:dyDescent="0.2">
      <c r="L12314" s="12"/>
      <c r="M12314" s="13"/>
    </row>
    <row r="12315" spans="12:13" x14ac:dyDescent="0.2">
      <c r="L12315" s="12"/>
      <c r="M12315" s="13"/>
    </row>
    <row r="12316" spans="12:13" x14ac:dyDescent="0.2">
      <c r="L12316" s="12"/>
      <c r="M12316" s="13"/>
    </row>
    <row r="12317" spans="12:13" x14ac:dyDescent="0.2">
      <c r="L12317" s="12"/>
      <c r="M12317" s="13"/>
    </row>
    <row r="12318" spans="12:13" x14ac:dyDescent="0.2">
      <c r="L12318" s="12"/>
      <c r="M12318" s="13"/>
    </row>
    <row r="12319" spans="12:13" x14ac:dyDescent="0.2">
      <c r="L12319" s="12"/>
      <c r="M12319" s="13"/>
    </row>
    <row r="12320" spans="12:13" x14ac:dyDescent="0.2">
      <c r="L12320" s="12"/>
      <c r="M12320" s="13"/>
    </row>
    <row r="12321" spans="12:13" x14ac:dyDescent="0.2">
      <c r="L12321" s="12"/>
      <c r="M12321" s="13"/>
    </row>
    <row r="12322" spans="12:13" x14ac:dyDescent="0.2">
      <c r="L12322" s="12"/>
      <c r="M12322" s="13"/>
    </row>
    <row r="12323" spans="12:13" x14ac:dyDescent="0.2">
      <c r="L12323" s="12"/>
      <c r="M12323" s="13"/>
    </row>
    <row r="12324" spans="12:13" x14ac:dyDescent="0.2">
      <c r="L12324" s="12"/>
      <c r="M12324" s="13"/>
    </row>
    <row r="12325" spans="12:13" x14ac:dyDescent="0.2">
      <c r="L12325" s="12"/>
      <c r="M12325" s="13"/>
    </row>
    <row r="12326" spans="12:13" x14ac:dyDescent="0.2">
      <c r="L12326" s="12"/>
      <c r="M12326" s="13"/>
    </row>
    <row r="12327" spans="12:13" x14ac:dyDescent="0.2">
      <c r="L12327" s="12"/>
      <c r="M12327" s="13"/>
    </row>
    <row r="12328" spans="12:13" x14ac:dyDescent="0.2">
      <c r="L12328" s="12"/>
      <c r="M12328" s="13"/>
    </row>
    <row r="12329" spans="12:13" x14ac:dyDescent="0.2">
      <c r="L12329" s="12"/>
      <c r="M12329" s="13"/>
    </row>
    <row r="12330" spans="12:13" x14ac:dyDescent="0.2">
      <c r="L12330" s="12"/>
      <c r="M12330" s="13"/>
    </row>
    <row r="12331" spans="12:13" x14ac:dyDescent="0.2">
      <c r="L12331" s="12"/>
      <c r="M12331" s="13"/>
    </row>
    <row r="12332" spans="12:13" x14ac:dyDescent="0.2">
      <c r="L12332" s="12"/>
      <c r="M12332" s="13"/>
    </row>
    <row r="12333" spans="12:13" x14ac:dyDescent="0.2">
      <c r="L12333" s="12"/>
      <c r="M12333" s="13"/>
    </row>
    <row r="12334" spans="12:13" x14ac:dyDescent="0.2">
      <c r="L12334" s="12"/>
      <c r="M12334" s="13"/>
    </row>
    <row r="12335" spans="12:13" x14ac:dyDescent="0.2">
      <c r="L12335" s="12"/>
      <c r="M12335" s="13"/>
    </row>
    <row r="12336" spans="12:13" x14ac:dyDescent="0.2">
      <c r="L12336" s="12"/>
      <c r="M12336" s="13"/>
    </row>
    <row r="12337" spans="12:13" x14ac:dyDescent="0.2">
      <c r="L12337" s="12"/>
      <c r="M12337" s="13"/>
    </row>
    <row r="12338" spans="12:13" x14ac:dyDescent="0.2">
      <c r="L12338" s="12"/>
      <c r="M12338" s="13"/>
    </row>
    <row r="12339" spans="12:13" x14ac:dyDescent="0.2">
      <c r="L12339" s="12"/>
      <c r="M12339" s="13"/>
    </row>
    <row r="12340" spans="12:13" x14ac:dyDescent="0.2">
      <c r="L12340" s="12"/>
      <c r="M12340" s="13"/>
    </row>
    <row r="12341" spans="12:13" x14ac:dyDescent="0.2">
      <c r="L12341" s="12"/>
      <c r="M12341" s="13"/>
    </row>
    <row r="12342" spans="12:13" x14ac:dyDescent="0.2">
      <c r="L12342" s="12"/>
      <c r="M12342" s="13"/>
    </row>
    <row r="12343" spans="12:13" x14ac:dyDescent="0.2">
      <c r="L12343" s="12"/>
      <c r="M12343" s="13"/>
    </row>
    <row r="12344" spans="12:13" x14ac:dyDescent="0.2">
      <c r="L12344" s="12"/>
      <c r="M12344" s="13"/>
    </row>
    <row r="12345" spans="12:13" x14ac:dyDescent="0.2">
      <c r="L12345" s="12"/>
      <c r="M12345" s="13"/>
    </row>
    <row r="12346" spans="12:13" x14ac:dyDescent="0.2">
      <c r="L12346" s="12"/>
      <c r="M12346" s="13"/>
    </row>
    <row r="12347" spans="12:13" x14ac:dyDescent="0.2">
      <c r="L12347" s="12"/>
      <c r="M12347" s="13"/>
    </row>
    <row r="12348" spans="12:13" x14ac:dyDescent="0.2">
      <c r="L12348" s="12"/>
      <c r="M12348" s="13"/>
    </row>
    <row r="12349" spans="12:13" x14ac:dyDescent="0.2">
      <c r="L12349" s="12"/>
      <c r="M12349" s="13"/>
    </row>
    <row r="12350" spans="12:13" x14ac:dyDescent="0.2">
      <c r="L12350" s="12"/>
      <c r="M12350" s="13"/>
    </row>
    <row r="12351" spans="12:13" x14ac:dyDescent="0.2">
      <c r="L12351" s="12"/>
      <c r="M12351" s="13"/>
    </row>
    <row r="12352" spans="12:13" x14ac:dyDescent="0.2">
      <c r="L12352" s="12"/>
      <c r="M12352" s="13"/>
    </row>
    <row r="12353" spans="12:13" x14ac:dyDescent="0.2">
      <c r="L12353" s="12"/>
      <c r="M12353" s="13"/>
    </row>
    <row r="12354" spans="12:13" x14ac:dyDescent="0.2">
      <c r="L12354" s="12"/>
      <c r="M12354" s="13"/>
    </row>
    <row r="12355" spans="12:13" x14ac:dyDescent="0.2">
      <c r="L12355" s="12"/>
      <c r="M12355" s="13"/>
    </row>
    <row r="12356" spans="12:13" x14ac:dyDescent="0.2">
      <c r="L12356" s="12"/>
      <c r="M12356" s="13"/>
    </row>
    <row r="12357" spans="12:13" x14ac:dyDescent="0.2">
      <c r="L12357" s="12"/>
      <c r="M12357" s="13"/>
    </row>
    <row r="12358" spans="12:13" x14ac:dyDescent="0.2">
      <c r="L12358" s="12"/>
      <c r="M12358" s="13"/>
    </row>
    <row r="12359" spans="12:13" x14ac:dyDescent="0.2">
      <c r="L12359" s="12"/>
      <c r="M12359" s="13"/>
    </row>
    <row r="12360" spans="12:13" x14ac:dyDescent="0.2">
      <c r="L12360" s="12"/>
      <c r="M12360" s="13"/>
    </row>
    <row r="12361" spans="12:13" x14ac:dyDescent="0.2">
      <c r="L12361" s="12"/>
      <c r="M12361" s="13"/>
    </row>
    <row r="12362" spans="12:13" x14ac:dyDescent="0.2">
      <c r="L12362" s="12"/>
      <c r="M12362" s="13"/>
    </row>
    <row r="12363" spans="12:13" x14ac:dyDescent="0.2">
      <c r="L12363" s="12"/>
      <c r="M12363" s="13"/>
    </row>
    <row r="12364" spans="12:13" x14ac:dyDescent="0.2">
      <c r="L12364" s="12"/>
      <c r="M12364" s="13"/>
    </row>
    <row r="12365" spans="12:13" x14ac:dyDescent="0.2">
      <c r="L12365" s="12"/>
      <c r="M12365" s="13"/>
    </row>
    <row r="12366" spans="12:13" x14ac:dyDescent="0.2">
      <c r="L12366" s="12"/>
      <c r="M12366" s="13"/>
    </row>
    <row r="12367" spans="12:13" x14ac:dyDescent="0.2">
      <c r="L12367" s="12"/>
      <c r="M12367" s="13"/>
    </row>
    <row r="12368" spans="12:13" x14ac:dyDescent="0.2">
      <c r="L12368" s="12"/>
      <c r="M12368" s="13"/>
    </row>
    <row r="12369" spans="12:13" x14ac:dyDescent="0.2">
      <c r="L12369" s="12"/>
      <c r="M12369" s="13"/>
    </row>
    <row r="12370" spans="12:13" x14ac:dyDescent="0.2">
      <c r="L12370" s="12"/>
      <c r="M12370" s="13"/>
    </row>
    <row r="12371" spans="12:13" x14ac:dyDescent="0.2">
      <c r="L12371" s="12"/>
      <c r="M12371" s="13"/>
    </row>
    <row r="12372" spans="12:13" x14ac:dyDescent="0.2">
      <c r="L12372" s="12"/>
      <c r="M12372" s="13"/>
    </row>
    <row r="12373" spans="12:13" x14ac:dyDescent="0.2">
      <c r="L12373" s="12"/>
      <c r="M12373" s="13"/>
    </row>
    <row r="12374" spans="12:13" x14ac:dyDescent="0.2">
      <c r="L12374" s="12"/>
      <c r="M12374" s="13"/>
    </row>
    <row r="12375" spans="12:13" x14ac:dyDescent="0.2">
      <c r="L12375" s="12"/>
      <c r="M12375" s="13"/>
    </row>
    <row r="12376" spans="12:13" x14ac:dyDescent="0.2">
      <c r="L12376" s="12"/>
      <c r="M12376" s="13"/>
    </row>
    <row r="12377" spans="12:13" x14ac:dyDescent="0.2">
      <c r="L12377" s="12"/>
      <c r="M12377" s="13"/>
    </row>
    <row r="12378" spans="12:13" x14ac:dyDescent="0.2">
      <c r="L12378" s="12"/>
      <c r="M12378" s="13"/>
    </row>
    <row r="12379" spans="12:13" x14ac:dyDescent="0.2">
      <c r="L12379" s="12"/>
      <c r="M12379" s="13"/>
    </row>
    <row r="12380" spans="12:13" x14ac:dyDescent="0.2">
      <c r="L12380" s="12"/>
      <c r="M12380" s="13"/>
    </row>
    <row r="12381" spans="12:13" x14ac:dyDescent="0.2">
      <c r="L12381" s="12"/>
      <c r="M12381" s="13"/>
    </row>
    <row r="12382" spans="12:13" x14ac:dyDescent="0.2">
      <c r="L12382" s="12"/>
      <c r="M12382" s="13"/>
    </row>
    <row r="12383" spans="12:13" x14ac:dyDescent="0.2">
      <c r="L12383" s="12"/>
      <c r="M12383" s="13"/>
    </row>
    <row r="12384" spans="12:13" x14ac:dyDescent="0.2">
      <c r="L12384" s="12"/>
      <c r="M12384" s="13"/>
    </row>
    <row r="12385" spans="12:13" x14ac:dyDescent="0.2">
      <c r="L12385" s="12"/>
      <c r="M12385" s="13"/>
    </row>
    <row r="12386" spans="12:13" x14ac:dyDescent="0.2">
      <c r="L12386" s="12"/>
      <c r="M12386" s="13"/>
    </row>
    <row r="12387" spans="12:13" x14ac:dyDescent="0.2">
      <c r="L12387" s="12"/>
      <c r="M12387" s="13"/>
    </row>
    <row r="12388" spans="12:13" x14ac:dyDescent="0.2">
      <c r="L12388" s="12"/>
      <c r="M12388" s="13"/>
    </row>
    <row r="12389" spans="12:13" x14ac:dyDescent="0.2">
      <c r="L12389" s="12"/>
      <c r="M12389" s="13"/>
    </row>
    <row r="12390" spans="12:13" x14ac:dyDescent="0.2">
      <c r="L12390" s="12"/>
      <c r="M12390" s="13"/>
    </row>
    <row r="12391" spans="12:13" x14ac:dyDescent="0.2">
      <c r="L12391" s="12"/>
      <c r="M12391" s="13"/>
    </row>
    <row r="12392" spans="12:13" x14ac:dyDescent="0.2">
      <c r="L12392" s="12"/>
      <c r="M12392" s="13"/>
    </row>
    <row r="12393" spans="12:13" x14ac:dyDescent="0.2">
      <c r="L12393" s="12"/>
      <c r="M12393" s="13"/>
    </row>
    <row r="12394" spans="12:13" x14ac:dyDescent="0.2">
      <c r="L12394" s="12"/>
      <c r="M12394" s="13"/>
    </row>
    <row r="12395" spans="12:13" x14ac:dyDescent="0.2">
      <c r="L12395" s="12"/>
      <c r="M12395" s="13"/>
    </row>
    <row r="12396" spans="12:13" x14ac:dyDescent="0.2">
      <c r="L12396" s="12"/>
      <c r="M12396" s="13"/>
    </row>
    <row r="12397" spans="12:13" x14ac:dyDescent="0.2">
      <c r="L12397" s="12"/>
      <c r="M12397" s="13"/>
    </row>
    <row r="12398" spans="12:13" x14ac:dyDescent="0.2">
      <c r="L12398" s="12"/>
      <c r="M12398" s="13"/>
    </row>
    <row r="12399" spans="12:13" x14ac:dyDescent="0.2">
      <c r="L12399" s="12"/>
      <c r="M12399" s="13"/>
    </row>
    <row r="12400" spans="12:13" x14ac:dyDescent="0.2">
      <c r="L12400" s="12"/>
      <c r="M12400" s="13"/>
    </row>
    <row r="12401" spans="12:13" x14ac:dyDescent="0.2">
      <c r="L12401" s="12"/>
      <c r="M12401" s="13"/>
    </row>
    <row r="12402" spans="12:13" x14ac:dyDescent="0.2">
      <c r="L12402" s="12"/>
      <c r="M12402" s="13"/>
    </row>
    <row r="12403" spans="12:13" x14ac:dyDescent="0.2">
      <c r="L12403" s="12"/>
      <c r="M12403" s="13"/>
    </row>
    <row r="12404" spans="12:13" x14ac:dyDescent="0.2">
      <c r="L12404" s="12"/>
      <c r="M12404" s="13"/>
    </row>
    <row r="12405" spans="12:13" x14ac:dyDescent="0.2">
      <c r="L12405" s="12"/>
      <c r="M12405" s="13"/>
    </row>
    <row r="12406" spans="12:13" x14ac:dyDescent="0.2">
      <c r="L12406" s="12"/>
      <c r="M12406" s="13"/>
    </row>
    <row r="12407" spans="12:13" x14ac:dyDescent="0.2">
      <c r="L12407" s="12"/>
      <c r="M12407" s="13"/>
    </row>
    <row r="12408" spans="12:13" x14ac:dyDescent="0.2">
      <c r="L12408" s="12"/>
      <c r="M12408" s="13"/>
    </row>
    <row r="12409" spans="12:13" x14ac:dyDescent="0.2">
      <c r="L12409" s="12"/>
      <c r="M12409" s="13"/>
    </row>
    <row r="12410" spans="12:13" x14ac:dyDescent="0.2">
      <c r="L12410" s="12"/>
      <c r="M12410" s="13"/>
    </row>
    <row r="12411" spans="12:13" x14ac:dyDescent="0.2">
      <c r="L12411" s="12"/>
      <c r="M12411" s="13"/>
    </row>
    <row r="12412" spans="12:13" x14ac:dyDescent="0.2">
      <c r="L12412" s="12"/>
      <c r="M12412" s="13"/>
    </row>
    <row r="12413" spans="12:13" x14ac:dyDescent="0.2">
      <c r="L12413" s="12"/>
      <c r="M12413" s="13"/>
    </row>
    <row r="12414" spans="12:13" x14ac:dyDescent="0.2">
      <c r="L12414" s="12"/>
      <c r="M12414" s="13"/>
    </row>
    <row r="12415" spans="12:13" x14ac:dyDescent="0.2">
      <c r="L12415" s="12"/>
      <c r="M12415" s="13"/>
    </row>
    <row r="12416" spans="12:13" x14ac:dyDescent="0.2">
      <c r="L12416" s="12"/>
      <c r="M12416" s="13"/>
    </row>
    <row r="12417" spans="12:13" x14ac:dyDescent="0.2">
      <c r="L12417" s="12"/>
      <c r="M12417" s="13"/>
    </row>
    <row r="12418" spans="12:13" x14ac:dyDescent="0.2">
      <c r="L12418" s="12"/>
      <c r="M12418" s="13"/>
    </row>
    <row r="12419" spans="12:13" x14ac:dyDescent="0.2">
      <c r="L12419" s="12"/>
      <c r="M12419" s="13"/>
    </row>
    <row r="12420" spans="12:13" x14ac:dyDescent="0.2">
      <c r="L12420" s="12"/>
      <c r="M12420" s="13"/>
    </row>
    <row r="12421" spans="12:13" x14ac:dyDescent="0.2">
      <c r="L12421" s="12"/>
      <c r="M12421" s="13"/>
    </row>
    <row r="12422" spans="12:13" x14ac:dyDescent="0.2">
      <c r="L12422" s="12"/>
      <c r="M12422" s="13"/>
    </row>
    <row r="12423" spans="12:13" x14ac:dyDescent="0.2">
      <c r="L12423" s="12"/>
      <c r="M12423" s="13"/>
    </row>
    <row r="12424" spans="12:13" x14ac:dyDescent="0.2">
      <c r="L12424" s="12"/>
      <c r="M12424" s="13"/>
    </row>
    <row r="12425" spans="12:13" x14ac:dyDescent="0.2">
      <c r="L12425" s="12"/>
      <c r="M12425" s="13"/>
    </row>
    <row r="12426" spans="12:13" x14ac:dyDescent="0.2">
      <c r="L12426" s="12"/>
      <c r="M12426" s="13"/>
    </row>
    <row r="12427" spans="12:13" x14ac:dyDescent="0.2">
      <c r="L12427" s="12"/>
      <c r="M12427" s="13"/>
    </row>
    <row r="12428" spans="12:13" x14ac:dyDescent="0.2">
      <c r="L12428" s="12"/>
      <c r="M12428" s="13"/>
    </row>
    <row r="12429" spans="12:13" x14ac:dyDescent="0.2">
      <c r="L12429" s="12"/>
      <c r="M12429" s="13"/>
    </row>
    <row r="12430" spans="12:13" x14ac:dyDescent="0.2">
      <c r="L12430" s="12"/>
      <c r="M12430" s="13"/>
    </row>
    <row r="12431" spans="12:13" x14ac:dyDescent="0.2">
      <c r="L12431" s="12"/>
      <c r="M12431" s="13"/>
    </row>
    <row r="12432" spans="12:13" x14ac:dyDescent="0.2">
      <c r="L12432" s="12"/>
      <c r="M12432" s="13"/>
    </row>
    <row r="12433" spans="12:13" x14ac:dyDescent="0.2">
      <c r="L12433" s="12"/>
      <c r="M12433" s="13"/>
    </row>
    <row r="12434" spans="12:13" x14ac:dyDescent="0.2">
      <c r="L12434" s="12"/>
      <c r="M12434" s="13"/>
    </row>
    <row r="12435" spans="12:13" x14ac:dyDescent="0.2">
      <c r="L12435" s="12"/>
      <c r="M12435" s="13"/>
    </row>
    <row r="12436" spans="12:13" x14ac:dyDescent="0.2">
      <c r="L12436" s="12"/>
      <c r="M12436" s="13"/>
    </row>
    <row r="12437" spans="12:13" x14ac:dyDescent="0.2">
      <c r="L12437" s="12"/>
      <c r="M12437" s="13"/>
    </row>
    <row r="12438" spans="12:13" x14ac:dyDescent="0.2">
      <c r="L12438" s="12"/>
      <c r="M12438" s="13"/>
    </row>
    <row r="12439" spans="12:13" x14ac:dyDescent="0.2">
      <c r="L12439" s="12"/>
      <c r="M12439" s="13"/>
    </row>
    <row r="12440" spans="12:13" x14ac:dyDescent="0.2">
      <c r="L12440" s="12"/>
      <c r="M12440" s="13"/>
    </row>
    <row r="12441" spans="12:13" x14ac:dyDescent="0.2">
      <c r="L12441" s="12"/>
      <c r="M12441" s="13"/>
    </row>
    <row r="12442" spans="12:13" x14ac:dyDescent="0.2">
      <c r="L12442" s="12"/>
      <c r="M12442" s="13"/>
    </row>
    <row r="12443" spans="12:13" x14ac:dyDescent="0.2">
      <c r="L12443" s="12"/>
      <c r="M12443" s="13"/>
    </row>
    <row r="12444" spans="12:13" x14ac:dyDescent="0.2">
      <c r="L12444" s="12"/>
      <c r="M12444" s="13"/>
    </row>
    <row r="12445" spans="12:13" x14ac:dyDescent="0.2">
      <c r="L12445" s="12"/>
      <c r="M12445" s="13"/>
    </row>
    <row r="12446" spans="12:13" x14ac:dyDescent="0.2">
      <c r="L12446" s="12"/>
      <c r="M12446" s="13"/>
    </row>
    <row r="12447" spans="12:13" x14ac:dyDescent="0.2">
      <c r="L12447" s="12"/>
      <c r="M12447" s="13"/>
    </row>
    <row r="12448" spans="12:13" x14ac:dyDescent="0.2">
      <c r="L12448" s="12"/>
      <c r="M12448" s="13"/>
    </row>
    <row r="12449" spans="12:13" x14ac:dyDescent="0.2">
      <c r="L12449" s="12"/>
      <c r="M12449" s="13"/>
    </row>
    <row r="12450" spans="12:13" x14ac:dyDescent="0.2">
      <c r="L12450" s="12"/>
      <c r="M12450" s="13"/>
    </row>
    <row r="12451" spans="12:13" x14ac:dyDescent="0.2">
      <c r="L12451" s="12"/>
      <c r="M12451" s="13"/>
    </row>
    <row r="12452" spans="12:13" x14ac:dyDescent="0.2">
      <c r="L12452" s="12"/>
      <c r="M12452" s="13"/>
    </row>
    <row r="12453" spans="12:13" x14ac:dyDescent="0.2">
      <c r="L12453" s="12"/>
      <c r="M12453" s="13"/>
    </row>
    <row r="12454" spans="12:13" x14ac:dyDescent="0.2">
      <c r="L12454" s="12"/>
      <c r="M12454" s="13"/>
    </row>
    <row r="12455" spans="12:13" x14ac:dyDescent="0.2">
      <c r="L12455" s="12"/>
      <c r="M12455" s="13"/>
    </row>
    <row r="12456" spans="12:13" x14ac:dyDescent="0.2">
      <c r="L12456" s="12"/>
      <c r="M12456" s="13"/>
    </row>
    <row r="12457" spans="12:13" x14ac:dyDescent="0.2">
      <c r="L12457" s="12"/>
      <c r="M12457" s="13"/>
    </row>
    <row r="12458" spans="12:13" x14ac:dyDescent="0.2">
      <c r="L12458" s="12"/>
      <c r="M12458" s="13"/>
    </row>
    <row r="12459" spans="12:13" x14ac:dyDescent="0.2">
      <c r="L12459" s="12"/>
      <c r="M12459" s="13"/>
    </row>
    <row r="12460" spans="12:13" x14ac:dyDescent="0.2">
      <c r="L12460" s="12"/>
      <c r="M12460" s="13"/>
    </row>
    <row r="12461" spans="12:13" x14ac:dyDescent="0.2">
      <c r="L12461" s="12"/>
      <c r="M12461" s="13"/>
    </row>
    <row r="12462" spans="12:13" x14ac:dyDescent="0.2">
      <c r="L12462" s="12"/>
      <c r="M12462" s="13"/>
    </row>
    <row r="12463" spans="12:13" x14ac:dyDescent="0.2">
      <c r="L12463" s="12"/>
      <c r="M12463" s="13"/>
    </row>
    <row r="12464" spans="12:13" x14ac:dyDescent="0.2">
      <c r="L12464" s="12"/>
      <c r="M12464" s="13"/>
    </row>
    <row r="12465" spans="12:13" x14ac:dyDescent="0.2">
      <c r="L12465" s="12"/>
      <c r="M12465" s="13"/>
    </row>
    <row r="12466" spans="12:13" x14ac:dyDescent="0.2">
      <c r="L12466" s="12"/>
      <c r="M12466" s="13"/>
    </row>
    <row r="12467" spans="12:13" x14ac:dyDescent="0.2">
      <c r="L12467" s="12"/>
      <c r="M12467" s="13"/>
    </row>
    <row r="12468" spans="12:13" x14ac:dyDescent="0.2">
      <c r="L12468" s="12"/>
      <c r="M12468" s="13"/>
    </row>
    <row r="12469" spans="12:13" x14ac:dyDescent="0.2">
      <c r="L12469" s="12"/>
      <c r="M12469" s="13"/>
    </row>
    <row r="12470" spans="12:13" x14ac:dyDescent="0.2">
      <c r="L12470" s="12"/>
      <c r="M12470" s="13"/>
    </row>
    <row r="12471" spans="12:13" x14ac:dyDescent="0.2">
      <c r="L12471" s="12"/>
      <c r="M12471" s="13"/>
    </row>
    <row r="12472" spans="12:13" x14ac:dyDescent="0.2">
      <c r="L12472" s="12"/>
      <c r="M12472" s="13"/>
    </row>
    <row r="12473" spans="12:13" x14ac:dyDescent="0.2">
      <c r="L12473" s="12"/>
      <c r="M12473" s="13"/>
    </row>
    <row r="12474" spans="12:13" x14ac:dyDescent="0.2">
      <c r="L12474" s="12"/>
      <c r="M12474" s="13"/>
    </row>
    <row r="12475" spans="12:13" x14ac:dyDescent="0.2">
      <c r="L12475" s="12"/>
      <c r="M12475" s="13"/>
    </row>
    <row r="12476" spans="12:13" x14ac:dyDescent="0.2">
      <c r="L12476" s="12"/>
      <c r="M12476" s="13"/>
    </row>
    <row r="12477" spans="12:13" x14ac:dyDescent="0.2">
      <c r="L12477" s="12"/>
      <c r="M12477" s="13"/>
    </row>
    <row r="12478" spans="12:13" x14ac:dyDescent="0.2">
      <c r="L12478" s="12"/>
      <c r="M12478" s="13"/>
    </row>
    <row r="12479" spans="12:13" x14ac:dyDescent="0.2">
      <c r="L12479" s="12"/>
      <c r="M12479" s="13"/>
    </row>
    <row r="12480" spans="12:13" x14ac:dyDescent="0.2">
      <c r="L12480" s="12"/>
      <c r="M12480" s="13"/>
    </row>
    <row r="12481" spans="12:13" x14ac:dyDescent="0.2">
      <c r="L12481" s="12"/>
      <c r="M12481" s="13"/>
    </row>
    <row r="12482" spans="12:13" x14ac:dyDescent="0.2">
      <c r="L12482" s="12"/>
      <c r="M12482" s="13"/>
    </row>
    <row r="12483" spans="12:13" x14ac:dyDescent="0.2">
      <c r="L12483" s="12"/>
      <c r="M12483" s="13"/>
    </row>
    <row r="12484" spans="12:13" x14ac:dyDescent="0.2">
      <c r="L12484" s="12"/>
      <c r="M12484" s="13"/>
    </row>
    <row r="12485" spans="12:13" x14ac:dyDescent="0.2">
      <c r="L12485" s="12"/>
      <c r="M12485" s="13"/>
    </row>
    <row r="12486" spans="12:13" x14ac:dyDescent="0.2">
      <c r="L12486" s="12"/>
      <c r="M12486" s="13"/>
    </row>
    <row r="12487" spans="12:13" x14ac:dyDescent="0.2">
      <c r="L12487" s="12"/>
      <c r="M12487" s="13"/>
    </row>
    <row r="12488" spans="12:13" x14ac:dyDescent="0.2">
      <c r="L12488" s="12"/>
      <c r="M12488" s="13"/>
    </row>
    <row r="12489" spans="12:13" x14ac:dyDescent="0.2">
      <c r="L12489" s="12"/>
      <c r="M12489" s="13"/>
    </row>
    <row r="12490" spans="12:13" x14ac:dyDescent="0.2">
      <c r="L12490" s="12"/>
      <c r="M12490" s="13"/>
    </row>
    <row r="12491" spans="12:13" x14ac:dyDescent="0.2">
      <c r="L12491" s="12"/>
      <c r="M12491" s="13"/>
    </row>
    <row r="12492" spans="12:13" x14ac:dyDescent="0.2">
      <c r="L12492" s="12"/>
      <c r="M12492" s="13"/>
    </row>
    <row r="12493" spans="12:13" x14ac:dyDescent="0.2">
      <c r="L12493" s="12"/>
      <c r="M12493" s="13"/>
    </row>
    <row r="12494" spans="12:13" x14ac:dyDescent="0.2">
      <c r="L12494" s="12"/>
      <c r="M12494" s="13"/>
    </row>
    <row r="12495" spans="12:13" x14ac:dyDescent="0.2">
      <c r="L12495" s="12"/>
      <c r="M12495" s="13"/>
    </row>
    <row r="12496" spans="12:13" x14ac:dyDescent="0.2">
      <c r="L12496" s="12"/>
      <c r="M12496" s="13"/>
    </row>
    <row r="12497" spans="12:13" x14ac:dyDescent="0.2">
      <c r="L12497" s="12"/>
      <c r="M12497" s="13"/>
    </row>
    <row r="12498" spans="12:13" x14ac:dyDescent="0.2">
      <c r="L12498" s="12"/>
      <c r="M12498" s="13"/>
    </row>
    <row r="12499" spans="12:13" x14ac:dyDescent="0.2">
      <c r="L12499" s="12"/>
      <c r="M12499" s="13"/>
    </row>
    <row r="12500" spans="12:13" x14ac:dyDescent="0.2">
      <c r="L12500" s="12"/>
      <c r="M12500" s="13"/>
    </row>
    <row r="12501" spans="12:13" x14ac:dyDescent="0.2">
      <c r="L12501" s="12"/>
      <c r="M12501" s="13"/>
    </row>
    <row r="12502" spans="12:13" x14ac:dyDescent="0.2">
      <c r="L12502" s="12"/>
      <c r="M12502" s="13"/>
    </row>
    <row r="12503" spans="12:13" x14ac:dyDescent="0.2">
      <c r="L12503" s="12"/>
      <c r="M12503" s="13"/>
    </row>
    <row r="12504" spans="12:13" x14ac:dyDescent="0.2">
      <c r="L12504" s="12"/>
      <c r="M12504" s="13"/>
    </row>
    <row r="12505" spans="12:13" x14ac:dyDescent="0.2">
      <c r="L12505" s="12"/>
      <c r="M12505" s="13"/>
    </row>
    <row r="12506" spans="12:13" x14ac:dyDescent="0.2">
      <c r="L12506" s="12"/>
      <c r="M12506" s="13"/>
    </row>
    <row r="12507" spans="12:13" x14ac:dyDescent="0.2">
      <c r="L12507" s="12"/>
      <c r="M12507" s="13"/>
    </row>
    <row r="12508" spans="12:13" x14ac:dyDescent="0.2">
      <c r="L12508" s="12"/>
      <c r="M12508" s="13"/>
    </row>
    <row r="12509" spans="12:13" x14ac:dyDescent="0.2">
      <c r="L12509" s="12"/>
      <c r="M12509" s="13"/>
    </row>
    <row r="12510" spans="12:13" x14ac:dyDescent="0.2">
      <c r="L12510" s="12"/>
      <c r="M12510" s="13"/>
    </row>
    <row r="12511" spans="12:13" x14ac:dyDescent="0.2">
      <c r="L12511" s="12"/>
      <c r="M12511" s="13"/>
    </row>
    <row r="12512" spans="12:13" x14ac:dyDescent="0.2">
      <c r="L12512" s="12"/>
      <c r="M12512" s="13"/>
    </row>
    <row r="12513" spans="12:13" x14ac:dyDescent="0.2">
      <c r="L12513" s="12"/>
      <c r="M12513" s="13"/>
    </row>
    <row r="12514" spans="12:13" x14ac:dyDescent="0.2">
      <c r="L12514" s="12"/>
      <c r="M12514" s="13"/>
    </row>
    <row r="12515" spans="12:13" x14ac:dyDescent="0.2">
      <c r="L12515" s="12"/>
      <c r="M12515" s="13"/>
    </row>
    <row r="12516" spans="12:13" x14ac:dyDescent="0.2">
      <c r="L12516" s="12"/>
      <c r="M12516" s="13"/>
    </row>
    <row r="12517" spans="12:13" x14ac:dyDescent="0.2">
      <c r="L12517" s="12"/>
      <c r="M12517" s="13"/>
    </row>
    <row r="12518" spans="12:13" x14ac:dyDescent="0.2">
      <c r="L12518" s="12"/>
      <c r="M12518" s="13"/>
    </row>
    <row r="12519" spans="12:13" x14ac:dyDescent="0.2">
      <c r="L12519" s="12"/>
      <c r="M12519" s="13"/>
    </row>
    <row r="12520" spans="12:13" x14ac:dyDescent="0.2">
      <c r="L12520" s="12"/>
      <c r="M12520" s="13"/>
    </row>
    <row r="12521" spans="12:13" x14ac:dyDescent="0.2">
      <c r="L12521" s="12"/>
      <c r="M12521" s="13"/>
    </row>
    <row r="12522" spans="12:13" x14ac:dyDescent="0.2">
      <c r="L12522" s="12"/>
      <c r="M12522" s="13"/>
    </row>
    <row r="12523" spans="12:13" x14ac:dyDescent="0.2">
      <c r="L12523" s="12"/>
      <c r="M12523" s="13"/>
    </row>
    <row r="12524" spans="12:13" x14ac:dyDescent="0.2">
      <c r="L12524" s="12"/>
      <c r="M12524" s="13"/>
    </row>
    <row r="12525" spans="12:13" x14ac:dyDescent="0.2">
      <c r="L12525" s="12"/>
      <c r="M12525" s="13"/>
    </row>
    <row r="12526" spans="12:13" x14ac:dyDescent="0.2">
      <c r="L12526" s="12"/>
      <c r="M12526" s="13"/>
    </row>
    <row r="12527" spans="12:13" x14ac:dyDescent="0.2">
      <c r="L12527" s="12"/>
      <c r="M12527" s="13"/>
    </row>
    <row r="12528" spans="12:13" x14ac:dyDescent="0.2">
      <c r="L12528" s="12"/>
      <c r="M12528" s="13"/>
    </row>
    <row r="12529" spans="12:13" x14ac:dyDescent="0.2">
      <c r="L12529" s="12"/>
      <c r="M12529" s="13"/>
    </row>
    <row r="12530" spans="12:13" x14ac:dyDescent="0.2">
      <c r="L12530" s="12"/>
      <c r="M12530" s="13"/>
    </row>
    <row r="12531" spans="12:13" x14ac:dyDescent="0.2">
      <c r="L12531" s="12"/>
      <c r="M12531" s="13"/>
    </row>
    <row r="12532" spans="12:13" x14ac:dyDescent="0.2">
      <c r="L12532" s="12"/>
      <c r="M12532" s="13"/>
    </row>
    <row r="12533" spans="12:13" x14ac:dyDescent="0.2">
      <c r="L12533" s="12"/>
      <c r="M12533" s="13"/>
    </row>
    <row r="12534" spans="12:13" x14ac:dyDescent="0.2">
      <c r="L12534" s="12"/>
      <c r="M12534" s="13"/>
    </row>
    <row r="12535" spans="12:13" x14ac:dyDescent="0.2">
      <c r="L12535" s="12"/>
      <c r="M12535" s="13"/>
    </row>
    <row r="12536" spans="12:13" x14ac:dyDescent="0.2">
      <c r="L12536" s="12"/>
      <c r="M12536" s="13"/>
    </row>
    <row r="12537" spans="12:13" x14ac:dyDescent="0.2">
      <c r="L12537" s="12"/>
      <c r="M12537" s="13"/>
    </row>
    <row r="12538" spans="12:13" x14ac:dyDescent="0.2">
      <c r="L12538" s="12"/>
      <c r="M12538" s="13"/>
    </row>
    <row r="12539" spans="12:13" x14ac:dyDescent="0.2">
      <c r="L12539" s="12"/>
      <c r="M12539" s="13"/>
    </row>
    <row r="12540" spans="12:13" x14ac:dyDescent="0.2">
      <c r="L12540" s="12"/>
      <c r="M12540" s="13"/>
    </row>
    <row r="12541" spans="12:13" x14ac:dyDescent="0.2">
      <c r="L12541" s="12"/>
      <c r="M12541" s="13"/>
    </row>
    <row r="12542" spans="12:13" x14ac:dyDescent="0.2">
      <c r="L12542" s="12"/>
      <c r="M12542" s="13"/>
    </row>
    <row r="12543" spans="12:13" x14ac:dyDescent="0.2">
      <c r="L12543" s="12"/>
      <c r="M12543" s="13"/>
    </row>
    <row r="12544" spans="12:13" x14ac:dyDescent="0.2">
      <c r="L12544" s="12"/>
      <c r="M12544" s="13"/>
    </row>
    <row r="12545" spans="12:13" x14ac:dyDescent="0.2">
      <c r="L12545" s="12"/>
      <c r="M12545" s="13"/>
    </row>
    <row r="12546" spans="12:13" x14ac:dyDescent="0.2">
      <c r="L12546" s="17"/>
      <c r="M12546" s="18"/>
    </row>
    <row r="12547" spans="12:13" x14ac:dyDescent="0.2">
      <c r="L12547" s="12"/>
      <c r="M12547" s="13"/>
    </row>
    <row r="12548" spans="12:13" x14ac:dyDescent="0.2">
      <c r="L12548" s="12"/>
      <c r="M12548" s="13"/>
    </row>
    <row r="12549" spans="12:13" x14ac:dyDescent="0.2">
      <c r="L12549" s="12"/>
      <c r="M12549" s="13"/>
    </row>
    <row r="12550" spans="12:13" x14ac:dyDescent="0.2">
      <c r="L12550" s="12"/>
      <c r="M12550" s="13"/>
    </row>
    <row r="12551" spans="12:13" x14ac:dyDescent="0.2">
      <c r="L12551" s="12"/>
      <c r="M12551" s="13"/>
    </row>
    <row r="12552" spans="12:13" x14ac:dyDescent="0.2">
      <c r="L12552" s="12"/>
      <c r="M12552" s="13"/>
    </row>
    <row r="12553" spans="12:13" x14ac:dyDescent="0.2">
      <c r="L12553" s="12"/>
      <c r="M12553" s="13"/>
    </row>
    <row r="12554" spans="12:13" x14ac:dyDescent="0.2">
      <c r="L12554" s="12"/>
      <c r="M12554" s="13"/>
    </row>
    <row r="12555" spans="12:13" x14ac:dyDescent="0.2">
      <c r="L12555" s="12"/>
      <c r="M12555" s="13"/>
    </row>
    <row r="12556" spans="12:13" x14ac:dyDescent="0.2">
      <c r="L12556" s="12"/>
      <c r="M12556" s="13"/>
    </row>
    <row r="12557" spans="12:13" x14ac:dyDescent="0.2">
      <c r="L12557" s="12"/>
      <c r="M12557" s="13"/>
    </row>
    <row r="12558" spans="12:13" x14ac:dyDescent="0.2">
      <c r="L12558" s="12"/>
      <c r="M12558" s="13"/>
    </row>
    <row r="12559" spans="12:13" x14ac:dyDescent="0.2">
      <c r="L12559" s="12"/>
      <c r="M12559" s="13"/>
    </row>
    <row r="12560" spans="12:13" x14ac:dyDescent="0.2">
      <c r="L12560" s="12"/>
      <c r="M12560" s="13"/>
    </row>
    <row r="12561" spans="12:13" x14ac:dyDescent="0.2">
      <c r="L12561" s="12"/>
      <c r="M12561" s="13"/>
    </row>
    <row r="12562" spans="12:13" x14ac:dyDescent="0.2">
      <c r="L12562" s="12"/>
      <c r="M12562" s="13"/>
    </row>
    <row r="12563" spans="12:13" x14ac:dyDescent="0.2">
      <c r="L12563" s="12"/>
      <c r="M12563" s="13"/>
    </row>
    <row r="12564" spans="12:13" x14ac:dyDescent="0.2">
      <c r="L12564" s="12"/>
      <c r="M12564" s="13"/>
    </row>
    <row r="12565" spans="12:13" x14ac:dyDescent="0.2">
      <c r="L12565" s="12"/>
      <c r="M12565" s="13"/>
    </row>
    <row r="12566" spans="12:13" x14ac:dyDescent="0.2">
      <c r="L12566" s="12"/>
      <c r="M12566" s="13"/>
    </row>
    <row r="12567" spans="12:13" x14ac:dyDescent="0.2">
      <c r="L12567" s="12"/>
      <c r="M12567" s="13"/>
    </row>
    <row r="12568" spans="12:13" x14ac:dyDescent="0.2">
      <c r="L12568" s="12"/>
      <c r="M12568" s="13"/>
    </row>
    <row r="12569" spans="12:13" x14ac:dyDescent="0.2">
      <c r="L12569" s="12"/>
      <c r="M12569" s="13"/>
    </row>
    <row r="12570" spans="12:13" x14ac:dyDescent="0.2">
      <c r="L12570" s="12"/>
      <c r="M12570" s="13"/>
    </row>
    <row r="12571" spans="12:13" x14ac:dyDescent="0.2">
      <c r="L12571" s="12"/>
      <c r="M12571" s="13"/>
    </row>
    <row r="12572" spans="12:13" x14ac:dyDescent="0.2">
      <c r="L12572" s="12"/>
      <c r="M12572" s="13"/>
    </row>
    <row r="12573" spans="12:13" x14ac:dyDescent="0.2">
      <c r="L12573" s="12"/>
      <c r="M12573" s="13"/>
    </row>
    <row r="12574" spans="12:13" x14ac:dyDescent="0.2">
      <c r="L12574" s="12"/>
      <c r="M12574" s="13"/>
    </row>
    <row r="12575" spans="12:13" x14ac:dyDescent="0.2">
      <c r="L12575" s="12"/>
      <c r="M12575" s="13"/>
    </row>
    <row r="12576" spans="12:13" x14ac:dyDescent="0.2">
      <c r="L12576" s="12"/>
      <c r="M12576" s="13"/>
    </row>
    <row r="12577" spans="12:13" x14ac:dyDescent="0.2">
      <c r="L12577" s="12"/>
      <c r="M12577" s="13"/>
    </row>
    <row r="12578" spans="12:13" x14ac:dyDescent="0.2">
      <c r="L12578" s="12"/>
      <c r="M12578" s="13"/>
    </row>
    <row r="12579" spans="12:13" x14ac:dyDescent="0.2">
      <c r="L12579" s="12"/>
      <c r="M12579" s="13"/>
    </row>
    <row r="12580" spans="12:13" x14ac:dyDescent="0.2">
      <c r="L12580" s="12"/>
      <c r="M12580" s="13"/>
    </row>
    <row r="12581" spans="12:13" x14ac:dyDescent="0.2">
      <c r="L12581" s="12"/>
      <c r="M12581" s="13"/>
    </row>
    <row r="12582" spans="12:13" x14ac:dyDescent="0.2">
      <c r="L12582" s="12"/>
      <c r="M12582" s="13"/>
    </row>
    <row r="12583" spans="12:13" x14ac:dyDescent="0.2">
      <c r="L12583" s="12"/>
      <c r="M12583" s="13"/>
    </row>
    <row r="12584" spans="12:13" x14ac:dyDescent="0.2">
      <c r="L12584" s="12"/>
      <c r="M12584" s="13"/>
    </row>
    <row r="12585" spans="12:13" x14ac:dyDescent="0.2">
      <c r="L12585" s="12"/>
      <c r="M12585" s="13"/>
    </row>
    <row r="12586" spans="12:13" x14ac:dyDescent="0.2">
      <c r="L12586" s="12"/>
      <c r="M12586" s="13"/>
    </row>
    <row r="12587" spans="12:13" x14ac:dyDescent="0.2">
      <c r="L12587" s="12"/>
      <c r="M12587" s="13"/>
    </row>
    <row r="12588" spans="12:13" x14ac:dyDescent="0.2">
      <c r="L12588" s="12"/>
      <c r="M12588" s="13"/>
    </row>
    <row r="12589" spans="12:13" x14ac:dyDescent="0.2">
      <c r="L12589" s="12"/>
      <c r="M12589" s="13"/>
    </row>
    <row r="12590" spans="12:13" x14ac:dyDescent="0.2">
      <c r="L12590" s="12"/>
      <c r="M12590" s="13"/>
    </row>
    <row r="12591" spans="12:13" x14ac:dyDescent="0.2">
      <c r="L12591" s="12"/>
      <c r="M12591" s="13"/>
    </row>
    <row r="12592" spans="12:13" x14ac:dyDescent="0.2">
      <c r="L12592" s="12"/>
      <c r="M12592" s="13"/>
    </row>
    <row r="12593" spans="12:13" x14ac:dyDescent="0.2">
      <c r="L12593" s="12"/>
      <c r="M12593" s="13"/>
    </row>
    <row r="12594" spans="12:13" x14ac:dyDescent="0.2">
      <c r="L12594" s="12"/>
      <c r="M12594" s="13"/>
    </row>
    <row r="12595" spans="12:13" x14ac:dyDescent="0.2">
      <c r="L12595" s="12"/>
      <c r="M12595" s="13"/>
    </row>
    <row r="12596" spans="12:13" x14ac:dyDescent="0.2">
      <c r="L12596" s="12"/>
      <c r="M12596" s="13"/>
    </row>
    <row r="12597" spans="12:13" x14ac:dyDescent="0.2">
      <c r="L12597" s="12"/>
      <c r="M12597" s="13"/>
    </row>
    <row r="12598" spans="12:13" x14ac:dyDescent="0.2">
      <c r="L12598" s="12"/>
      <c r="M12598" s="13"/>
    </row>
    <row r="12599" spans="12:13" x14ac:dyDescent="0.2">
      <c r="L12599" s="12"/>
      <c r="M12599" s="13"/>
    </row>
    <row r="12600" spans="12:13" x14ac:dyDescent="0.2">
      <c r="L12600" s="12"/>
      <c r="M12600" s="13"/>
    </row>
    <row r="12601" spans="12:13" x14ac:dyDescent="0.2">
      <c r="L12601" s="12"/>
      <c r="M12601" s="13"/>
    </row>
    <row r="12602" spans="12:13" x14ac:dyDescent="0.2">
      <c r="L12602" s="12"/>
      <c r="M12602" s="13"/>
    </row>
    <row r="12603" spans="12:13" x14ac:dyDescent="0.2">
      <c r="L12603" s="12"/>
      <c r="M12603" s="13"/>
    </row>
    <row r="12604" spans="12:13" x14ac:dyDescent="0.2">
      <c r="L12604" s="12"/>
      <c r="M12604" s="13"/>
    </row>
    <row r="12605" spans="12:13" x14ac:dyDescent="0.2">
      <c r="L12605" s="12"/>
      <c r="M12605" s="13"/>
    </row>
    <row r="12606" spans="12:13" x14ac:dyDescent="0.2">
      <c r="L12606" s="12"/>
      <c r="M12606" s="13"/>
    </row>
    <row r="12607" spans="12:13" x14ac:dyDescent="0.2">
      <c r="L12607" s="12"/>
      <c r="M12607" s="13"/>
    </row>
    <row r="12608" spans="12:13" x14ac:dyDescent="0.2">
      <c r="L12608" s="12"/>
      <c r="M12608" s="13"/>
    </row>
    <row r="12609" spans="12:13" x14ac:dyDescent="0.2">
      <c r="L12609" s="12"/>
      <c r="M12609" s="13"/>
    </row>
    <row r="12610" spans="12:13" x14ac:dyDescent="0.2">
      <c r="L12610" s="12"/>
      <c r="M12610" s="13"/>
    </row>
    <row r="12611" spans="12:13" x14ac:dyDescent="0.2">
      <c r="L12611" s="12"/>
      <c r="M12611" s="13"/>
    </row>
    <row r="12612" spans="12:13" x14ac:dyDescent="0.2">
      <c r="L12612" s="12"/>
      <c r="M12612" s="13"/>
    </row>
    <row r="12613" spans="12:13" x14ac:dyDescent="0.2">
      <c r="L12613" s="12"/>
      <c r="M12613" s="13"/>
    </row>
    <row r="12614" spans="12:13" x14ac:dyDescent="0.2">
      <c r="L12614" s="12"/>
      <c r="M12614" s="13"/>
    </row>
    <row r="12615" spans="12:13" x14ac:dyDescent="0.2">
      <c r="L12615" s="12"/>
      <c r="M12615" s="13"/>
    </row>
    <row r="12616" spans="12:13" x14ac:dyDescent="0.2">
      <c r="L12616" s="12"/>
      <c r="M12616" s="13"/>
    </row>
    <row r="12617" spans="12:13" x14ac:dyDescent="0.2">
      <c r="L12617" s="12"/>
      <c r="M12617" s="13"/>
    </row>
    <row r="12618" spans="12:13" x14ac:dyDescent="0.2">
      <c r="L12618" s="12"/>
      <c r="M12618" s="13"/>
    </row>
    <row r="12619" spans="12:13" x14ac:dyDescent="0.2">
      <c r="L12619" s="12"/>
      <c r="M12619" s="13"/>
    </row>
    <row r="12620" spans="12:13" x14ac:dyDescent="0.2">
      <c r="L12620" s="12"/>
      <c r="M12620" s="13"/>
    </row>
    <row r="12621" spans="12:13" x14ac:dyDescent="0.2">
      <c r="L12621" s="12"/>
      <c r="M12621" s="13"/>
    </row>
    <row r="12622" spans="12:13" x14ac:dyDescent="0.2">
      <c r="L12622" s="12"/>
      <c r="M12622" s="13"/>
    </row>
    <row r="12623" spans="12:13" x14ac:dyDescent="0.2">
      <c r="L12623" s="12"/>
      <c r="M12623" s="13"/>
    </row>
    <row r="12624" spans="12:13" x14ac:dyDescent="0.2">
      <c r="L12624" s="12"/>
      <c r="M12624" s="13"/>
    </row>
    <row r="12625" spans="12:13" x14ac:dyDescent="0.2">
      <c r="L12625" s="12"/>
      <c r="M12625" s="13"/>
    </row>
    <row r="12626" spans="12:13" x14ac:dyDescent="0.2">
      <c r="L12626" s="12"/>
      <c r="M12626" s="13"/>
    </row>
    <row r="12627" spans="12:13" x14ac:dyDescent="0.2">
      <c r="L12627" s="12"/>
      <c r="M12627" s="13"/>
    </row>
    <row r="12628" spans="12:13" x14ac:dyDescent="0.2">
      <c r="L12628" s="12"/>
      <c r="M12628" s="13"/>
    </row>
    <row r="12629" spans="12:13" x14ac:dyDescent="0.2">
      <c r="L12629" s="12"/>
      <c r="M12629" s="13"/>
    </row>
    <row r="12630" spans="12:13" x14ac:dyDescent="0.2">
      <c r="L12630" s="12"/>
      <c r="M12630" s="13"/>
    </row>
    <row r="12631" spans="12:13" x14ac:dyDescent="0.2">
      <c r="L12631" s="12"/>
      <c r="M12631" s="13"/>
    </row>
    <row r="12632" spans="12:13" x14ac:dyDescent="0.2">
      <c r="L12632" s="12"/>
      <c r="M12632" s="13"/>
    </row>
    <row r="12633" spans="12:13" x14ac:dyDescent="0.2">
      <c r="L12633" s="12"/>
      <c r="M12633" s="13"/>
    </row>
    <row r="12634" spans="12:13" x14ac:dyDescent="0.2">
      <c r="L12634" s="12"/>
      <c r="M12634" s="13"/>
    </row>
    <row r="12635" spans="12:13" x14ac:dyDescent="0.2">
      <c r="L12635" s="12"/>
      <c r="M12635" s="13"/>
    </row>
    <row r="12636" spans="12:13" x14ac:dyDescent="0.2">
      <c r="L12636" s="12"/>
      <c r="M12636" s="13"/>
    </row>
    <row r="12637" spans="12:13" x14ac:dyDescent="0.2">
      <c r="L12637" s="12"/>
      <c r="M12637" s="13"/>
    </row>
    <row r="12638" spans="12:13" x14ac:dyDescent="0.2">
      <c r="L12638" s="12"/>
      <c r="M12638" s="13"/>
    </row>
    <row r="12639" spans="12:13" x14ac:dyDescent="0.2">
      <c r="L12639" s="12"/>
      <c r="M12639" s="13"/>
    </row>
    <row r="12640" spans="12:13" x14ac:dyDescent="0.2">
      <c r="L12640" s="12"/>
      <c r="M12640" s="13"/>
    </row>
    <row r="12641" spans="12:13" x14ac:dyDescent="0.2">
      <c r="L12641" s="12"/>
      <c r="M12641" s="13"/>
    </row>
    <row r="12642" spans="12:13" x14ac:dyDescent="0.2">
      <c r="L12642" s="12"/>
      <c r="M12642" s="13"/>
    </row>
    <row r="12643" spans="12:13" x14ac:dyDescent="0.2">
      <c r="L12643" s="12"/>
      <c r="M12643" s="13"/>
    </row>
    <row r="12644" spans="12:13" x14ac:dyDescent="0.2">
      <c r="L12644" s="12"/>
      <c r="M12644" s="13"/>
    </row>
    <row r="12645" spans="12:13" x14ac:dyDescent="0.2">
      <c r="L12645" s="12"/>
      <c r="M12645" s="13"/>
    </row>
    <row r="12646" spans="12:13" x14ac:dyDescent="0.2">
      <c r="L12646" s="12"/>
      <c r="M12646" s="13"/>
    </row>
    <row r="12647" spans="12:13" x14ac:dyDescent="0.2">
      <c r="L12647" s="12"/>
      <c r="M12647" s="13"/>
    </row>
    <row r="12648" spans="12:13" x14ac:dyDescent="0.2">
      <c r="L12648" s="12"/>
      <c r="M12648" s="13"/>
    </row>
    <row r="12649" spans="12:13" x14ac:dyDescent="0.2">
      <c r="L12649" s="12"/>
      <c r="M12649" s="13"/>
    </row>
    <row r="12650" spans="12:13" x14ac:dyDescent="0.2">
      <c r="L12650" s="12"/>
      <c r="M12650" s="13"/>
    </row>
    <row r="12651" spans="12:13" x14ac:dyDescent="0.2">
      <c r="L12651" s="12"/>
      <c r="M12651" s="13"/>
    </row>
    <row r="12652" spans="12:13" x14ac:dyDescent="0.2">
      <c r="L12652" s="12"/>
      <c r="M12652" s="13"/>
    </row>
    <row r="12653" spans="12:13" x14ac:dyDescent="0.2">
      <c r="L12653" s="12"/>
      <c r="M12653" s="13"/>
    </row>
    <row r="12654" spans="12:13" x14ac:dyDescent="0.2">
      <c r="L12654" s="12"/>
      <c r="M12654" s="13"/>
    </row>
    <row r="12655" spans="12:13" x14ac:dyDescent="0.2">
      <c r="L12655" s="12"/>
      <c r="M12655" s="13"/>
    </row>
    <row r="12656" spans="12:13" x14ac:dyDescent="0.2">
      <c r="L12656" s="12"/>
      <c r="M12656" s="13"/>
    </row>
    <row r="12657" spans="12:13" x14ac:dyDescent="0.2">
      <c r="L12657" s="12"/>
      <c r="M12657" s="13"/>
    </row>
    <row r="12658" spans="12:13" x14ac:dyDescent="0.2">
      <c r="L12658" s="12"/>
      <c r="M12658" s="13"/>
    </row>
    <row r="12659" spans="12:13" x14ac:dyDescent="0.2">
      <c r="L12659" s="12"/>
      <c r="M12659" s="13"/>
    </row>
    <row r="12660" spans="12:13" x14ac:dyDescent="0.2">
      <c r="L12660" s="12"/>
      <c r="M12660" s="13"/>
    </row>
    <row r="12661" spans="12:13" x14ac:dyDescent="0.2">
      <c r="L12661" s="12"/>
      <c r="M12661" s="13"/>
    </row>
    <row r="12662" spans="12:13" x14ac:dyDescent="0.2">
      <c r="L12662" s="12"/>
      <c r="M12662" s="13"/>
    </row>
    <row r="12663" spans="12:13" x14ac:dyDescent="0.2">
      <c r="L12663" s="12"/>
      <c r="M12663" s="13"/>
    </row>
    <row r="12664" spans="12:13" x14ac:dyDescent="0.2">
      <c r="L12664" s="12"/>
      <c r="M12664" s="13"/>
    </row>
    <row r="12665" spans="12:13" x14ac:dyDescent="0.2">
      <c r="L12665" s="12"/>
      <c r="M12665" s="13"/>
    </row>
    <row r="12666" spans="12:13" x14ac:dyDescent="0.2">
      <c r="L12666" s="12"/>
      <c r="M12666" s="13"/>
    </row>
    <row r="12667" spans="12:13" x14ac:dyDescent="0.2">
      <c r="L12667" s="12"/>
      <c r="M12667" s="13"/>
    </row>
    <row r="12668" spans="12:13" x14ac:dyDescent="0.2">
      <c r="L12668" s="12"/>
      <c r="M12668" s="13"/>
    </row>
    <row r="12669" spans="12:13" x14ac:dyDescent="0.2">
      <c r="L12669" s="12"/>
      <c r="M12669" s="13"/>
    </row>
    <row r="12670" spans="12:13" x14ac:dyDescent="0.2">
      <c r="L12670" s="12"/>
      <c r="M12670" s="13"/>
    </row>
    <row r="12671" spans="12:13" x14ac:dyDescent="0.2">
      <c r="L12671" s="12"/>
      <c r="M12671" s="13"/>
    </row>
    <row r="12672" spans="12:13" x14ac:dyDescent="0.2">
      <c r="L12672" s="12"/>
      <c r="M12672" s="13"/>
    </row>
    <row r="12673" spans="12:13" x14ac:dyDescent="0.2">
      <c r="L12673" s="12"/>
      <c r="M12673" s="13"/>
    </row>
    <row r="12674" spans="12:13" x14ac:dyDescent="0.2">
      <c r="L12674" s="12"/>
      <c r="M12674" s="13"/>
    </row>
    <row r="12675" spans="12:13" x14ac:dyDescent="0.2">
      <c r="L12675" s="12"/>
      <c r="M12675" s="13"/>
    </row>
    <row r="12676" spans="12:13" x14ac:dyDescent="0.2">
      <c r="L12676" s="12"/>
      <c r="M12676" s="13"/>
    </row>
    <row r="12677" spans="12:13" x14ac:dyDescent="0.2">
      <c r="L12677" s="12"/>
      <c r="M12677" s="13"/>
    </row>
    <row r="12678" spans="12:13" x14ac:dyDescent="0.2">
      <c r="L12678" s="12"/>
      <c r="M12678" s="13"/>
    </row>
    <row r="12679" spans="12:13" x14ac:dyDescent="0.2">
      <c r="L12679" s="12"/>
      <c r="M12679" s="13"/>
    </row>
    <row r="12680" spans="12:13" x14ac:dyDescent="0.2">
      <c r="L12680" s="12"/>
      <c r="M12680" s="13"/>
    </row>
    <row r="12681" spans="12:13" x14ac:dyDescent="0.2">
      <c r="L12681" s="12"/>
      <c r="M12681" s="13"/>
    </row>
    <row r="12682" spans="12:13" x14ac:dyDescent="0.2">
      <c r="L12682" s="12"/>
      <c r="M12682" s="13"/>
    </row>
    <row r="12683" spans="12:13" x14ac:dyDescent="0.2">
      <c r="L12683" s="12"/>
      <c r="M12683" s="13"/>
    </row>
    <row r="12684" spans="12:13" x14ac:dyDescent="0.2">
      <c r="L12684" s="12"/>
      <c r="M12684" s="13"/>
    </row>
    <row r="12685" spans="12:13" x14ac:dyDescent="0.2">
      <c r="L12685" s="12"/>
      <c r="M12685" s="13"/>
    </row>
    <row r="12686" spans="12:13" x14ac:dyDescent="0.2">
      <c r="L12686" s="12"/>
      <c r="M12686" s="13"/>
    </row>
    <row r="12687" spans="12:13" x14ac:dyDescent="0.2">
      <c r="L12687" s="12"/>
      <c r="M12687" s="13"/>
    </row>
    <row r="12688" spans="12:13" x14ac:dyDescent="0.2">
      <c r="L12688" s="12"/>
      <c r="M12688" s="13"/>
    </row>
    <row r="12689" spans="12:13" x14ac:dyDescent="0.2">
      <c r="L12689" s="12"/>
      <c r="M12689" s="13"/>
    </row>
    <row r="12690" spans="12:13" x14ac:dyDescent="0.2">
      <c r="L12690" s="12"/>
      <c r="M12690" s="13"/>
    </row>
    <row r="12691" spans="12:13" x14ac:dyDescent="0.2">
      <c r="L12691" s="12"/>
      <c r="M12691" s="13"/>
    </row>
    <row r="12692" spans="12:13" x14ac:dyDescent="0.2">
      <c r="L12692" s="12"/>
      <c r="M12692" s="13"/>
    </row>
    <row r="12693" spans="12:13" x14ac:dyDescent="0.2">
      <c r="L12693" s="12"/>
      <c r="M12693" s="13"/>
    </row>
    <row r="12694" spans="12:13" x14ac:dyDescent="0.2">
      <c r="L12694" s="12"/>
      <c r="M12694" s="13"/>
    </row>
    <row r="12695" spans="12:13" x14ac:dyDescent="0.2">
      <c r="L12695" s="12"/>
      <c r="M12695" s="13"/>
    </row>
    <row r="12696" spans="12:13" x14ac:dyDescent="0.2">
      <c r="L12696" s="12"/>
      <c r="M12696" s="13"/>
    </row>
    <row r="12697" spans="12:13" x14ac:dyDescent="0.2">
      <c r="L12697" s="12"/>
      <c r="M12697" s="13"/>
    </row>
    <row r="12698" spans="12:13" x14ac:dyDescent="0.2">
      <c r="L12698" s="12"/>
      <c r="M12698" s="13"/>
    </row>
    <row r="12699" spans="12:13" x14ac:dyDescent="0.2">
      <c r="L12699" s="12"/>
      <c r="M12699" s="13"/>
    </row>
    <row r="12700" spans="12:13" x14ac:dyDescent="0.2">
      <c r="L12700" s="12"/>
      <c r="M12700" s="13"/>
    </row>
    <row r="12701" spans="12:13" x14ac:dyDescent="0.2">
      <c r="L12701" s="12"/>
      <c r="M12701" s="13"/>
    </row>
    <row r="12702" spans="12:13" x14ac:dyDescent="0.2">
      <c r="L12702" s="12"/>
      <c r="M12702" s="13"/>
    </row>
    <row r="12703" spans="12:13" x14ac:dyDescent="0.2">
      <c r="L12703" s="12"/>
      <c r="M12703" s="13"/>
    </row>
    <row r="12704" spans="12:13" x14ac:dyDescent="0.2">
      <c r="L12704" s="12"/>
      <c r="M12704" s="13"/>
    </row>
    <row r="12705" spans="12:13" x14ac:dyDescent="0.2">
      <c r="L12705" s="12"/>
      <c r="M12705" s="13"/>
    </row>
    <row r="12706" spans="12:13" x14ac:dyDescent="0.2">
      <c r="L12706" s="12"/>
      <c r="M12706" s="13"/>
    </row>
    <row r="12707" spans="12:13" x14ac:dyDescent="0.2">
      <c r="L12707" s="12"/>
      <c r="M12707" s="13"/>
    </row>
    <row r="12708" spans="12:13" x14ac:dyDescent="0.2">
      <c r="L12708" s="12"/>
      <c r="M12708" s="13"/>
    </row>
    <row r="12709" spans="12:13" x14ac:dyDescent="0.2">
      <c r="L12709" s="12"/>
      <c r="M12709" s="13"/>
    </row>
    <row r="12710" spans="12:13" x14ac:dyDescent="0.2">
      <c r="L12710" s="12"/>
      <c r="M12710" s="13"/>
    </row>
    <row r="12711" spans="12:13" x14ac:dyDescent="0.2">
      <c r="L12711" s="12"/>
      <c r="M12711" s="13"/>
    </row>
    <row r="12712" spans="12:13" x14ac:dyDescent="0.2">
      <c r="L12712" s="12"/>
      <c r="M12712" s="13"/>
    </row>
    <row r="12713" spans="12:13" x14ac:dyDescent="0.2">
      <c r="L12713" s="12"/>
      <c r="M12713" s="13"/>
    </row>
    <row r="12714" spans="12:13" x14ac:dyDescent="0.2">
      <c r="L12714" s="12"/>
      <c r="M12714" s="13"/>
    </row>
    <row r="12715" spans="12:13" x14ac:dyDescent="0.2">
      <c r="L12715" s="12"/>
      <c r="M12715" s="13"/>
    </row>
    <row r="12716" spans="12:13" x14ac:dyDescent="0.2">
      <c r="L12716" s="12"/>
      <c r="M12716" s="13"/>
    </row>
    <row r="12717" spans="12:13" x14ac:dyDescent="0.2">
      <c r="L12717" s="12"/>
      <c r="M12717" s="13"/>
    </row>
    <row r="12718" spans="12:13" x14ac:dyDescent="0.2">
      <c r="L12718" s="12"/>
      <c r="M12718" s="13"/>
    </row>
    <row r="12719" spans="12:13" x14ac:dyDescent="0.2">
      <c r="L12719" s="12"/>
      <c r="M12719" s="13"/>
    </row>
    <row r="12720" spans="12:13" x14ac:dyDescent="0.2">
      <c r="L12720" s="12"/>
      <c r="M12720" s="13"/>
    </row>
    <row r="12721" spans="12:13" x14ac:dyDescent="0.2">
      <c r="L12721" s="12"/>
      <c r="M12721" s="13"/>
    </row>
    <row r="12722" spans="12:13" x14ac:dyDescent="0.2">
      <c r="L12722" s="12"/>
      <c r="M12722" s="13"/>
    </row>
    <row r="12723" spans="12:13" x14ac:dyDescent="0.2">
      <c r="L12723" s="12"/>
      <c r="M12723" s="13"/>
    </row>
    <row r="12724" spans="12:13" x14ac:dyDescent="0.2">
      <c r="L12724" s="12"/>
      <c r="M12724" s="13"/>
    </row>
    <row r="12725" spans="12:13" x14ac:dyDescent="0.2">
      <c r="L12725" s="12"/>
      <c r="M12725" s="13"/>
    </row>
    <row r="12726" spans="12:13" x14ac:dyDescent="0.2">
      <c r="L12726" s="12"/>
      <c r="M12726" s="13"/>
    </row>
    <row r="12727" spans="12:13" x14ac:dyDescent="0.2">
      <c r="L12727" s="12"/>
      <c r="M12727" s="13"/>
    </row>
    <row r="12728" spans="12:13" x14ac:dyDescent="0.2">
      <c r="L12728" s="12"/>
      <c r="M12728" s="13"/>
    </row>
    <row r="12729" spans="12:13" x14ac:dyDescent="0.2">
      <c r="L12729" s="12"/>
      <c r="M12729" s="13"/>
    </row>
    <row r="12730" spans="12:13" x14ac:dyDescent="0.2">
      <c r="L12730" s="12"/>
      <c r="M12730" s="13"/>
    </row>
    <row r="12731" spans="12:13" x14ac:dyDescent="0.2">
      <c r="L12731" s="12"/>
      <c r="M12731" s="13"/>
    </row>
    <row r="12732" spans="12:13" x14ac:dyDescent="0.2">
      <c r="L12732" s="12"/>
      <c r="M12732" s="13"/>
    </row>
    <row r="12733" spans="12:13" x14ac:dyDescent="0.2">
      <c r="L12733" s="12"/>
      <c r="M12733" s="13"/>
    </row>
    <row r="12734" spans="12:13" x14ac:dyDescent="0.2">
      <c r="L12734" s="12"/>
      <c r="M12734" s="13"/>
    </row>
    <row r="12735" spans="12:13" x14ac:dyDescent="0.2">
      <c r="L12735" s="12"/>
      <c r="M12735" s="13"/>
    </row>
    <row r="12736" spans="12:13" x14ac:dyDescent="0.2">
      <c r="L12736" s="12"/>
      <c r="M12736" s="13"/>
    </row>
    <row r="12737" spans="12:13" x14ac:dyDescent="0.2">
      <c r="L12737" s="12"/>
      <c r="M12737" s="13"/>
    </row>
    <row r="12738" spans="12:13" x14ac:dyDescent="0.2">
      <c r="L12738" s="12"/>
      <c r="M12738" s="13"/>
    </row>
    <row r="12739" spans="12:13" x14ac:dyDescent="0.2">
      <c r="L12739" s="12"/>
      <c r="M12739" s="13"/>
    </row>
    <row r="12740" spans="12:13" x14ac:dyDescent="0.2">
      <c r="L12740" s="12"/>
      <c r="M12740" s="13"/>
    </row>
    <row r="12741" spans="12:13" x14ac:dyDescent="0.2">
      <c r="L12741" s="12"/>
      <c r="M12741" s="13"/>
    </row>
    <row r="12742" spans="12:13" x14ac:dyDescent="0.2">
      <c r="L12742" s="12"/>
      <c r="M12742" s="13"/>
    </row>
    <row r="12743" spans="12:13" x14ac:dyDescent="0.2">
      <c r="L12743" s="12"/>
      <c r="M12743" s="13"/>
    </row>
    <row r="12744" spans="12:13" x14ac:dyDescent="0.2">
      <c r="L12744" s="12"/>
      <c r="M12744" s="13"/>
    </row>
    <row r="12745" spans="12:13" x14ac:dyDescent="0.2">
      <c r="L12745" s="12"/>
      <c r="M12745" s="13"/>
    </row>
    <row r="12746" spans="12:13" x14ac:dyDescent="0.2">
      <c r="L12746" s="12"/>
      <c r="M12746" s="13"/>
    </row>
    <row r="12747" spans="12:13" x14ac:dyDescent="0.2">
      <c r="L12747" s="12"/>
      <c r="M12747" s="13"/>
    </row>
    <row r="12748" spans="12:13" x14ac:dyDescent="0.2">
      <c r="L12748" s="12"/>
      <c r="M12748" s="13"/>
    </row>
    <row r="12749" spans="12:13" x14ac:dyDescent="0.2">
      <c r="L12749" s="12"/>
      <c r="M12749" s="13"/>
    </row>
    <row r="12750" spans="12:13" x14ac:dyDescent="0.2">
      <c r="L12750" s="12"/>
      <c r="M12750" s="13"/>
    </row>
    <row r="12751" spans="12:13" x14ac:dyDescent="0.2">
      <c r="L12751" s="12"/>
      <c r="M12751" s="13"/>
    </row>
    <row r="12752" spans="12:13" x14ac:dyDescent="0.2">
      <c r="L12752" s="12"/>
      <c r="M12752" s="13"/>
    </row>
    <row r="12753" spans="12:13" x14ac:dyDescent="0.2">
      <c r="L12753" s="12"/>
      <c r="M12753" s="13"/>
    </row>
    <row r="12754" spans="12:13" x14ac:dyDescent="0.2">
      <c r="L12754" s="12"/>
      <c r="M12754" s="13"/>
    </row>
    <row r="12755" spans="12:13" x14ac:dyDescent="0.2">
      <c r="L12755" s="12"/>
      <c r="M12755" s="13"/>
    </row>
    <row r="12756" spans="12:13" x14ac:dyDescent="0.2">
      <c r="L12756" s="12"/>
      <c r="M12756" s="13"/>
    </row>
    <row r="12757" spans="12:13" x14ac:dyDescent="0.2">
      <c r="L12757" s="12"/>
      <c r="M12757" s="13"/>
    </row>
    <row r="12758" spans="12:13" x14ac:dyDescent="0.2">
      <c r="L12758" s="12"/>
      <c r="M12758" s="13"/>
    </row>
    <row r="12759" spans="12:13" x14ac:dyDescent="0.2">
      <c r="L12759" s="12"/>
      <c r="M12759" s="13"/>
    </row>
    <row r="12760" spans="12:13" x14ac:dyDescent="0.2">
      <c r="L12760" s="12"/>
      <c r="M12760" s="13"/>
    </row>
    <row r="12761" spans="12:13" x14ac:dyDescent="0.2">
      <c r="L12761" s="12"/>
      <c r="M12761" s="13"/>
    </row>
    <row r="12762" spans="12:13" x14ac:dyDescent="0.2">
      <c r="L12762" s="12"/>
      <c r="M12762" s="13"/>
    </row>
    <row r="12763" spans="12:13" x14ac:dyDescent="0.2">
      <c r="L12763" s="12"/>
      <c r="M12763" s="13"/>
    </row>
    <row r="12764" spans="12:13" x14ac:dyDescent="0.2">
      <c r="L12764" s="12"/>
      <c r="M12764" s="13"/>
    </row>
    <row r="12765" spans="12:13" x14ac:dyDescent="0.2">
      <c r="L12765" s="12"/>
      <c r="M12765" s="13"/>
    </row>
    <row r="12766" spans="12:13" x14ac:dyDescent="0.2">
      <c r="L12766" s="12"/>
      <c r="M12766" s="13"/>
    </row>
    <row r="12767" spans="12:13" x14ac:dyDescent="0.2">
      <c r="L12767" s="12"/>
      <c r="M12767" s="13"/>
    </row>
    <row r="12768" spans="12:13" x14ac:dyDescent="0.2">
      <c r="L12768" s="12"/>
      <c r="M12768" s="13"/>
    </row>
    <row r="12769" spans="12:13" x14ac:dyDescent="0.2">
      <c r="L12769" s="12"/>
      <c r="M12769" s="13"/>
    </row>
    <row r="12770" spans="12:13" x14ac:dyDescent="0.2">
      <c r="L12770" s="12"/>
      <c r="M12770" s="13"/>
    </row>
    <row r="12771" spans="12:13" x14ac:dyDescent="0.2">
      <c r="L12771" s="12"/>
      <c r="M12771" s="13"/>
    </row>
    <row r="12772" spans="12:13" x14ac:dyDescent="0.2">
      <c r="L12772" s="12"/>
      <c r="M12772" s="13"/>
    </row>
    <row r="12773" spans="12:13" x14ac:dyDescent="0.2">
      <c r="L12773" s="12"/>
      <c r="M12773" s="13"/>
    </row>
    <row r="12774" spans="12:13" x14ac:dyDescent="0.2">
      <c r="L12774" s="12"/>
      <c r="M12774" s="13"/>
    </row>
    <row r="12775" spans="12:13" x14ac:dyDescent="0.2">
      <c r="L12775" s="12"/>
      <c r="M12775" s="13"/>
    </row>
    <row r="12776" spans="12:13" x14ac:dyDescent="0.2">
      <c r="L12776" s="12"/>
      <c r="M12776" s="13"/>
    </row>
    <row r="12777" spans="12:13" x14ac:dyDescent="0.2">
      <c r="L12777" s="12"/>
      <c r="M12777" s="13"/>
    </row>
    <row r="12778" spans="12:13" x14ac:dyDescent="0.2">
      <c r="L12778" s="12"/>
      <c r="M12778" s="13"/>
    </row>
    <row r="12779" spans="12:13" x14ac:dyDescent="0.2">
      <c r="L12779" s="12"/>
      <c r="M12779" s="13"/>
    </row>
    <row r="12780" spans="12:13" x14ac:dyDescent="0.2">
      <c r="L12780" s="12"/>
      <c r="M12780" s="13"/>
    </row>
    <row r="12781" spans="12:13" x14ac:dyDescent="0.2">
      <c r="L12781" s="12"/>
      <c r="M12781" s="13"/>
    </row>
    <row r="12782" spans="12:13" x14ac:dyDescent="0.2">
      <c r="L12782" s="12"/>
      <c r="M12782" s="13"/>
    </row>
    <row r="12783" spans="12:13" x14ac:dyDescent="0.2">
      <c r="L12783" s="12"/>
      <c r="M12783" s="13"/>
    </row>
    <row r="12784" spans="12:13" x14ac:dyDescent="0.2">
      <c r="L12784" s="12"/>
      <c r="M12784" s="13"/>
    </row>
    <row r="12785" spans="12:13" x14ac:dyDescent="0.2">
      <c r="L12785" s="12"/>
      <c r="M12785" s="13"/>
    </row>
    <row r="12786" spans="12:13" x14ac:dyDescent="0.2">
      <c r="L12786" s="12"/>
      <c r="M12786" s="13"/>
    </row>
    <row r="12787" spans="12:13" x14ac:dyDescent="0.2">
      <c r="L12787" s="12"/>
      <c r="M12787" s="13"/>
    </row>
    <row r="12788" spans="12:13" x14ac:dyDescent="0.2">
      <c r="L12788" s="12"/>
      <c r="M12788" s="13"/>
    </row>
    <row r="12789" spans="12:13" x14ac:dyDescent="0.2">
      <c r="L12789" s="12"/>
      <c r="M12789" s="13"/>
    </row>
    <row r="12790" spans="12:13" x14ac:dyDescent="0.2">
      <c r="L12790" s="12"/>
      <c r="M12790" s="13"/>
    </row>
    <row r="12791" spans="12:13" x14ac:dyDescent="0.2">
      <c r="L12791" s="12"/>
      <c r="M12791" s="13"/>
    </row>
    <row r="12792" spans="12:13" x14ac:dyDescent="0.2">
      <c r="L12792" s="12"/>
      <c r="M12792" s="13"/>
    </row>
    <row r="12793" spans="12:13" x14ac:dyDescent="0.2">
      <c r="L12793" s="12"/>
      <c r="M12793" s="13"/>
    </row>
    <row r="12794" spans="12:13" x14ac:dyDescent="0.2">
      <c r="L12794" s="12"/>
      <c r="M12794" s="13"/>
    </row>
    <row r="12795" spans="12:13" x14ac:dyDescent="0.2">
      <c r="L12795" s="12"/>
      <c r="M12795" s="13"/>
    </row>
    <row r="12796" spans="12:13" x14ac:dyDescent="0.2">
      <c r="L12796" s="12"/>
      <c r="M12796" s="13"/>
    </row>
    <row r="12797" spans="12:13" x14ac:dyDescent="0.2">
      <c r="L12797" s="12"/>
      <c r="M12797" s="13"/>
    </row>
    <row r="12798" spans="12:13" x14ac:dyDescent="0.2">
      <c r="L12798" s="12"/>
      <c r="M12798" s="13"/>
    </row>
    <row r="12799" spans="12:13" x14ac:dyDescent="0.2">
      <c r="L12799" s="12"/>
      <c r="M12799" s="13"/>
    </row>
    <row r="12800" spans="12:13" x14ac:dyDescent="0.2">
      <c r="L12800" s="12"/>
      <c r="M12800" s="13"/>
    </row>
    <row r="12801" spans="12:13" x14ac:dyDescent="0.2">
      <c r="L12801" s="12"/>
      <c r="M12801" s="13"/>
    </row>
    <row r="12802" spans="12:13" x14ac:dyDescent="0.2">
      <c r="L12802" s="17"/>
      <c r="M12802" s="18"/>
    </row>
    <row r="12803" spans="12:13" x14ac:dyDescent="0.2">
      <c r="L12803" s="12"/>
      <c r="M12803" s="13"/>
    </row>
    <row r="12804" spans="12:13" x14ac:dyDescent="0.2">
      <c r="L12804" s="12"/>
      <c r="M12804" s="13"/>
    </row>
    <row r="12805" spans="12:13" x14ac:dyDescent="0.2">
      <c r="L12805" s="12"/>
      <c r="M12805" s="13"/>
    </row>
    <row r="12806" spans="12:13" x14ac:dyDescent="0.2">
      <c r="L12806" s="12"/>
      <c r="M12806" s="13"/>
    </row>
    <row r="12807" spans="12:13" x14ac:dyDescent="0.2">
      <c r="L12807" s="12"/>
      <c r="M12807" s="13"/>
    </row>
    <row r="12808" spans="12:13" x14ac:dyDescent="0.2">
      <c r="L12808" s="12"/>
      <c r="M12808" s="13"/>
    </row>
    <row r="12809" spans="12:13" x14ac:dyDescent="0.2">
      <c r="L12809" s="12"/>
      <c r="M12809" s="13"/>
    </row>
    <row r="12810" spans="12:13" x14ac:dyDescent="0.2">
      <c r="L12810" s="12"/>
      <c r="M12810" s="13"/>
    </row>
    <row r="12811" spans="12:13" x14ac:dyDescent="0.2">
      <c r="L12811" s="12"/>
      <c r="M12811" s="13"/>
    </row>
    <row r="12812" spans="12:13" x14ac:dyDescent="0.2">
      <c r="L12812" s="12"/>
      <c r="M12812" s="13"/>
    </row>
    <row r="12813" spans="12:13" x14ac:dyDescent="0.2">
      <c r="L12813" s="12"/>
      <c r="M12813" s="13"/>
    </row>
    <row r="12814" spans="12:13" x14ac:dyDescent="0.2">
      <c r="L12814" s="12"/>
      <c r="M12814" s="13"/>
    </row>
    <row r="12815" spans="12:13" x14ac:dyDescent="0.2">
      <c r="L12815" s="12"/>
      <c r="M12815" s="13"/>
    </row>
    <row r="12816" spans="12:13" x14ac:dyDescent="0.2">
      <c r="L12816" s="12"/>
      <c r="M12816" s="13"/>
    </row>
    <row r="12817" spans="12:13" x14ac:dyDescent="0.2">
      <c r="L12817" s="12"/>
      <c r="M12817" s="13"/>
    </row>
    <row r="12818" spans="12:13" x14ac:dyDescent="0.2">
      <c r="L12818" s="12"/>
      <c r="M12818" s="13"/>
    </row>
    <row r="12819" spans="12:13" x14ac:dyDescent="0.2">
      <c r="L12819" s="12"/>
      <c r="M12819" s="13"/>
    </row>
    <row r="12820" spans="12:13" x14ac:dyDescent="0.2">
      <c r="L12820" s="12"/>
      <c r="M12820" s="13"/>
    </row>
    <row r="12821" spans="12:13" x14ac:dyDescent="0.2">
      <c r="L12821" s="12"/>
      <c r="M12821" s="13"/>
    </row>
    <row r="12822" spans="12:13" x14ac:dyDescent="0.2">
      <c r="L12822" s="12"/>
      <c r="M12822" s="13"/>
    </row>
    <row r="12823" spans="12:13" x14ac:dyDescent="0.2">
      <c r="L12823" s="12"/>
      <c r="M12823" s="13"/>
    </row>
    <row r="12824" spans="12:13" x14ac:dyDescent="0.2">
      <c r="L12824" s="12"/>
      <c r="M12824" s="13"/>
    </row>
    <row r="12825" spans="12:13" x14ac:dyDescent="0.2">
      <c r="L12825" s="12"/>
      <c r="M12825" s="13"/>
    </row>
    <row r="12826" spans="12:13" x14ac:dyDescent="0.2">
      <c r="L12826" s="12"/>
      <c r="M12826" s="13"/>
    </row>
    <row r="12827" spans="12:13" x14ac:dyDescent="0.2">
      <c r="L12827" s="12"/>
      <c r="M12827" s="13"/>
    </row>
    <row r="12828" spans="12:13" x14ac:dyDescent="0.2">
      <c r="L12828" s="12"/>
      <c r="M12828" s="13"/>
    </row>
    <row r="12829" spans="12:13" x14ac:dyDescent="0.2">
      <c r="L12829" s="12"/>
      <c r="M12829" s="13"/>
    </row>
    <row r="12830" spans="12:13" x14ac:dyDescent="0.2">
      <c r="L12830" s="12"/>
      <c r="M12830" s="13"/>
    </row>
    <row r="12831" spans="12:13" x14ac:dyDescent="0.2">
      <c r="L12831" s="12"/>
      <c r="M12831" s="13"/>
    </row>
    <row r="12832" spans="12:13" x14ac:dyDescent="0.2">
      <c r="L12832" s="12"/>
      <c r="M12832" s="13"/>
    </row>
    <row r="12833" spans="12:13" x14ac:dyDescent="0.2">
      <c r="L12833" s="12"/>
      <c r="M12833" s="13"/>
    </row>
    <row r="12834" spans="12:13" x14ac:dyDescent="0.2">
      <c r="L12834" s="12"/>
      <c r="M12834" s="13"/>
    </row>
    <row r="12835" spans="12:13" x14ac:dyDescent="0.2">
      <c r="L12835" s="12"/>
      <c r="M12835" s="13"/>
    </row>
    <row r="12836" spans="12:13" x14ac:dyDescent="0.2">
      <c r="L12836" s="12"/>
      <c r="M12836" s="13"/>
    </row>
    <row r="12837" spans="12:13" x14ac:dyDescent="0.2">
      <c r="L12837" s="12"/>
      <c r="M12837" s="13"/>
    </row>
    <row r="12838" spans="12:13" x14ac:dyDescent="0.2">
      <c r="L12838" s="12"/>
      <c r="M12838" s="13"/>
    </row>
    <row r="12839" spans="12:13" x14ac:dyDescent="0.2">
      <c r="L12839" s="12"/>
      <c r="M12839" s="13"/>
    </row>
    <row r="12840" spans="12:13" x14ac:dyDescent="0.2">
      <c r="L12840" s="12"/>
      <c r="M12840" s="13"/>
    </row>
    <row r="12841" spans="12:13" x14ac:dyDescent="0.2">
      <c r="L12841" s="12"/>
      <c r="M12841" s="13"/>
    </row>
    <row r="12842" spans="12:13" x14ac:dyDescent="0.2">
      <c r="L12842" s="12"/>
      <c r="M12842" s="13"/>
    </row>
    <row r="12843" spans="12:13" x14ac:dyDescent="0.2">
      <c r="L12843" s="12"/>
      <c r="M12843" s="13"/>
    </row>
    <row r="12844" spans="12:13" x14ac:dyDescent="0.2">
      <c r="L12844" s="12"/>
      <c r="M12844" s="13"/>
    </row>
    <row r="12845" spans="12:13" x14ac:dyDescent="0.2">
      <c r="L12845" s="12"/>
      <c r="M12845" s="13"/>
    </row>
    <row r="12846" spans="12:13" x14ac:dyDescent="0.2">
      <c r="L12846" s="12"/>
      <c r="M12846" s="13"/>
    </row>
    <row r="12847" spans="12:13" x14ac:dyDescent="0.2">
      <c r="L12847" s="12"/>
      <c r="M12847" s="13"/>
    </row>
    <row r="12848" spans="12:13" x14ac:dyDescent="0.2">
      <c r="L12848" s="12"/>
      <c r="M12848" s="13"/>
    </row>
    <row r="12849" spans="12:13" x14ac:dyDescent="0.2">
      <c r="L12849" s="12"/>
      <c r="M12849" s="13"/>
    </row>
    <row r="12850" spans="12:13" x14ac:dyDescent="0.2">
      <c r="L12850" s="12"/>
      <c r="M12850" s="13"/>
    </row>
    <row r="12851" spans="12:13" x14ac:dyDescent="0.2">
      <c r="L12851" s="12"/>
      <c r="M12851" s="13"/>
    </row>
    <row r="12852" spans="12:13" x14ac:dyDescent="0.2">
      <c r="L12852" s="12"/>
      <c r="M12852" s="13"/>
    </row>
    <row r="12853" spans="12:13" x14ac:dyDescent="0.2">
      <c r="L12853" s="12"/>
      <c r="M12853" s="13"/>
    </row>
    <row r="12854" spans="12:13" x14ac:dyDescent="0.2">
      <c r="L12854" s="12"/>
      <c r="M12854" s="13"/>
    </row>
    <row r="12855" spans="12:13" x14ac:dyDescent="0.2">
      <c r="L12855" s="12"/>
      <c r="M12855" s="13"/>
    </row>
    <row r="12856" spans="12:13" x14ac:dyDescent="0.2">
      <c r="L12856" s="12"/>
      <c r="M12856" s="13"/>
    </row>
    <row r="12857" spans="12:13" x14ac:dyDescent="0.2">
      <c r="L12857" s="12"/>
      <c r="M12857" s="13"/>
    </row>
    <row r="12858" spans="12:13" x14ac:dyDescent="0.2">
      <c r="L12858" s="12"/>
      <c r="M12858" s="13"/>
    </row>
    <row r="12859" spans="12:13" x14ac:dyDescent="0.2">
      <c r="L12859" s="12"/>
      <c r="M12859" s="13"/>
    </row>
    <row r="12860" spans="12:13" x14ac:dyDescent="0.2">
      <c r="L12860" s="12"/>
      <c r="M12860" s="13"/>
    </row>
    <row r="12861" spans="12:13" x14ac:dyDescent="0.2">
      <c r="L12861" s="12"/>
      <c r="M12861" s="13"/>
    </row>
    <row r="12862" spans="12:13" x14ac:dyDescent="0.2">
      <c r="L12862" s="12"/>
      <c r="M12862" s="13"/>
    </row>
    <row r="12863" spans="12:13" x14ac:dyDescent="0.2">
      <c r="L12863" s="12"/>
      <c r="M12863" s="13"/>
    </row>
    <row r="12864" spans="12:13" x14ac:dyDescent="0.2">
      <c r="L12864" s="12"/>
      <c r="M12864" s="13"/>
    </row>
    <row r="12865" spans="12:13" x14ac:dyDescent="0.2">
      <c r="L12865" s="12"/>
      <c r="M12865" s="13"/>
    </row>
    <row r="12866" spans="12:13" x14ac:dyDescent="0.2">
      <c r="L12866" s="12"/>
      <c r="M12866" s="13"/>
    </row>
    <row r="12867" spans="12:13" x14ac:dyDescent="0.2">
      <c r="L12867" s="12"/>
      <c r="M12867" s="13"/>
    </row>
    <row r="12868" spans="12:13" x14ac:dyDescent="0.2">
      <c r="L12868" s="12"/>
      <c r="M12868" s="13"/>
    </row>
    <row r="12869" spans="12:13" x14ac:dyDescent="0.2">
      <c r="L12869" s="12"/>
      <c r="M12869" s="13"/>
    </row>
    <row r="12870" spans="12:13" x14ac:dyDescent="0.2">
      <c r="L12870" s="12"/>
      <c r="M12870" s="13"/>
    </row>
    <row r="12871" spans="12:13" x14ac:dyDescent="0.2">
      <c r="L12871" s="12"/>
      <c r="M12871" s="13"/>
    </row>
    <row r="12872" spans="12:13" x14ac:dyDescent="0.2">
      <c r="L12872" s="12"/>
      <c r="M12872" s="13"/>
    </row>
    <row r="12873" spans="12:13" x14ac:dyDescent="0.2">
      <c r="L12873" s="12"/>
      <c r="M12873" s="13"/>
    </row>
    <row r="12874" spans="12:13" x14ac:dyDescent="0.2">
      <c r="L12874" s="12"/>
      <c r="M12874" s="13"/>
    </row>
    <row r="12875" spans="12:13" x14ac:dyDescent="0.2">
      <c r="L12875" s="12"/>
      <c r="M12875" s="13"/>
    </row>
    <row r="12876" spans="12:13" x14ac:dyDescent="0.2">
      <c r="L12876" s="12"/>
      <c r="M12876" s="13"/>
    </row>
    <row r="12877" spans="12:13" x14ac:dyDescent="0.2">
      <c r="L12877" s="12"/>
      <c r="M12877" s="13"/>
    </row>
    <row r="12878" spans="12:13" x14ac:dyDescent="0.2">
      <c r="L12878" s="12"/>
      <c r="M12878" s="13"/>
    </row>
    <row r="12879" spans="12:13" x14ac:dyDescent="0.2">
      <c r="L12879" s="12"/>
      <c r="M12879" s="13"/>
    </row>
    <row r="12880" spans="12:13" x14ac:dyDescent="0.2">
      <c r="L12880" s="12"/>
      <c r="M12880" s="13"/>
    </row>
    <row r="12881" spans="12:13" x14ac:dyDescent="0.2">
      <c r="L12881" s="12"/>
      <c r="M12881" s="13"/>
    </row>
    <row r="12882" spans="12:13" x14ac:dyDescent="0.2">
      <c r="L12882" s="12"/>
      <c r="M12882" s="13"/>
    </row>
    <row r="12883" spans="12:13" x14ac:dyDescent="0.2">
      <c r="L12883" s="12"/>
      <c r="M12883" s="13"/>
    </row>
    <row r="12884" spans="12:13" x14ac:dyDescent="0.2">
      <c r="L12884" s="12"/>
      <c r="M12884" s="13"/>
    </row>
    <row r="12885" spans="12:13" x14ac:dyDescent="0.2">
      <c r="L12885" s="12"/>
      <c r="M12885" s="13"/>
    </row>
    <row r="12886" spans="12:13" x14ac:dyDescent="0.2">
      <c r="L12886" s="12"/>
      <c r="M12886" s="13"/>
    </row>
    <row r="12887" spans="12:13" x14ac:dyDescent="0.2">
      <c r="L12887" s="12"/>
      <c r="M12887" s="13"/>
    </row>
    <row r="12888" spans="12:13" x14ac:dyDescent="0.2">
      <c r="L12888" s="12"/>
      <c r="M12888" s="13"/>
    </row>
    <row r="12889" spans="12:13" x14ac:dyDescent="0.2">
      <c r="L12889" s="12"/>
      <c r="M12889" s="13"/>
    </row>
    <row r="12890" spans="12:13" x14ac:dyDescent="0.2">
      <c r="L12890" s="12"/>
      <c r="M12890" s="13"/>
    </row>
    <row r="12891" spans="12:13" x14ac:dyDescent="0.2">
      <c r="L12891" s="12"/>
      <c r="M12891" s="13"/>
    </row>
    <row r="12892" spans="12:13" x14ac:dyDescent="0.2">
      <c r="L12892" s="12"/>
      <c r="M12892" s="13"/>
    </row>
    <row r="12893" spans="12:13" x14ac:dyDescent="0.2">
      <c r="L12893" s="12"/>
      <c r="M12893" s="13"/>
    </row>
    <row r="12894" spans="12:13" x14ac:dyDescent="0.2">
      <c r="L12894" s="12"/>
      <c r="M12894" s="13"/>
    </row>
    <row r="12895" spans="12:13" x14ac:dyDescent="0.2">
      <c r="L12895" s="12"/>
      <c r="M12895" s="13"/>
    </row>
    <row r="12896" spans="12:13" x14ac:dyDescent="0.2">
      <c r="L12896" s="12"/>
      <c r="M12896" s="13"/>
    </row>
    <row r="12897" spans="12:13" x14ac:dyDescent="0.2">
      <c r="L12897" s="12"/>
      <c r="M12897" s="13"/>
    </row>
    <row r="12898" spans="12:13" x14ac:dyDescent="0.2">
      <c r="L12898" s="12"/>
      <c r="M12898" s="13"/>
    </row>
    <row r="12899" spans="12:13" x14ac:dyDescent="0.2">
      <c r="L12899" s="12"/>
      <c r="M12899" s="13"/>
    </row>
    <row r="12900" spans="12:13" x14ac:dyDescent="0.2">
      <c r="L12900" s="12"/>
      <c r="M12900" s="13"/>
    </row>
    <row r="12901" spans="12:13" x14ac:dyDescent="0.2">
      <c r="L12901" s="12"/>
      <c r="M12901" s="13"/>
    </row>
    <row r="12902" spans="12:13" x14ac:dyDescent="0.2">
      <c r="L12902" s="12"/>
      <c r="M12902" s="13"/>
    </row>
    <row r="12903" spans="12:13" x14ac:dyDescent="0.2">
      <c r="L12903" s="12"/>
      <c r="M12903" s="13"/>
    </row>
    <row r="12904" spans="12:13" x14ac:dyDescent="0.2">
      <c r="L12904" s="12"/>
      <c r="M12904" s="13"/>
    </row>
    <row r="12905" spans="12:13" x14ac:dyDescent="0.2">
      <c r="L12905" s="12"/>
      <c r="M12905" s="13"/>
    </row>
    <row r="12906" spans="12:13" x14ac:dyDescent="0.2">
      <c r="L12906" s="12"/>
      <c r="M12906" s="13"/>
    </row>
    <row r="12907" spans="12:13" x14ac:dyDescent="0.2">
      <c r="L12907" s="12"/>
      <c r="M12907" s="13"/>
    </row>
    <row r="12908" spans="12:13" x14ac:dyDescent="0.2">
      <c r="L12908" s="12"/>
      <c r="M12908" s="13"/>
    </row>
    <row r="12909" spans="12:13" x14ac:dyDescent="0.2">
      <c r="L12909" s="12"/>
      <c r="M12909" s="13"/>
    </row>
    <row r="12910" spans="12:13" x14ac:dyDescent="0.2">
      <c r="L12910" s="12"/>
      <c r="M12910" s="13"/>
    </row>
    <row r="12911" spans="12:13" x14ac:dyDescent="0.2">
      <c r="L12911" s="12"/>
      <c r="M12911" s="13"/>
    </row>
    <row r="12912" spans="12:13" x14ac:dyDescent="0.2">
      <c r="L12912" s="12"/>
      <c r="M12912" s="13"/>
    </row>
    <row r="12913" spans="12:13" x14ac:dyDescent="0.2">
      <c r="L12913" s="12"/>
      <c r="M12913" s="13"/>
    </row>
    <row r="12914" spans="12:13" x14ac:dyDescent="0.2">
      <c r="L12914" s="12"/>
      <c r="M12914" s="13"/>
    </row>
    <row r="12915" spans="12:13" x14ac:dyDescent="0.2">
      <c r="L12915" s="12"/>
      <c r="M12915" s="13"/>
    </row>
    <row r="12916" spans="12:13" x14ac:dyDescent="0.2">
      <c r="L12916" s="12"/>
      <c r="M12916" s="13"/>
    </row>
    <row r="12917" spans="12:13" x14ac:dyDescent="0.2">
      <c r="L12917" s="12"/>
      <c r="M12917" s="13"/>
    </row>
    <row r="12918" spans="12:13" x14ac:dyDescent="0.2">
      <c r="L12918" s="12"/>
      <c r="M12918" s="13"/>
    </row>
    <row r="12919" spans="12:13" x14ac:dyDescent="0.2">
      <c r="L12919" s="12"/>
      <c r="M12919" s="13"/>
    </row>
    <row r="12920" spans="12:13" x14ac:dyDescent="0.2">
      <c r="L12920" s="12"/>
      <c r="M12920" s="13"/>
    </row>
    <row r="12921" spans="12:13" x14ac:dyDescent="0.2">
      <c r="L12921" s="12"/>
      <c r="M12921" s="13"/>
    </row>
    <row r="12922" spans="12:13" x14ac:dyDescent="0.2">
      <c r="L12922" s="12"/>
      <c r="M12922" s="13"/>
    </row>
    <row r="12923" spans="12:13" x14ac:dyDescent="0.2">
      <c r="L12923" s="12"/>
      <c r="M12923" s="13"/>
    </row>
    <row r="12924" spans="12:13" x14ac:dyDescent="0.2">
      <c r="L12924" s="12"/>
      <c r="M12924" s="13"/>
    </row>
    <row r="12925" spans="12:13" x14ac:dyDescent="0.2">
      <c r="L12925" s="12"/>
      <c r="M12925" s="13"/>
    </row>
    <row r="12926" spans="12:13" x14ac:dyDescent="0.2">
      <c r="L12926" s="12"/>
      <c r="M12926" s="13"/>
    </row>
    <row r="12927" spans="12:13" x14ac:dyDescent="0.2">
      <c r="L12927" s="12"/>
      <c r="M12927" s="13"/>
    </row>
    <row r="12928" spans="12:13" x14ac:dyDescent="0.2">
      <c r="L12928" s="12"/>
      <c r="M12928" s="13"/>
    </row>
    <row r="12929" spans="12:13" x14ac:dyDescent="0.2">
      <c r="L12929" s="12"/>
      <c r="M12929" s="13"/>
    </row>
    <row r="12930" spans="12:13" x14ac:dyDescent="0.2">
      <c r="L12930" s="12"/>
      <c r="M12930" s="13"/>
    </row>
    <row r="12931" spans="12:13" x14ac:dyDescent="0.2">
      <c r="L12931" s="12"/>
      <c r="M12931" s="13"/>
    </row>
    <row r="12932" spans="12:13" x14ac:dyDescent="0.2">
      <c r="L12932" s="12"/>
      <c r="M12932" s="13"/>
    </row>
    <row r="12933" spans="12:13" x14ac:dyDescent="0.2">
      <c r="L12933" s="12"/>
      <c r="M12933" s="13"/>
    </row>
    <row r="12934" spans="12:13" x14ac:dyDescent="0.2">
      <c r="L12934" s="12"/>
      <c r="M12934" s="13"/>
    </row>
    <row r="12935" spans="12:13" x14ac:dyDescent="0.2">
      <c r="L12935" s="12"/>
      <c r="M12935" s="13"/>
    </row>
    <row r="12936" spans="12:13" x14ac:dyDescent="0.2">
      <c r="L12936" s="12"/>
      <c r="M12936" s="13"/>
    </row>
    <row r="12937" spans="12:13" x14ac:dyDescent="0.2">
      <c r="L12937" s="12"/>
      <c r="M12937" s="13"/>
    </row>
    <row r="12938" spans="12:13" x14ac:dyDescent="0.2">
      <c r="L12938" s="12"/>
      <c r="M12938" s="13"/>
    </row>
    <row r="12939" spans="12:13" x14ac:dyDescent="0.2">
      <c r="L12939" s="12"/>
      <c r="M12939" s="13"/>
    </row>
    <row r="12940" spans="12:13" x14ac:dyDescent="0.2">
      <c r="L12940" s="12"/>
      <c r="M12940" s="13"/>
    </row>
    <row r="12941" spans="12:13" x14ac:dyDescent="0.2">
      <c r="L12941" s="12"/>
      <c r="M12941" s="13"/>
    </row>
    <row r="12942" spans="12:13" x14ac:dyDescent="0.2">
      <c r="L12942" s="12"/>
      <c r="M12942" s="13"/>
    </row>
    <row r="12943" spans="12:13" x14ac:dyDescent="0.2">
      <c r="L12943" s="12"/>
      <c r="M12943" s="13"/>
    </row>
    <row r="12944" spans="12:13" x14ac:dyDescent="0.2">
      <c r="L12944" s="12"/>
      <c r="M12944" s="13"/>
    </row>
    <row r="12945" spans="12:13" x14ac:dyDescent="0.2">
      <c r="L12945" s="12"/>
      <c r="M12945" s="13"/>
    </row>
    <row r="12946" spans="12:13" x14ac:dyDescent="0.2">
      <c r="L12946" s="12"/>
      <c r="M12946" s="13"/>
    </row>
    <row r="12947" spans="12:13" x14ac:dyDescent="0.2">
      <c r="L12947" s="12"/>
      <c r="M12947" s="13"/>
    </row>
    <row r="12948" spans="12:13" x14ac:dyDescent="0.2">
      <c r="L12948" s="12"/>
      <c r="M12948" s="13"/>
    </row>
    <row r="12949" spans="12:13" x14ac:dyDescent="0.2">
      <c r="L12949" s="12"/>
      <c r="M12949" s="13"/>
    </row>
    <row r="12950" spans="12:13" x14ac:dyDescent="0.2">
      <c r="L12950" s="12"/>
      <c r="M12950" s="13"/>
    </row>
    <row r="12951" spans="12:13" x14ac:dyDescent="0.2">
      <c r="L12951" s="12"/>
      <c r="M12951" s="13"/>
    </row>
    <row r="12952" spans="12:13" x14ac:dyDescent="0.2">
      <c r="L12952" s="12"/>
      <c r="M12952" s="13"/>
    </row>
    <row r="12953" spans="12:13" x14ac:dyDescent="0.2">
      <c r="L12953" s="12"/>
      <c r="M12953" s="13"/>
    </row>
    <row r="12954" spans="12:13" x14ac:dyDescent="0.2">
      <c r="L12954" s="12"/>
      <c r="M12954" s="13"/>
    </row>
    <row r="12955" spans="12:13" x14ac:dyDescent="0.2">
      <c r="L12955" s="12"/>
      <c r="M12955" s="13"/>
    </row>
    <row r="12956" spans="12:13" x14ac:dyDescent="0.2">
      <c r="L12956" s="12"/>
      <c r="M12956" s="13"/>
    </row>
    <row r="12957" spans="12:13" x14ac:dyDescent="0.2">
      <c r="L12957" s="12"/>
      <c r="M12957" s="13"/>
    </row>
    <row r="12958" spans="12:13" x14ac:dyDescent="0.2">
      <c r="L12958" s="12"/>
      <c r="M12958" s="13"/>
    </row>
    <row r="12959" spans="12:13" x14ac:dyDescent="0.2">
      <c r="L12959" s="12"/>
      <c r="M12959" s="13"/>
    </row>
    <row r="12960" spans="12:13" x14ac:dyDescent="0.2">
      <c r="L12960" s="12"/>
      <c r="M12960" s="13"/>
    </row>
    <row r="12961" spans="12:13" x14ac:dyDescent="0.2">
      <c r="L12961" s="12"/>
      <c r="M12961" s="13"/>
    </row>
    <row r="12962" spans="12:13" x14ac:dyDescent="0.2">
      <c r="L12962" s="12"/>
      <c r="M12962" s="13"/>
    </row>
    <row r="12963" spans="12:13" x14ac:dyDescent="0.2">
      <c r="L12963" s="12"/>
      <c r="M12963" s="13"/>
    </row>
    <row r="12964" spans="12:13" x14ac:dyDescent="0.2">
      <c r="L12964" s="12"/>
      <c r="M12964" s="13"/>
    </row>
    <row r="12965" spans="12:13" x14ac:dyDescent="0.2">
      <c r="L12965" s="12"/>
      <c r="M12965" s="13"/>
    </row>
    <row r="12966" spans="12:13" x14ac:dyDescent="0.2">
      <c r="L12966" s="12"/>
      <c r="M12966" s="13"/>
    </row>
    <row r="12967" spans="12:13" x14ac:dyDescent="0.2">
      <c r="L12967" s="12"/>
      <c r="M12967" s="13"/>
    </row>
    <row r="12968" spans="12:13" x14ac:dyDescent="0.2">
      <c r="L12968" s="12"/>
      <c r="M12968" s="13"/>
    </row>
    <row r="12969" spans="12:13" x14ac:dyDescent="0.2">
      <c r="L12969" s="12"/>
      <c r="M12969" s="13"/>
    </row>
    <row r="12970" spans="12:13" x14ac:dyDescent="0.2">
      <c r="L12970" s="12"/>
      <c r="M12970" s="13"/>
    </row>
    <row r="12971" spans="12:13" x14ac:dyDescent="0.2">
      <c r="L12971" s="12"/>
      <c r="M12971" s="13"/>
    </row>
    <row r="12972" spans="12:13" x14ac:dyDescent="0.2">
      <c r="L12972" s="12"/>
      <c r="M12972" s="13"/>
    </row>
    <row r="12973" spans="12:13" x14ac:dyDescent="0.2">
      <c r="L12973" s="12"/>
      <c r="M12973" s="13"/>
    </row>
    <row r="12974" spans="12:13" x14ac:dyDescent="0.2">
      <c r="L12974" s="12"/>
      <c r="M12974" s="13"/>
    </row>
    <row r="12975" spans="12:13" x14ac:dyDescent="0.2">
      <c r="L12975" s="12"/>
      <c r="M12975" s="13"/>
    </row>
    <row r="12976" spans="12:13" x14ac:dyDescent="0.2">
      <c r="L12976" s="12"/>
      <c r="M12976" s="13"/>
    </row>
    <row r="12977" spans="12:13" x14ac:dyDescent="0.2">
      <c r="L12977" s="12"/>
      <c r="M12977" s="13"/>
    </row>
    <row r="12978" spans="12:13" x14ac:dyDescent="0.2">
      <c r="L12978" s="12"/>
      <c r="M12978" s="13"/>
    </row>
    <row r="12979" spans="12:13" x14ac:dyDescent="0.2">
      <c r="L12979" s="12"/>
      <c r="M12979" s="13"/>
    </row>
    <row r="12980" spans="12:13" x14ac:dyDescent="0.2">
      <c r="L12980" s="12"/>
      <c r="M12980" s="13"/>
    </row>
    <row r="12981" spans="12:13" x14ac:dyDescent="0.2">
      <c r="L12981" s="12"/>
      <c r="M12981" s="13"/>
    </row>
    <row r="12982" spans="12:13" x14ac:dyDescent="0.2">
      <c r="L12982" s="12"/>
      <c r="M12982" s="13"/>
    </row>
    <row r="12983" spans="12:13" x14ac:dyDescent="0.2">
      <c r="L12983" s="12"/>
      <c r="M12983" s="13"/>
    </row>
    <row r="12984" spans="12:13" x14ac:dyDescent="0.2">
      <c r="L12984" s="12"/>
      <c r="M12984" s="13"/>
    </row>
    <row r="12985" spans="12:13" x14ac:dyDescent="0.2">
      <c r="L12985" s="12"/>
      <c r="M12985" s="13"/>
    </row>
    <row r="12986" spans="12:13" x14ac:dyDescent="0.2">
      <c r="L12986" s="12"/>
      <c r="M12986" s="13"/>
    </row>
    <row r="12987" spans="12:13" x14ac:dyDescent="0.2">
      <c r="L12987" s="12"/>
      <c r="M12987" s="13"/>
    </row>
    <row r="12988" spans="12:13" x14ac:dyDescent="0.2">
      <c r="L12988" s="12"/>
      <c r="M12988" s="13"/>
    </row>
    <row r="12989" spans="12:13" x14ac:dyDescent="0.2">
      <c r="L12989" s="12"/>
      <c r="M12989" s="13"/>
    </row>
    <row r="12990" spans="12:13" x14ac:dyDescent="0.2">
      <c r="L12990" s="12"/>
      <c r="M12990" s="13"/>
    </row>
    <row r="12991" spans="12:13" x14ac:dyDescent="0.2">
      <c r="L12991" s="12"/>
      <c r="M12991" s="13"/>
    </row>
    <row r="12992" spans="12:13" x14ac:dyDescent="0.2">
      <c r="L12992" s="12"/>
      <c r="M12992" s="13"/>
    </row>
    <row r="12993" spans="12:13" x14ac:dyDescent="0.2">
      <c r="L12993" s="12"/>
      <c r="M12993" s="13"/>
    </row>
    <row r="12994" spans="12:13" x14ac:dyDescent="0.2">
      <c r="L12994" s="12"/>
      <c r="M12994" s="13"/>
    </row>
    <row r="12995" spans="12:13" x14ac:dyDescent="0.2">
      <c r="L12995" s="12"/>
      <c r="M12995" s="13"/>
    </row>
    <row r="12996" spans="12:13" x14ac:dyDescent="0.2">
      <c r="L12996" s="12"/>
      <c r="M12996" s="13"/>
    </row>
    <row r="12997" spans="12:13" x14ac:dyDescent="0.2">
      <c r="L12997" s="12"/>
      <c r="M12997" s="13"/>
    </row>
    <row r="12998" spans="12:13" x14ac:dyDescent="0.2">
      <c r="L12998" s="12"/>
      <c r="M12998" s="13"/>
    </row>
    <row r="12999" spans="12:13" x14ac:dyDescent="0.2">
      <c r="L12999" s="12"/>
      <c r="M12999" s="13"/>
    </row>
    <row r="13000" spans="12:13" x14ac:dyDescent="0.2">
      <c r="L13000" s="12"/>
      <c r="M13000" s="13"/>
    </row>
    <row r="13001" spans="12:13" x14ac:dyDescent="0.2">
      <c r="L13001" s="12"/>
      <c r="M13001" s="13"/>
    </row>
    <row r="13002" spans="12:13" x14ac:dyDescent="0.2">
      <c r="L13002" s="12"/>
      <c r="M13002" s="13"/>
    </row>
    <row r="13003" spans="12:13" x14ac:dyDescent="0.2">
      <c r="L13003" s="12"/>
      <c r="M13003" s="13"/>
    </row>
    <row r="13004" spans="12:13" x14ac:dyDescent="0.2">
      <c r="L13004" s="12"/>
      <c r="M13004" s="13"/>
    </row>
    <row r="13005" spans="12:13" x14ac:dyDescent="0.2">
      <c r="L13005" s="12"/>
      <c r="M13005" s="13"/>
    </row>
    <row r="13006" spans="12:13" x14ac:dyDescent="0.2">
      <c r="L13006" s="12"/>
      <c r="M13006" s="13"/>
    </row>
    <row r="13007" spans="12:13" x14ac:dyDescent="0.2">
      <c r="L13007" s="12"/>
      <c r="M13007" s="13"/>
    </row>
    <row r="13008" spans="12:13" x14ac:dyDescent="0.2">
      <c r="L13008" s="12"/>
      <c r="M13008" s="13"/>
    </row>
    <row r="13009" spans="12:13" x14ac:dyDescent="0.2">
      <c r="L13009" s="12"/>
      <c r="M13009" s="13"/>
    </row>
    <row r="13010" spans="12:13" x14ac:dyDescent="0.2">
      <c r="L13010" s="12"/>
      <c r="M13010" s="13"/>
    </row>
    <row r="13011" spans="12:13" x14ac:dyDescent="0.2">
      <c r="L13011" s="12"/>
      <c r="M13011" s="13"/>
    </row>
    <row r="13012" spans="12:13" x14ac:dyDescent="0.2">
      <c r="L13012" s="12"/>
      <c r="M13012" s="13"/>
    </row>
    <row r="13013" spans="12:13" x14ac:dyDescent="0.2">
      <c r="L13013" s="12"/>
      <c r="M13013" s="13"/>
    </row>
    <row r="13014" spans="12:13" x14ac:dyDescent="0.2">
      <c r="L13014" s="12"/>
      <c r="M13014" s="13"/>
    </row>
    <row r="13015" spans="12:13" x14ac:dyDescent="0.2">
      <c r="L13015" s="12"/>
      <c r="M13015" s="13"/>
    </row>
    <row r="13016" spans="12:13" x14ac:dyDescent="0.2">
      <c r="L13016" s="12"/>
      <c r="M13016" s="13"/>
    </row>
    <row r="13017" spans="12:13" x14ac:dyDescent="0.2">
      <c r="L13017" s="12"/>
      <c r="M13017" s="13"/>
    </row>
    <row r="13018" spans="12:13" x14ac:dyDescent="0.2">
      <c r="L13018" s="12"/>
      <c r="M13018" s="13"/>
    </row>
    <row r="13019" spans="12:13" x14ac:dyDescent="0.2">
      <c r="L13019" s="12"/>
      <c r="M13019" s="13"/>
    </row>
    <row r="13020" spans="12:13" x14ac:dyDescent="0.2">
      <c r="L13020" s="12"/>
      <c r="M13020" s="13"/>
    </row>
    <row r="13021" spans="12:13" x14ac:dyDescent="0.2">
      <c r="L13021" s="12"/>
      <c r="M13021" s="13"/>
    </row>
    <row r="13022" spans="12:13" x14ac:dyDescent="0.2">
      <c r="L13022" s="12"/>
      <c r="M13022" s="13"/>
    </row>
    <row r="13023" spans="12:13" x14ac:dyDescent="0.2">
      <c r="L13023" s="12"/>
      <c r="M13023" s="13"/>
    </row>
    <row r="13024" spans="12:13" x14ac:dyDescent="0.2">
      <c r="L13024" s="12"/>
      <c r="M13024" s="13"/>
    </row>
    <row r="13025" spans="12:13" x14ac:dyDescent="0.2">
      <c r="L13025" s="12"/>
      <c r="M13025" s="13"/>
    </row>
    <row r="13026" spans="12:13" x14ac:dyDescent="0.2">
      <c r="L13026" s="12"/>
      <c r="M13026" s="13"/>
    </row>
    <row r="13027" spans="12:13" x14ac:dyDescent="0.2">
      <c r="L13027" s="12"/>
      <c r="M13027" s="13"/>
    </row>
    <row r="13028" spans="12:13" x14ac:dyDescent="0.2">
      <c r="L13028" s="12"/>
      <c r="M13028" s="13"/>
    </row>
    <row r="13029" spans="12:13" x14ac:dyDescent="0.2">
      <c r="L13029" s="12"/>
      <c r="M13029" s="13"/>
    </row>
    <row r="13030" spans="12:13" x14ac:dyDescent="0.2">
      <c r="L13030" s="12"/>
      <c r="M13030" s="13"/>
    </row>
    <row r="13031" spans="12:13" x14ac:dyDescent="0.2">
      <c r="L13031" s="12"/>
      <c r="M13031" s="13"/>
    </row>
    <row r="13032" spans="12:13" x14ac:dyDescent="0.2">
      <c r="L13032" s="12"/>
      <c r="M13032" s="13"/>
    </row>
    <row r="13033" spans="12:13" x14ac:dyDescent="0.2">
      <c r="L13033" s="12"/>
      <c r="M13033" s="13"/>
    </row>
    <row r="13034" spans="12:13" x14ac:dyDescent="0.2">
      <c r="L13034" s="12"/>
      <c r="M13034" s="13"/>
    </row>
    <row r="13035" spans="12:13" x14ac:dyDescent="0.2">
      <c r="L13035" s="12"/>
      <c r="M13035" s="13"/>
    </row>
    <row r="13036" spans="12:13" x14ac:dyDescent="0.2">
      <c r="L13036" s="12"/>
      <c r="M13036" s="13"/>
    </row>
    <row r="13037" spans="12:13" x14ac:dyDescent="0.2">
      <c r="L13037" s="12"/>
      <c r="M13037" s="13"/>
    </row>
    <row r="13038" spans="12:13" x14ac:dyDescent="0.2">
      <c r="L13038" s="12"/>
      <c r="M13038" s="13"/>
    </row>
    <row r="13039" spans="12:13" x14ac:dyDescent="0.2">
      <c r="L13039" s="12"/>
      <c r="M13039" s="13"/>
    </row>
    <row r="13040" spans="12:13" x14ac:dyDescent="0.2">
      <c r="L13040" s="12"/>
      <c r="M13040" s="13"/>
    </row>
    <row r="13041" spans="12:13" x14ac:dyDescent="0.2">
      <c r="L13041" s="12"/>
      <c r="M13041" s="13"/>
    </row>
    <row r="13042" spans="12:13" x14ac:dyDescent="0.2">
      <c r="L13042" s="12"/>
      <c r="M13042" s="13"/>
    </row>
    <row r="13043" spans="12:13" x14ac:dyDescent="0.2">
      <c r="L13043" s="12"/>
      <c r="M13043" s="13"/>
    </row>
    <row r="13044" spans="12:13" x14ac:dyDescent="0.2">
      <c r="L13044" s="12"/>
      <c r="M13044" s="13"/>
    </row>
    <row r="13045" spans="12:13" x14ac:dyDescent="0.2">
      <c r="L13045" s="12"/>
      <c r="M13045" s="13"/>
    </row>
    <row r="13046" spans="12:13" x14ac:dyDescent="0.2">
      <c r="L13046" s="12"/>
      <c r="M13046" s="13"/>
    </row>
    <row r="13047" spans="12:13" x14ac:dyDescent="0.2">
      <c r="L13047" s="12"/>
      <c r="M13047" s="13"/>
    </row>
    <row r="13048" spans="12:13" x14ac:dyDescent="0.2">
      <c r="L13048" s="12"/>
      <c r="M13048" s="13"/>
    </row>
    <row r="13049" spans="12:13" x14ac:dyDescent="0.2">
      <c r="L13049" s="12"/>
      <c r="M13049" s="13"/>
    </row>
    <row r="13050" spans="12:13" x14ac:dyDescent="0.2">
      <c r="L13050" s="12"/>
      <c r="M13050" s="13"/>
    </row>
    <row r="13051" spans="12:13" x14ac:dyDescent="0.2">
      <c r="L13051" s="12"/>
      <c r="M13051" s="13"/>
    </row>
    <row r="13052" spans="12:13" x14ac:dyDescent="0.2">
      <c r="L13052" s="12"/>
      <c r="M13052" s="13"/>
    </row>
    <row r="13053" spans="12:13" x14ac:dyDescent="0.2">
      <c r="L13053" s="12"/>
      <c r="M13053" s="13"/>
    </row>
    <row r="13054" spans="12:13" x14ac:dyDescent="0.2">
      <c r="L13054" s="12"/>
      <c r="M13054" s="13"/>
    </row>
    <row r="13055" spans="12:13" x14ac:dyDescent="0.2">
      <c r="L13055" s="12"/>
      <c r="M13055" s="13"/>
    </row>
    <row r="13056" spans="12:13" x14ac:dyDescent="0.2">
      <c r="L13056" s="12"/>
      <c r="M13056" s="13"/>
    </row>
    <row r="13057" spans="12:13" x14ac:dyDescent="0.2">
      <c r="L13057" s="12"/>
      <c r="M13057" s="13"/>
    </row>
    <row r="13058" spans="12:13" x14ac:dyDescent="0.2">
      <c r="L13058" s="17"/>
      <c r="M13058" s="18"/>
    </row>
    <row r="13059" spans="12:13" x14ac:dyDescent="0.2">
      <c r="L13059" s="12"/>
      <c r="M13059" s="13"/>
    </row>
    <row r="13060" spans="12:13" x14ac:dyDescent="0.2">
      <c r="L13060" s="12"/>
      <c r="M13060" s="13"/>
    </row>
    <row r="13061" spans="12:13" x14ac:dyDescent="0.2">
      <c r="L13061" s="12"/>
      <c r="M13061" s="13"/>
    </row>
    <row r="13062" spans="12:13" x14ac:dyDescent="0.2">
      <c r="L13062" s="12"/>
      <c r="M13062" s="13"/>
    </row>
    <row r="13063" spans="12:13" x14ac:dyDescent="0.2">
      <c r="L13063" s="12"/>
      <c r="M13063" s="13"/>
    </row>
    <row r="13064" spans="12:13" x14ac:dyDescent="0.2">
      <c r="L13064" s="12"/>
      <c r="M13064" s="13"/>
    </row>
    <row r="13065" spans="12:13" x14ac:dyDescent="0.2">
      <c r="L13065" s="12"/>
      <c r="M13065" s="13"/>
    </row>
    <row r="13066" spans="12:13" x14ac:dyDescent="0.2">
      <c r="L13066" s="12"/>
      <c r="M13066" s="13"/>
    </row>
    <row r="13067" spans="12:13" x14ac:dyDescent="0.2">
      <c r="L13067" s="12"/>
      <c r="M13067" s="13"/>
    </row>
    <row r="13068" spans="12:13" x14ac:dyDescent="0.2">
      <c r="L13068" s="12"/>
      <c r="M13068" s="13"/>
    </row>
    <row r="13069" spans="12:13" x14ac:dyDescent="0.2">
      <c r="L13069" s="12"/>
      <c r="M13069" s="13"/>
    </row>
    <row r="13070" spans="12:13" x14ac:dyDescent="0.2">
      <c r="L13070" s="12"/>
      <c r="M13070" s="13"/>
    </row>
    <row r="13071" spans="12:13" x14ac:dyDescent="0.2">
      <c r="L13071" s="12"/>
      <c r="M13071" s="13"/>
    </row>
    <row r="13072" spans="12:13" x14ac:dyDescent="0.2">
      <c r="L13072" s="12"/>
      <c r="M13072" s="13"/>
    </row>
    <row r="13073" spans="12:13" x14ac:dyDescent="0.2">
      <c r="L13073" s="12"/>
      <c r="M13073" s="13"/>
    </row>
    <row r="13074" spans="12:13" x14ac:dyDescent="0.2">
      <c r="L13074" s="12"/>
      <c r="M13074" s="13"/>
    </row>
    <row r="13075" spans="12:13" x14ac:dyDescent="0.2">
      <c r="L13075" s="12"/>
      <c r="M13075" s="13"/>
    </row>
    <row r="13076" spans="12:13" x14ac:dyDescent="0.2">
      <c r="L13076" s="12"/>
      <c r="M13076" s="13"/>
    </row>
    <row r="13077" spans="12:13" x14ac:dyDescent="0.2">
      <c r="L13077" s="12"/>
      <c r="M13077" s="13"/>
    </row>
    <row r="13078" spans="12:13" x14ac:dyDescent="0.2">
      <c r="L13078" s="12"/>
      <c r="M13078" s="13"/>
    </row>
    <row r="13079" spans="12:13" x14ac:dyDescent="0.2">
      <c r="L13079" s="12"/>
      <c r="M13079" s="13"/>
    </row>
    <row r="13080" spans="12:13" x14ac:dyDescent="0.2">
      <c r="L13080" s="12"/>
      <c r="M13080" s="13"/>
    </row>
    <row r="13081" spans="12:13" x14ac:dyDescent="0.2">
      <c r="L13081" s="12"/>
      <c r="M13081" s="13"/>
    </row>
    <row r="13082" spans="12:13" x14ac:dyDescent="0.2">
      <c r="L13082" s="12"/>
      <c r="M13082" s="13"/>
    </row>
    <row r="13083" spans="12:13" x14ac:dyDescent="0.2">
      <c r="L13083" s="12"/>
      <c r="M13083" s="13"/>
    </row>
    <row r="13084" spans="12:13" x14ac:dyDescent="0.2">
      <c r="L13084" s="12"/>
      <c r="M13084" s="13"/>
    </row>
    <row r="13085" spans="12:13" x14ac:dyDescent="0.2">
      <c r="L13085" s="12"/>
      <c r="M13085" s="13"/>
    </row>
    <row r="13086" spans="12:13" x14ac:dyDescent="0.2">
      <c r="L13086" s="12"/>
      <c r="M13086" s="13"/>
    </row>
    <row r="13087" spans="12:13" x14ac:dyDescent="0.2">
      <c r="L13087" s="12"/>
      <c r="M13087" s="13"/>
    </row>
    <row r="13088" spans="12:13" x14ac:dyDescent="0.2">
      <c r="L13088" s="12"/>
      <c r="M13088" s="13"/>
    </row>
    <row r="13089" spans="12:13" x14ac:dyDescent="0.2">
      <c r="L13089" s="12"/>
      <c r="M13089" s="13"/>
    </row>
    <row r="13090" spans="12:13" x14ac:dyDescent="0.2">
      <c r="L13090" s="12"/>
      <c r="M13090" s="13"/>
    </row>
    <row r="13091" spans="12:13" x14ac:dyDescent="0.2">
      <c r="L13091" s="12"/>
      <c r="M13091" s="13"/>
    </row>
    <row r="13092" spans="12:13" x14ac:dyDescent="0.2">
      <c r="L13092" s="12"/>
      <c r="M13092" s="13"/>
    </row>
    <row r="13093" spans="12:13" x14ac:dyDescent="0.2">
      <c r="L13093" s="12"/>
      <c r="M13093" s="13"/>
    </row>
    <row r="13094" spans="12:13" x14ac:dyDescent="0.2">
      <c r="L13094" s="12"/>
      <c r="M13094" s="13"/>
    </row>
    <row r="13095" spans="12:13" x14ac:dyDescent="0.2">
      <c r="L13095" s="12"/>
      <c r="M13095" s="13"/>
    </row>
    <row r="13096" spans="12:13" x14ac:dyDescent="0.2">
      <c r="L13096" s="12"/>
      <c r="M13096" s="13"/>
    </row>
    <row r="13097" spans="12:13" x14ac:dyDescent="0.2">
      <c r="L13097" s="12"/>
      <c r="M13097" s="13"/>
    </row>
    <row r="13098" spans="12:13" x14ac:dyDescent="0.2">
      <c r="L13098" s="12"/>
      <c r="M13098" s="13"/>
    </row>
    <row r="13099" spans="12:13" x14ac:dyDescent="0.2">
      <c r="L13099" s="12"/>
      <c r="M13099" s="13"/>
    </row>
    <row r="13100" spans="12:13" x14ac:dyDescent="0.2">
      <c r="L13100" s="12"/>
      <c r="M13100" s="13"/>
    </row>
    <row r="13101" spans="12:13" x14ac:dyDescent="0.2">
      <c r="L13101" s="12"/>
      <c r="M13101" s="13"/>
    </row>
    <row r="13102" spans="12:13" x14ac:dyDescent="0.2">
      <c r="L13102" s="12"/>
      <c r="M13102" s="13"/>
    </row>
    <row r="13103" spans="12:13" x14ac:dyDescent="0.2">
      <c r="L13103" s="12"/>
      <c r="M13103" s="13"/>
    </row>
    <row r="13104" spans="12:13" x14ac:dyDescent="0.2">
      <c r="L13104" s="12"/>
      <c r="M13104" s="13"/>
    </row>
    <row r="13105" spans="12:13" x14ac:dyDescent="0.2">
      <c r="L13105" s="12"/>
      <c r="M13105" s="13"/>
    </row>
    <row r="13106" spans="12:13" x14ac:dyDescent="0.2">
      <c r="L13106" s="12"/>
      <c r="M13106" s="13"/>
    </row>
    <row r="13107" spans="12:13" x14ac:dyDescent="0.2">
      <c r="L13107" s="12"/>
      <c r="M13107" s="13"/>
    </row>
    <row r="13108" spans="12:13" x14ac:dyDescent="0.2">
      <c r="L13108" s="12"/>
      <c r="M13108" s="13"/>
    </row>
    <row r="13109" spans="12:13" x14ac:dyDescent="0.2">
      <c r="L13109" s="12"/>
      <c r="M13109" s="13"/>
    </row>
    <row r="13110" spans="12:13" x14ac:dyDescent="0.2">
      <c r="L13110" s="12"/>
      <c r="M13110" s="13"/>
    </row>
    <row r="13111" spans="12:13" x14ac:dyDescent="0.2">
      <c r="L13111" s="12"/>
      <c r="M13111" s="13"/>
    </row>
    <row r="13112" spans="12:13" x14ac:dyDescent="0.2">
      <c r="L13112" s="12"/>
      <c r="M13112" s="13"/>
    </row>
    <row r="13113" spans="12:13" x14ac:dyDescent="0.2">
      <c r="L13113" s="12"/>
      <c r="M13113" s="13"/>
    </row>
    <row r="13114" spans="12:13" x14ac:dyDescent="0.2">
      <c r="L13114" s="12"/>
      <c r="M13114" s="13"/>
    </row>
    <row r="13115" spans="12:13" x14ac:dyDescent="0.2">
      <c r="L13115" s="12"/>
      <c r="M13115" s="13"/>
    </row>
    <row r="13116" spans="12:13" x14ac:dyDescent="0.2">
      <c r="L13116" s="12"/>
      <c r="M13116" s="13"/>
    </row>
    <row r="13117" spans="12:13" x14ac:dyDescent="0.2">
      <c r="L13117" s="12"/>
      <c r="M13117" s="13"/>
    </row>
    <row r="13118" spans="12:13" x14ac:dyDescent="0.2">
      <c r="L13118" s="12"/>
      <c r="M13118" s="13"/>
    </row>
    <row r="13119" spans="12:13" x14ac:dyDescent="0.2">
      <c r="L13119" s="12"/>
      <c r="M13119" s="13"/>
    </row>
    <row r="13120" spans="12:13" x14ac:dyDescent="0.2">
      <c r="L13120" s="12"/>
      <c r="M13120" s="13"/>
    </row>
    <row r="13121" spans="12:13" x14ac:dyDescent="0.2">
      <c r="L13121" s="12"/>
      <c r="M13121" s="13"/>
    </row>
    <row r="13122" spans="12:13" x14ac:dyDescent="0.2">
      <c r="L13122" s="12"/>
      <c r="M13122" s="13"/>
    </row>
    <row r="13123" spans="12:13" x14ac:dyDescent="0.2">
      <c r="L13123" s="12"/>
      <c r="M13123" s="13"/>
    </row>
    <row r="13124" spans="12:13" x14ac:dyDescent="0.2">
      <c r="L13124" s="12"/>
      <c r="M13124" s="13"/>
    </row>
    <row r="13125" spans="12:13" x14ac:dyDescent="0.2">
      <c r="L13125" s="12"/>
      <c r="M13125" s="13"/>
    </row>
    <row r="13126" spans="12:13" x14ac:dyDescent="0.2">
      <c r="L13126" s="12"/>
      <c r="M13126" s="13"/>
    </row>
    <row r="13127" spans="12:13" x14ac:dyDescent="0.2">
      <c r="L13127" s="12"/>
      <c r="M13127" s="13"/>
    </row>
    <row r="13128" spans="12:13" x14ac:dyDescent="0.2">
      <c r="L13128" s="12"/>
      <c r="M13128" s="13"/>
    </row>
    <row r="13129" spans="12:13" x14ac:dyDescent="0.2">
      <c r="L13129" s="12"/>
      <c r="M13129" s="13"/>
    </row>
    <row r="13130" spans="12:13" x14ac:dyDescent="0.2">
      <c r="L13130" s="12"/>
      <c r="M13130" s="13"/>
    </row>
    <row r="13131" spans="12:13" x14ac:dyDescent="0.2">
      <c r="L13131" s="12"/>
      <c r="M13131" s="13"/>
    </row>
    <row r="13132" spans="12:13" x14ac:dyDescent="0.2">
      <c r="L13132" s="12"/>
      <c r="M13132" s="13"/>
    </row>
    <row r="13133" spans="12:13" x14ac:dyDescent="0.2">
      <c r="L13133" s="12"/>
      <c r="M13133" s="13"/>
    </row>
    <row r="13134" spans="12:13" x14ac:dyDescent="0.2">
      <c r="L13134" s="12"/>
      <c r="M13134" s="13"/>
    </row>
    <row r="13135" spans="12:13" x14ac:dyDescent="0.2">
      <c r="L13135" s="12"/>
      <c r="M13135" s="13"/>
    </row>
    <row r="13136" spans="12:13" x14ac:dyDescent="0.2">
      <c r="L13136" s="12"/>
      <c r="M13136" s="13"/>
    </row>
    <row r="13137" spans="12:13" x14ac:dyDescent="0.2">
      <c r="L13137" s="12"/>
      <c r="M13137" s="13"/>
    </row>
    <row r="13138" spans="12:13" x14ac:dyDescent="0.2">
      <c r="L13138" s="12"/>
      <c r="M13138" s="13"/>
    </row>
    <row r="13139" spans="12:13" x14ac:dyDescent="0.2">
      <c r="L13139" s="12"/>
      <c r="M13139" s="13"/>
    </row>
    <row r="13140" spans="12:13" x14ac:dyDescent="0.2">
      <c r="L13140" s="12"/>
      <c r="M13140" s="13"/>
    </row>
    <row r="13141" spans="12:13" x14ac:dyDescent="0.2">
      <c r="L13141" s="12"/>
      <c r="M13141" s="13"/>
    </row>
    <row r="13142" spans="12:13" x14ac:dyDescent="0.2">
      <c r="L13142" s="12"/>
      <c r="M13142" s="13"/>
    </row>
    <row r="13143" spans="12:13" x14ac:dyDescent="0.2">
      <c r="L13143" s="12"/>
      <c r="M13143" s="13"/>
    </row>
    <row r="13144" spans="12:13" x14ac:dyDescent="0.2">
      <c r="L13144" s="12"/>
      <c r="M13144" s="13"/>
    </row>
    <row r="13145" spans="12:13" x14ac:dyDescent="0.2">
      <c r="L13145" s="12"/>
      <c r="M13145" s="13"/>
    </row>
    <row r="13146" spans="12:13" x14ac:dyDescent="0.2">
      <c r="L13146" s="12"/>
      <c r="M13146" s="13"/>
    </row>
    <row r="13147" spans="12:13" x14ac:dyDescent="0.2">
      <c r="L13147" s="12"/>
      <c r="M13147" s="13"/>
    </row>
    <row r="13148" spans="12:13" x14ac:dyDescent="0.2">
      <c r="L13148" s="12"/>
      <c r="M13148" s="13"/>
    </row>
    <row r="13149" spans="12:13" x14ac:dyDescent="0.2">
      <c r="L13149" s="12"/>
      <c r="M13149" s="13"/>
    </row>
    <row r="13150" spans="12:13" x14ac:dyDescent="0.2">
      <c r="L13150" s="12"/>
      <c r="M13150" s="13"/>
    </row>
    <row r="13151" spans="12:13" x14ac:dyDescent="0.2">
      <c r="L13151" s="12"/>
      <c r="M13151" s="13"/>
    </row>
    <row r="13152" spans="12:13" x14ac:dyDescent="0.2">
      <c r="L13152" s="12"/>
      <c r="M13152" s="13"/>
    </row>
    <row r="13153" spans="12:13" x14ac:dyDescent="0.2">
      <c r="L13153" s="12"/>
      <c r="M13153" s="13"/>
    </row>
    <row r="13154" spans="12:13" x14ac:dyDescent="0.2">
      <c r="L13154" s="12"/>
      <c r="M13154" s="13"/>
    </row>
    <row r="13155" spans="12:13" x14ac:dyDescent="0.2">
      <c r="L13155" s="12"/>
      <c r="M13155" s="13"/>
    </row>
    <row r="13156" spans="12:13" x14ac:dyDescent="0.2">
      <c r="L13156" s="12"/>
      <c r="M13156" s="13"/>
    </row>
    <row r="13157" spans="12:13" x14ac:dyDescent="0.2">
      <c r="L13157" s="12"/>
      <c r="M13157" s="13"/>
    </row>
    <row r="13158" spans="12:13" x14ac:dyDescent="0.2">
      <c r="L13158" s="12"/>
      <c r="M13158" s="13"/>
    </row>
    <row r="13159" spans="12:13" x14ac:dyDescent="0.2">
      <c r="L13159" s="12"/>
      <c r="M13159" s="13"/>
    </row>
    <row r="13160" spans="12:13" x14ac:dyDescent="0.2">
      <c r="L13160" s="12"/>
      <c r="M13160" s="13"/>
    </row>
    <row r="13161" spans="12:13" x14ac:dyDescent="0.2">
      <c r="L13161" s="12"/>
      <c r="M13161" s="13"/>
    </row>
    <row r="13162" spans="12:13" x14ac:dyDescent="0.2">
      <c r="L13162" s="12"/>
      <c r="M13162" s="13"/>
    </row>
    <row r="13163" spans="12:13" x14ac:dyDescent="0.2">
      <c r="L13163" s="12"/>
      <c r="M13163" s="13"/>
    </row>
    <row r="13164" spans="12:13" x14ac:dyDescent="0.2">
      <c r="L13164" s="12"/>
      <c r="M13164" s="13"/>
    </row>
    <row r="13165" spans="12:13" x14ac:dyDescent="0.2">
      <c r="L13165" s="12"/>
      <c r="M13165" s="13"/>
    </row>
    <row r="13166" spans="12:13" x14ac:dyDescent="0.2">
      <c r="L13166" s="12"/>
      <c r="M13166" s="13"/>
    </row>
    <row r="13167" spans="12:13" x14ac:dyDescent="0.2">
      <c r="L13167" s="12"/>
      <c r="M13167" s="13"/>
    </row>
    <row r="13168" spans="12:13" x14ac:dyDescent="0.2">
      <c r="L13168" s="12"/>
      <c r="M13168" s="13"/>
    </row>
    <row r="13169" spans="12:13" x14ac:dyDescent="0.2">
      <c r="L13169" s="12"/>
      <c r="M13169" s="13"/>
    </row>
    <row r="13170" spans="12:13" x14ac:dyDescent="0.2">
      <c r="L13170" s="12"/>
      <c r="M13170" s="13"/>
    </row>
    <row r="13171" spans="12:13" x14ac:dyDescent="0.2">
      <c r="L13171" s="12"/>
      <c r="M13171" s="13"/>
    </row>
    <row r="13172" spans="12:13" x14ac:dyDescent="0.2">
      <c r="L13172" s="12"/>
      <c r="M13172" s="13"/>
    </row>
    <row r="13173" spans="12:13" x14ac:dyDescent="0.2">
      <c r="L13173" s="12"/>
      <c r="M13173" s="13"/>
    </row>
    <row r="13174" spans="12:13" x14ac:dyDescent="0.2">
      <c r="L13174" s="12"/>
      <c r="M13174" s="13"/>
    </row>
    <row r="13175" spans="12:13" x14ac:dyDescent="0.2">
      <c r="L13175" s="12"/>
      <c r="M13175" s="13"/>
    </row>
    <row r="13176" spans="12:13" x14ac:dyDescent="0.2">
      <c r="L13176" s="12"/>
      <c r="M13176" s="13"/>
    </row>
    <row r="13177" spans="12:13" x14ac:dyDescent="0.2">
      <c r="L13177" s="12"/>
      <c r="M13177" s="13"/>
    </row>
    <row r="13178" spans="12:13" x14ac:dyDescent="0.2">
      <c r="L13178" s="12"/>
      <c r="M13178" s="13"/>
    </row>
    <row r="13179" spans="12:13" x14ac:dyDescent="0.2">
      <c r="L13179" s="12"/>
      <c r="M13179" s="13"/>
    </row>
    <row r="13180" spans="12:13" x14ac:dyDescent="0.2">
      <c r="L13180" s="12"/>
      <c r="M13180" s="13"/>
    </row>
    <row r="13181" spans="12:13" x14ac:dyDescent="0.2">
      <c r="L13181" s="12"/>
      <c r="M13181" s="13"/>
    </row>
    <row r="13182" spans="12:13" x14ac:dyDescent="0.2">
      <c r="L13182" s="12"/>
      <c r="M13182" s="13"/>
    </row>
    <row r="13183" spans="12:13" x14ac:dyDescent="0.2">
      <c r="L13183" s="12"/>
      <c r="M13183" s="13"/>
    </row>
    <row r="13184" spans="12:13" x14ac:dyDescent="0.2">
      <c r="L13184" s="12"/>
      <c r="M13184" s="13"/>
    </row>
    <row r="13185" spans="12:13" x14ac:dyDescent="0.2">
      <c r="L13185" s="12"/>
      <c r="M13185" s="13"/>
    </row>
    <row r="13186" spans="12:13" x14ac:dyDescent="0.2">
      <c r="L13186" s="12"/>
      <c r="M13186" s="13"/>
    </row>
    <row r="13187" spans="12:13" x14ac:dyDescent="0.2">
      <c r="L13187" s="12"/>
      <c r="M13187" s="13"/>
    </row>
    <row r="13188" spans="12:13" x14ac:dyDescent="0.2">
      <c r="L13188" s="12"/>
      <c r="M13188" s="13"/>
    </row>
    <row r="13189" spans="12:13" x14ac:dyDescent="0.2">
      <c r="L13189" s="12"/>
      <c r="M13189" s="13"/>
    </row>
    <row r="13190" spans="12:13" x14ac:dyDescent="0.2">
      <c r="L13190" s="12"/>
      <c r="M13190" s="13"/>
    </row>
    <row r="13191" spans="12:13" x14ac:dyDescent="0.2">
      <c r="L13191" s="12"/>
      <c r="M13191" s="13"/>
    </row>
    <row r="13192" spans="12:13" x14ac:dyDescent="0.2">
      <c r="L13192" s="12"/>
      <c r="M13192" s="13"/>
    </row>
    <row r="13193" spans="12:13" x14ac:dyDescent="0.2">
      <c r="L13193" s="12"/>
      <c r="M13193" s="13"/>
    </row>
    <row r="13194" spans="12:13" x14ac:dyDescent="0.2">
      <c r="L13194" s="12"/>
      <c r="M13194" s="13"/>
    </row>
    <row r="13195" spans="12:13" x14ac:dyDescent="0.2">
      <c r="L13195" s="12"/>
      <c r="M13195" s="13"/>
    </row>
    <row r="13196" spans="12:13" x14ac:dyDescent="0.2">
      <c r="L13196" s="12"/>
      <c r="M13196" s="13"/>
    </row>
    <row r="13197" spans="12:13" x14ac:dyDescent="0.2">
      <c r="L13197" s="12"/>
      <c r="M13197" s="13"/>
    </row>
    <row r="13198" spans="12:13" x14ac:dyDescent="0.2">
      <c r="L13198" s="12"/>
      <c r="M13198" s="13"/>
    </row>
    <row r="13199" spans="12:13" x14ac:dyDescent="0.2">
      <c r="L13199" s="12"/>
      <c r="M13199" s="13"/>
    </row>
    <row r="13200" spans="12:13" x14ac:dyDescent="0.2">
      <c r="L13200" s="12"/>
      <c r="M13200" s="13"/>
    </row>
    <row r="13201" spans="12:13" x14ac:dyDescent="0.2">
      <c r="L13201" s="12"/>
      <c r="M13201" s="13"/>
    </row>
    <row r="13202" spans="12:13" x14ac:dyDescent="0.2">
      <c r="L13202" s="12"/>
      <c r="M13202" s="13"/>
    </row>
    <row r="13203" spans="12:13" x14ac:dyDescent="0.2">
      <c r="L13203" s="12"/>
      <c r="M13203" s="13"/>
    </row>
    <row r="13204" spans="12:13" x14ac:dyDescent="0.2">
      <c r="L13204" s="12"/>
      <c r="M13204" s="13"/>
    </row>
    <row r="13205" spans="12:13" x14ac:dyDescent="0.2">
      <c r="L13205" s="12"/>
      <c r="M13205" s="13"/>
    </row>
    <row r="13206" spans="12:13" x14ac:dyDescent="0.2">
      <c r="L13206" s="12"/>
      <c r="M13206" s="13"/>
    </row>
    <row r="13207" spans="12:13" x14ac:dyDescent="0.2">
      <c r="L13207" s="12"/>
      <c r="M13207" s="13"/>
    </row>
    <row r="13208" spans="12:13" x14ac:dyDescent="0.2">
      <c r="L13208" s="12"/>
      <c r="M13208" s="13"/>
    </row>
    <row r="13209" spans="12:13" x14ac:dyDescent="0.2">
      <c r="L13209" s="12"/>
      <c r="M13209" s="13"/>
    </row>
    <row r="13210" spans="12:13" x14ac:dyDescent="0.2">
      <c r="L13210" s="12"/>
      <c r="M13210" s="13"/>
    </row>
    <row r="13211" spans="12:13" x14ac:dyDescent="0.2">
      <c r="L13211" s="12"/>
      <c r="M13211" s="13"/>
    </row>
    <row r="13212" spans="12:13" x14ac:dyDescent="0.2">
      <c r="L13212" s="12"/>
      <c r="M13212" s="13"/>
    </row>
    <row r="13213" spans="12:13" x14ac:dyDescent="0.2">
      <c r="L13213" s="12"/>
      <c r="M13213" s="13"/>
    </row>
    <row r="13214" spans="12:13" x14ac:dyDescent="0.2">
      <c r="L13214" s="12"/>
      <c r="M13214" s="13"/>
    </row>
    <row r="13215" spans="12:13" x14ac:dyDescent="0.2">
      <c r="L13215" s="12"/>
      <c r="M13215" s="13"/>
    </row>
    <row r="13216" spans="12:13" x14ac:dyDescent="0.2">
      <c r="L13216" s="12"/>
      <c r="M13216" s="13"/>
    </row>
    <row r="13217" spans="12:13" x14ac:dyDescent="0.2">
      <c r="L13217" s="12"/>
      <c r="M13217" s="13"/>
    </row>
    <row r="13218" spans="12:13" x14ac:dyDescent="0.2">
      <c r="L13218" s="12"/>
      <c r="M13218" s="13"/>
    </row>
    <row r="13219" spans="12:13" x14ac:dyDescent="0.2">
      <c r="L13219" s="12"/>
      <c r="M13219" s="13"/>
    </row>
    <row r="13220" spans="12:13" x14ac:dyDescent="0.2">
      <c r="L13220" s="12"/>
      <c r="M13220" s="13"/>
    </row>
    <row r="13221" spans="12:13" x14ac:dyDescent="0.2">
      <c r="L13221" s="12"/>
      <c r="M13221" s="13"/>
    </row>
    <row r="13222" spans="12:13" x14ac:dyDescent="0.2">
      <c r="L13222" s="12"/>
      <c r="M13222" s="13"/>
    </row>
    <row r="13223" spans="12:13" x14ac:dyDescent="0.2">
      <c r="L13223" s="12"/>
      <c r="M13223" s="13"/>
    </row>
    <row r="13224" spans="12:13" x14ac:dyDescent="0.2">
      <c r="L13224" s="12"/>
      <c r="M13224" s="13"/>
    </row>
    <row r="13225" spans="12:13" x14ac:dyDescent="0.2">
      <c r="L13225" s="12"/>
      <c r="M13225" s="13"/>
    </row>
    <row r="13226" spans="12:13" x14ac:dyDescent="0.2">
      <c r="L13226" s="12"/>
      <c r="M13226" s="13"/>
    </row>
    <row r="13227" spans="12:13" x14ac:dyDescent="0.2">
      <c r="L13227" s="12"/>
      <c r="M13227" s="13"/>
    </row>
    <row r="13228" spans="12:13" x14ac:dyDescent="0.2">
      <c r="L13228" s="12"/>
      <c r="M13228" s="13"/>
    </row>
    <row r="13229" spans="12:13" x14ac:dyDescent="0.2">
      <c r="L13229" s="12"/>
      <c r="M13229" s="13"/>
    </row>
    <row r="13230" spans="12:13" x14ac:dyDescent="0.2">
      <c r="L13230" s="12"/>
      <c r="M13230" s="13"/>
    </row>
    <row r="13231" spans="12:13" x14ac:dyDescent="0.2">
      <c r="L13231" s="12"/>
      <c r="M13231" s="13"/>
    </row>
    <row r="13232" spans="12:13" x14ac:dyDescent="0.2">
      <c r="L13232" s="12"/>
      <c r="M13232" s="13"/>
    </row>
    <row r="13233" spans="12:13" x14ac:dyDescent="0.2">
      <c r="L13233" s="12"/>
      <c r="M13233" s="13"/>
    </row>
    <row r="13234" spans="12:13" x14ac:dyDescent="0.2">
      <c r="L13234" s="12"/>
      <c r="M13234" s="13"/>
    </row>
    <row r="13235" spans="12:13" x14ac:dyDescent="0.2">
      <c r="L13235" s="12"/>
      <c r="M13235" s="13"/>
    </row>
    <row r="13236" spans="12:13" x14ac:dyDescent="0.2">
      <c r="L13236" s="12"/>
      <c r="M13236" s="13"/>
    </row>
    <row r="13237" spans="12:13" x14ac:dyDescent="0.2">
      <c r="L13237" s="12"/>
      <c r="M13237" s="13"/>
    </row>
    <row r="13238" spans="12:13" x14ac:dyDescent="0.2">
      <c r="L13238" s="12"/>
      <c r="M13238" s="13"/>
    </row>
    <row r="13239" spans="12:13" x14ac:dyDescent="0.2">
      <c r="L13239" s="12"/>
      <c r="M13239" s="13"/>
    </row>
    <row r="13240" spans="12:13" x14ac:dyDescent="0.2">
      <c r="L13240" s="12"/>
      <c r="M13240" s="13"/>
    </row>
    <row r="13241" spans="12:13" x14ac:dyDescent="0.2">
      <c r="L13241" s="12"/>
      <c r="M13241" s="13"/>
    </row>
    <row r="13242" spans="12:13" x14ac:dyDescent="0.2">
      <c r="L13242" s="12"/>
      <c r="M13242" s="13"/>
    </row>
    <row r="13243" spans="12:13" x14ac:dyDescent="0.2">
      <c r="L13243" s="12"/>
      <c r="M13243" s="13"/>
    </row>
    <row r="13244" spans="12:13" x14ac:dyDescent="0.2">
      <c r="L13244" s="12"/>
      <c r="M13244" s="13"/>
    </row>
    <row r="13245" spans="12:13" x14ac:dyDescent="0.2">
      <c r="L13245" s="12"/>
      <c r="M13245" s="13"/>
    </row>
    <row r="13246" spans="12:13" x14ac:dyDescent="0.2">
      <c r="L13246" s="12"/>
      <c r="M13246" s="13"/>
    </row>
    <row r="13247" spans="12:13" x14ac:dyDescent="0.2">
      <c r="L13247" s="12"/>
      <c r="M13247" s="13"/>
    </row>
    <row r="13248" spans="12:13" x14ac:dyDescent="0.2">
      <c r="L13248" s="12"/>
      <c r="M13248" s="13"/>
    </row>
    <row r="13249" spans="12:13" x14ac:dyDescent="0.2">
      <c r="L13249" s="12"/>
      <c r="M13249" s="13"/>
    </row>
    <row r="13250" spans="12:13" x14ac:dyDescent="0.2">
      <c r="L13250" s="12"/>
      <c r="M13250" s="13"/>
    </row>
    <row r="13251" spans="12:13" x14ac:dyDescent="0.2">
      <c r="L13251" s="12"/>
      <c r="M13251" s="13"/>
    </row>
    <row r="13252" spans="12:13" x14ac:dyDescent="0.2">
      <c r="L13252" s="12"/>
      <c r="M13252" s="13"/>
    </row>
    <row r="13253" spans="12:13" x14ac:dyDescent="0.2">
      <c r="L13253" s="12"/>
      <c r="M13253" s="13"/>
    </row>
    <row r="13254" spans="12:13" x14ac:dyDescent="0.2">
      <c r="L13254" s="12"/>
      <c r="M13254" s="13"/>
    </row>
    <row r="13255" spans="12:13" x14ac:dyDescent="0.2">
      <c r="L13255" s="12"/>
      <c r="M13255" s="13"/>
    </row>
    <row r="13256" spans="12:13" x14ac:dyDescent="0.2">
      <c r="L13256" s="12"/>
      <c r="M13256" s="13"/>
    </row>
    <row r="13257" spans="12:13" x14ac:dyDescent="0.2">
      <c r="L13257" s="12"/>
      <c r="M13257" s="13"/>
    </row>
    <row r="13258" spans="12:13" x14ac:dyDescent="0.2">
      <c r="L13258" s="12"/>
      <c r="M13258" s="13"/>
    </row>
    <row r="13259" spans="12:13" x14ac:dyDescent="0.2">
      <c r="L13259" s="12"/>
      <c r="M13259" s="13"/>
    </row>
    <row r="13260" spans="12:13" x14ac:dyDescent="0.2">
      <c r="L13260" s="12"/>
      <c r="M13260" s="13"/>
    </row>
    <row r="13261" spans="12:13" x14ac:dyDescent="0.2">
      <c r="L13261" s="12"/>
      <c r="M13261" s="13"/>
    </row>
    <row r="13262" spans="12:13" x14ac:dyDescent="0.2">
      <c r="L13262" s="12"/>
      <c r="M13262" s="13"/>
    </row>
    <row r="13263" spans="12:13" x14ac:dyDescent="0.2">
      <c r="L13263" s="12"/>
      <c r="M13263" s="13"/>
    </row>
    <row r="13264" spans="12:13" x14ac:dyDescent="0.2">
      <c r="L13264" s="12"/>
      <c r="M13264" s="13"/>
    </row>
    <row r="13265" spans="12:13" x14ac:dyDescent="0.2">
      <c r="L13265" s="12"/>
      <c r="M13265" s="13"/>
    </row>
    <row r="13266" spans="12:13" x14ac:dyDescent="0.2">
      <c r="L13266" s="12"/>
      <c r="M13266" s="13"/>
    </row>
    <row r="13267" spans="12:13" x14ac:dyDescent="0.2">
      <c r="L13267" s="12"/>
      <c r="M13267" s="13"/>
    </row>
    <row r="13268" spans="12:13" x14ac:dyDescent="0.2">
      <c r="L13268" s="12"/>
      <c r="M13268" s="13"/>
    </row>
    <row r="13269" spans="12:13" x14ac:dyDescent="0.2">
      <c r="L13269" s="12"/>
      <c r="M13269" s="13"/>
    </row>
    <row r="13270" spans="12:13" x14ac:dyDescent="0.2">
      <c r="L13270" s="12"/>
      <c r="M13270" s="13"/>
    </row>
    <row r="13271" spans="12:13" x14ac:dyDescent="0.2">
      <c r="L13271" s="12"/>
      <c r="M13271" s="13"/>
    </row>
    <row r="13272" spans="12:13" x14ac:dyDescent="0.2">
      <c r="L13272" s="12"/>
      <c r="M13272" s="13"/>
    </row>
    <row r="13273" spans="12:13" x14ac:dyDescent="0.2">
      <c r="L13273" s="12"/>
      <c r="M13273" s="13"/>
    </row>
    <row r="13274" spans="12:13" x14ac:dyDescent="0.2">
      <c r="L13274" s="12"/>
      <c r="M13274" s="13"/>
    </row>
    <row r="13275" spans="12:13" x14ac:dyDescent="0.2">
      <c r="L13275" s="12"/>
      <c r="M13275" s="13"/>
    </row>
    <row r="13276" spans="12:13" x14ac:dyDescent="0.2">
      <c r="L13276" s="12"/>
      <c r="M13276" s="13"/>
    </row>
    <row r="13277" spans="12:13" x14ac:dyDescent="0.2">
      <c r="L13277" s="12"/>
      <c r="M13277" s="13"/>
    </row>
    <row r="13278" spans="12:13" x14ac:dyDescent="0.2">
      <c r="L13278" s="12"/>
      <c r="M13278" s="13"/>
    </row>
    <row r="13279" spans="12:13" x14ac:dyDescent="0.2">
      <c r="L13279" s="12"/>
      <c r="M13279" s="13"/>
    </row>
    <row r="13280" spans="12:13" x14ac:dyDescent="0.2">
      <c r="L13280" s="12"/>
      <c r="M13280" s="13"/>
    </row>
    <row r="13281" spans="12:13" x14ac:dyDescent="0.2">
      <c r="L13281" s="12"/>
      <c r="M13281" s="13"/>
    </row>
    <row r="13282" spans="12:13" x14ac:dyDescent="0.2">
      <c r="L13282" s="12"/>
      <c r="M13282" s="13"/>
    </row>
    <row r="13283" spans="12:13" x14ac:dyDescent="0.2">
      <c r="L13283" s="12"/>
      <c r="M13283" s="13"/>
    </row>
    <row r="13284" spans="12:13" x14ac:dyDescent="0.2">
      <c r="L13284" s="12"/>
      <c r="M13284" s="13"/>
    </row>
    <row r="13285" spans="12:13" x14ac:dyDescent="0.2">
      <c r="L13285" s="12"/>
      <c r="M13285" s="13"/>
    </row>
    <row r="13286" spans="12:13" x14ac:dyDescent="0.2">
      <c r="L13286" s="12"/>
      <c r="M13286" s="13"/>
    </row>
    <row r="13287" spans="12:13" x14ac:dyDescent="0.2">
      <c r="L13287" s="12"/>
      <c r="M13287" s="13"/>
    </row>
    <row r="13288" spans="12:13" x14ac:dyDescent="0.2">
      <c r="L13288" s="12"/>
      <c r="M13288" s="13"/>
    </row>
    <row r="13289" spans="12:13" x14ac:dyDescent="0.2">
      <c r="L13289" s="12"/>
      <c r="M13289" s="13"/>
    </row>
    <row r="13290" spans="12:13" x14ac:dyDescent="0.2">
      <c r="L13290" s="12"/>
      <c r="M13290" s="13"/>
    </row>
    <row r="13291" spans="12:13" x14ac:dyDescent="0.2">
      <c r="L13291" s="12"/>
      <c r="M13291" s="13"/>
    </row>
    <row r="13292" spans="12:13" x14ac:dyDescent="0.2">
      <c r="L13292" s="12"/>
      <c r="M13292" s="13"/>
    </row>
    <row r="13293" spans="12:13" x14ac:dyDescent="0.2">
      <c r="L13293" s="12"/>
      <c r="M13293" s="13"/>
    </row>
    <row r="13294" spans="12:13" x14ac:dyDescent="0.2">
      <c r="L13294" s="12"/>
      <c r="M13294" s="13"/>
    </row>
    <row r="13295" spans="12:13" x14ac:dyDescent="0.2">
      <c r="L13295" s="12"/>
      <c r="M13295" s="13"/>
    </row>
    <row r="13296" spans="12:13" x14ac:dyDescent="0.2">
      <c r="L13296" s="12"/>
      <c r="M13296" s="13"/>
    </row>
    <row r="13297" spans="12:13" x14ac:dyDescent="0.2">
      <c r="L13297" s="12"/>
      <c r="M13297" s="13"/>
    </row>
    <row r="13298" spans="12:13" x14ac:dyDescent="0.2">
      <c r="L13298" s="12"/>
      <c r="M13298" s="13"/>
    </row>
    <row r="13299" spans="12:13" x14ac:dyDescent="0.2">
      <c r="L13299" s="12"/>
      <c r="M13299" s="13"/>
    </row>
    <row r="13300" spans="12:13" x14ac:dyDescent="0.2">
      <c r="L13300" s="12"/>
      <c r="M13300" s="13"/>
    </row>
    <row r="13301" spans="12:13" x14ac:dyDescent="0.2">
      <c r="L13301" s="12"/>
      <c r="M13301" s="13"/>
    </row>
    <row r="13302" spans="12:13" x14ac:dyDescent="0.2">
      <c r="L13302" s="12"/>
      <c r="M13302" s="13"/>
    </row>
    <row r="13303" spans="12:13" x14ac:dyDescent="0.2">
      <c r="L13303" s="12"/>
      <c r="M13303" s="13"/>
    </row>
    <row r="13304" spans="12:13" x14ac:dyDescent="0.2">
      <c r="L13304" s="12"/>
      <c r="M13304" s="13"/>
    </row>
    <row r="13305" spans="12:13" x14ac:dyDescent="0.2">
      <c r="L13305" s="12"/>
      <c r="M13305" s="13"/>
    </row>
    <row r="13306" spans="12:13" x14ac:dyDescent="0.2">
      <c r="L13306" s="12"/>
      <c r="M13306" s="13"/>
    </row>
    <row r="13307" spans="12:13" x14ac:dyDescent="0.2">
      <c r="L13307" s="12"/>
      <c r="M13307" s="13"/>
    </row>
    <row r="13308" spans="12:13" x14ac:dyDescent="0.2">
      <c r="L13308" s="12"/>
      <c r="M13308" s="13"/>
    </row>
    <row r="13309" spans="12:13" x14ac:dyDescent="0.2">
      <c r="L13309" s="12"/>
      <c r="M13309" s="13"/>
    </row>
    <row r="13310" spans="12:13" x14ac:dyDescent="0.2">
      <c r="L13310" s="12"/>
      <c r="M13310" s="13"/>
    </row>
    <row r="13311" spans="12:13" x14ac:dyDescent="0.2">
      <c r="L13311" s="12"/>
      <c r="M13311" s="13"/>
    </row>
    <row r="13312" spans="12:13" x14ac:dyDescent="0.2">
      <c r="L13312" s="12"/>
      <c r="M13312" s="13"/>
    </row>
    <row r="13313" spans="12:13" x14ac:dyDescent="0.2">
      <c r="L13313" s="12"/>
      <c r="M13313" s="13"/>
    </row>
    <row r="13314" spans="12:13" x14ac:dyDescent="0.2">
      <c r="L13314" s="17"/>
      <c r="M13314" s="18"/>
    </row>
    <row r="13315" spans="12:13" x14ac:dyDescent="0.2">
      <c r="L13315" s="12"/>
      <c r="M13315" s="13"/>
    </row>
    <row r="13316" spans="12:13" x14ac:dyDescent="0.2">
      <c r="L13316" s="12"/>
      <c r="M13316" s="13"/>
    </row>
    <row r="13317" spans="12:13" x14ac:dyDescent="0.2">
      <c r="L13317" s="12"/>
      <c r="M13317" s="13"/>
    </row>
    <row r="13318" spans="12:13" x14ac:dyDescent="0.2">
      <c r="L13318" s="12"/>
      <c r="M13318" s="13"/>
    </row>
    <row r="13319" spans="12:13" x14ac:dyDescent="0.2">
      <c r="L13319" s="12"/>
      <c r="M13319" s="13"/>
    </row>
    <row r="13320" spans="12:13" x14ac:dyDescent="0.2">
      <c r="L13320" s="12"/>
      <c r="M13320" s="13"/>
    </row>
    <row r="13321" spans="12:13" x14ac:dyDescent="0.2">
      <c r="L13321" s="12"/>
      <c r="M13321" s="13"/>
    </row>
    <row r="13322" spans="12:13" x14ac:dyDescent="0.2">
      <c r="L13322" s="12"/>
      <c r="M13322" s="13"/>
    </row>
    <row r="13323" spans="12:13" x14ac:dyDescent="0.2">
      <c r="L13323" s="12"/>
      <c r="M13323" s="13"/>
    </row>
    <row r="13324" spans="12:13" x14ac:dyDescent="0.2">
      <c r="L13324" s="12"/>
      <c r="M13324" s="13"/>
    </row>
    <row r="13325" spans="12:13" x14ac:dyDescent="0.2">
      <c r="L13325" s="12"/>
      <c r="M13325" s="13"/>
    </row>
    <row r="13326" spans="12:13" x14ac:dyDescent="0.2">
      <c r="L13326" s="12"/>
      <c r="M13326" s="13"/>
    </row>
    <row r="13327" spans="12:13" x14ac:dyDescent="0.2">
      <c r="L13327" s="12"/>
      <c r="M13327" s="13"/>
    </row>
    <row r="13328" spans="12:13" x14ac:dyDescent="0.2">
      <c r="L13328" s="12"/>
      <c r="M13328" s="13"/>
    </row>
    <row r="13329" spans="12:13" x14ac:dyDescent="0.2">
      <c r="L13329" s="12"/>
      <c r="M13329" s="13"/>
    </row>
    <row r="13330" spans="12:13" x14ac:dyDescent="0.2">
      <c r="L13330" s="12"/>
      <c r="M13330" s="13"/>
    </row>
    <row r="13331" spans="12:13" x14ac:dyDescent="0.2">
      <c r="L13331" s="12"/>
      <c r="M13331" s="13"/>
    </row>
    <row r="13332" spans="12:13" x14ac:dyDescent="0.2">
      <c r="L13332" s="12"/>
      <c r="M13332" s="13"/>
    </row>
    <row r="13333" spans="12:13" x14ac:dyDescent="0.2">
      <c r="L13333" s="12"/>
      <c r="M13333" s="13"/>
    </row>
    <row r="13334" spans="12:13" x14ac:dyDescent="0.2">
      <c r="L13334" s="12"/>
      <c r="M13334" s="13"/>
    </row>
    <row r="13335" spans="12:13" x14ac:dyDescent="0.2">
      <c r="L13335" s="12"/>
      <c r="M13335" s="13"/>
    </row>
    <row r="13336" spans="12:13" x14ac:dyDescent="0.2">
      <c r="L13336" s="12"/>
      <c r="M13336" s="13"/>
    </row>
    <row r="13337" spans="12:13" x14ac:dyDescent="0.2">
      <c r="L13337" s="12"/>
      <c r="M13337" s="13"/>
    </row>
    <row r="13338" spans="12:13" x14ac:dyDescent="0.2">
      <c r="L13338" s="12"/>
      <c r="M13338" s="13"/>
    </row>
    <row r="13339" spans="12:13" x14ac:dyDescent="0.2">
      <c r="L13339" s="12"/>
      <c r="M13339" s="13"/>
    </row>
    <row r="13340" spans="12:13" x14ac:dyDescent="0.2">
      <c r="L13340" s="12"/>
      <c r="M13340" s="13"/>
    </row>
    <row r="13341" spans="12:13" x14ac:dyDescent="0.2">
      <c r="L13341" s="12"/>
      <c r="M13341" s="13"/>
    </row>
    <row r="13342" spans="12:13" x14ac:dyDescent="0.2">
      <c r="L13342" s="12"/>
      <c r="M13342" s="13"/>
    </row>
    <row r="13343" spans="12:13" x14ac:dyDescent="0.2">
      <c r="L13343" s="12"/>
      <c r="M13343" s="13"/>
    </row>
    <row r="13344" spans="12:13" x14ac:dyDescent="0.2">
      <c r="L13344" s="12"/>
      <c r="M13344" s="13"/>
    </row>
    <row r="13345" spans="12:13" x14ac:dyDescent="0.2">
      <c r="L13345" s="12"/>
      <c r="M13345" s="13"/>
    </row>
    <row r="13346" spans="12:13" x14ac:dyDescent="0.2">
      <c r="L13346" s="12"/>
      <c r="M13346" s="13"/>
    </row>
    <row r="13347" spans="12:13" x14ac:dyDescent="0.2">
      <c r="L13347" s="12"/>
      <c r="M13347" s="13"/>
    </row>
    <row r="13348" spans="12:13" x14ac:dyDescent="0.2">
      <c r="L13348" s="12"/>
      <c r="M13348" s="13"/>
    </row>
    <row r="13349" spans="12:13" x14ac:dyDescent="0.2">
      <c r="L13349" s="12"/>
      <c r="M13349" s="13"/>
    </row>
    <row r="13350" spans="12:13" x14ac:dyDescent="0.2">
      <c r="L13350" s="12"/>
      <c r="M13350" s="13"/>
    </row>
    <row r="13351" spans="12:13" x14ac:dyDescent="0.2">
      <c r="L13351" s="12"/>
      <c r="M13351" s="13"/>
    </row>
    <row r="13352" spans="12:13" x14ac:dyDescent="0.2">
      <c r="L13352" s="12"/>
      <c r="M13352" s="13"/>
    </row>
    <row r="13353" spans="12:13" x14ac:dyDescent="0.2">
      <c r="L13353" s="12"/>
      <c r="M13353" s="13"/>
    </row>
    <row r="13354" spans="12:13" x14ac:dyDescent="0.2">
      <c r="L13354" s="12"/>
      <c r="M13354" s="13"/>
    </row>
    <row r="13355" spans="12:13" x14ac:dyDescent="0.2">
      <c r="L13355" s="12"/>
      <c r="M13355" s="13"/>
    </row>
    <row r="13356" spans="12:13" x14ac:dyDescent="0.2">
      <c r="L13356" s="12"/>
      <c r="M13356" s="13"/>
    </row>
    <row r="13357" spans="12:13" x14ac:dyDescent="0.2">
      <c r="L13357" s="12"/>
      <c r="M13357" s="13"/>
    </row>
    <row r="13358" spans="12:13" x14ac:dyDescent="0.2">
      <c r="L13358" s="12"/>
      <c r="M13358" s="13"/>
    </row>
    <row r="13359" spans="12:13" x14ac:dyDescent="0.2">
      <c r="L13359" s="12"/>
      <c r="M13359" s="13"/>
    </row>
    <row r="13360" spans="12:13" x14ac:dyDescent="0.2">
      <c r="L13360" s="12"/>
      <c r="M13360" s="13"/>
    </row>
    <row r="13361" spans="12:13" x14ac:dyDescent="0.2">
      <c r="L13361" s="12"/>
      <c r="M13361" s="13"/>
    </row>
    <row r="13362" spans="12:13" x14ac:dyDescent="0.2">
      <c r="L13362" s="12"/>
      <c r="M13362" s="13"/>
    </row>
    <row r="13363" spans="12:13" x14ac:dyDescent="0.2">
      <c r="L13363" s="12"/>
      <c r="M13363" s="13"/>
    </row>
    <row r="13364" spans="12:13" x14ac:dyDescent="0.2">
      <c r="L13364" s="12"/>
      <c r="M13364" s="13"/>
    </row>
    <row r="13365" spans="12:13" x14ac:dyDescent="0.2">
      <c r="L13365" s="12"/>
      <c r="M13365" s="13"/>
    </row>
    <row r="13366" spans="12:13" x14ac:dyDescent="0.2">
      <c r="L13366" s="12"/>
      <c r="M13366" s="13"/>
    </row>
    <row r="13367" spans="12:13" x14ac:dyDescent="0.2">
      <c r="L13367" s="12"/>
      <c r="M13367" s="13"/>
    </row>
    <row r="13368" spans="12:13" x14ac:dyDescent="0.2">
      <c r="L13368" s="12"/>
      <c r="M13368" s="13"/>
    </row>
    <row r="13369" spans="12:13" x14ac:dyDescent="0.2">
      <c r="L13369" s="12"/>
      <c r="M13369" s="13"/>
    </row>
    <row r="13370" spans="12:13" x14ac:dyDescent="0.2">
      <c r="L13370" s="12"/>
      <c r="M13370" s="13"/>
    </row>
    <row r="13371" spans="12:13" x14ac:dyDescent="0.2">
      <c r="L13371" s="12"/>
      <c r="M13371" s="13"/>
    </row>
    <row r="13372" spans="12:13" x14ac:dyDescent="0.2">
      <c r="L13372" s="12"/>
      <c r="M13372" s="13"/>
    </row>
    <row r="13373" spans="12:13" x14ac:dyDescent="0.2">
      <c r="L13373" s="12"/>
      <c r="M13373" s="13"/>
    </row>
    <row r="13374" spans="12:13" x14ac:dyDescent="0.2">
      <c r="L13374" s="12"/>
      <c r="M13374" s="13"/>
    </row>
    <row r="13375" spans="12:13" x14ac:dyDescent="0.2">
      <c r="L13375" s="12"/>
      <c r="M13375" s="13"/>
    </row>
    <row r="13376" spans="12:13" x14ac:dyDescent="0.2">
      <c r="L13376" s="12"/>
      <c r="M13376" s="13"/>
    </row>
    <row r="13377" spans="12:13" x14ac:dyDescent="0.2">
      <c r="L13377" s="12"/>
      <c r="M13377" s="13"/>
    </row>
    <row r="13378" spans="12:13" x14ac:dyDescent="0.2">
      <c r="L13378" s="12"/>
      <c r="M13378" s="13"/>
    </row>
    <row r="13379" spans="12:13" x14ac:dyDescent="0.2">
      <c r="L13379" s="12"/>
      <c r="M13379" s="13"/>
    </row>
    <row r="13380" spans="12:13" x14ac:dyDescent="0.2">
      <c r="L13380" s="12"/>
      <c r="M13380" s="13"/>
    </row>
    <row r="13381" spans="12:13" x14ac:dyDescent="0.2">
      <c r="L13381" s="12"/>
      <c r="M13381" s="13"/>
    </row>
    <row r="13382" spans="12:13" x14ac:dyDescent="0.2">
      <c r="L13382" s="12"/>
      <c r="M13382" s="13"/>
    </row>
    <row r="13383" spans="12:13" x14ac:dyDescent="0.2">
      <c r="L13383" s="12"/>
      <c r="M13383" s="13"/>
    </row>
    <row r="13384" spans="12:13" x14ac:dyDescent="0.2">
      <c r="L13384" s="12"/>
      <c r="M13384" s="13"/>
    </row>
    <row r="13385" spans="12:13" x14ac:dyDescent="0.2">
      <c r="L13385" s="12"/>
      <c r="M13385" s="13"/>
    </row>
    <row r="13386" spans="12:13" x14ac:dyDescent="0.2">
      <c r="L13386" s="12"/>
      <c r="M13386" s="13"/>
    </row>
    <row r="13387" spans="12:13" x14ac:dyDescent="0.2">
      <c r="L13387" s="12"/>
      <c r="M13387" s="13"/>
    </row>
    <row r="13388" spans="12:13" x14ac:dyDescent="0.2">
      <c r="L13388" s="12"/>
      <c r="M13388" s="13"/>
    </row>
    <row r="13389" spans="12:13" x14ac:dyDescent="0.2">
      <c r="L13389" s="12"/>
      <c r="M13389" s="13"/>
    </row>
    <row r="13390" spans="12:13" x14ac:dyDescent="0.2">
      <c r="L13390" s="12"/>
      <c r="M13390" s="13"/>
    </row>
    <row r="13391" spans="12:13" x14ac:dyDescent="0.2">
      <c r="L13391" s="12"/>
      <c r="M13391" s="13"/>
    </row>
    <row r="13392" spans="12:13" x14ac:dyDescent="0.2">
      <c r="L13392" s="12"/>
      <c r="M13392" s="13"/>
    </row>
    <row r="13393" spans="12:13" x14ac:dyDescent="0.2">
      <c r="L13393" s="12"/>
      <c r="M13393" s="13"/>
    </row>
    <row r="13394" spans="12:13" x14ac:dyDescent="0.2">
      <c r="L13394" s="12"/>
      <c r="M13394" s="13"/>
    </row>
    <row r="13395" spans="12:13" x14ac:dyDescent="0.2">
      <c r="L13395" s="12"/>
      <c r="M13395" s="13"/>
    </row>
    <row r="13396" spans="12:13" x14ac:dyDescent="0.2">
      <c r="L13396" s="12"/>
      <c r="M13396" s="13"/>
    </row>
    <row r="13397" spans="12:13" x14ac:dyDescent="0.2">
      <c r="L13397" s="12"/>
      <c r="M13397" s="13"/>
    </row>
    <row r="13398" spans="12:13" x14ac:dyDescent="0.2">
      <c r="L13398" s="12"/>
      <c r="M13398" s="13"/>
    </row>
    <row r="13399" spans="12:13" x14ac:dyDescent="0.2">
      <c r="L13399" s="12"/>
      <c r="M13399" s="13"/>
    </row>
    <row r="13400" spans="12:13" x14ac:dyDescent="0.2">
      <c r="L13400" s="12"/>
      <c r="M13400" s="13"/>
    </row>
    <row r="13401" spans="12:13" x14ac:dyDescent="0.2">
      <c r="L13401" s="12"/>
      <c r="M13401" s="13"/>
    </row>
    <row r="13402" spans="12:13" x14ac:dyDescent="0.2">
      <c r="L13402" s="12"/>
      <c r="M13402" s="13"/>
    </row>
    <row r="13403" spans="12:13" x14ac:dyDescent="0.2">
      <c r="L13403" s="12"/>
      <c r="M13403" s="13"/>
    </row>
    <row r="13404" spans="12:13" x14ac:dyDescent="0.2">
      <c r="L13404" s="12"/>
      <c r="M13404" s="13"/>
    </row>
    <row r="13405" spans="12:13" x14ac:dyDescent="0.2">
      <c r="L13405" s="12"/>
      <c r="M13405" s="13"/>
    </row>
    <row r="13406" spans="12:13" x14ac:dyDescent="0.2">
      <c r="L13406" s="12"/>
      <c r="M13406" s="13"/>
    </row>
    <row r="13407" spans="12:13" x14ac:dyDescent="0.2">
      <c r="L13407" s="12"/>
      <c r="M13407" s="13"/>
    </row>
    <row r="13408" spans="12:13" x14ac:dyDescent="0.2">
      <c r="L13408" s="12"/>
      <c r="M13408" s="13"/>
    </row>
    <row r="13409" spans="12:13" x14ac:dyDescent="0.2">
      <c r="L13409" s="12"/>
      <c r="M13409" s="13"/>
    </row>
    <row r="13410" spans="12:13" x14ac:dyDescent="0.2">
      <c r="L13410" s="12"/>
      <c r="M13410" s="13"/>
    </row>
    <row r="13411" spans="12:13" x14ac:dyDescent="0.2">
      <c r="L13411" s="12"/>
      <c r="M13411" s="13"/>
    </row>
    <row r="13412" spans="12:13" x14ac:dyDescent="0.2">
      <c r="L13412" s="12"/>
      <c r="M13412" s="13"/>
    </row>
    <row r="13413" spans="12:13" x14ac:dyDescent="0.2">
      <c r="L13413" s="12"/>
      <c r="M13413" s="13"/>
    </row>
    <row r="13414" spans="12:13" x14ac:dyDescent="0.2">
      <c r="L13414" s="12"/>
      <c r="M13414" s="13"/>
    </row>
    <row r="13415" spans="12:13" x14ac:dyDescent="0.2">
      <c r="L13415" s="12"/>
      <c r="M13415" s="13"/>
    </row>
    <row r="13416" spans="12:13" x14ac:dyDescent="0.2">
      <c r="L13416" s="12"/>
      <c r="M13416" s="13"/>
    </row>
    <row r="13417" spans="12:13" x14ac:dyDescent="0.2">
      <c r="L13417" s="12"/>
      <c r="M13417" s="13"/>
    </row>
    <row r="13418" spans="12:13" x14ac:dyDescent="0.2">
      <c r="L13418" s="12"/>
      <c r="M13418" s="13"/>
    </row>
    <row r="13419" spans="12:13" x14ac:dyDescent="0.2">
      <c r="L13419" s="12"/>
      <c r="M13419" s="13"/>
    </row>
    <row r="13420" spans="12:13" x14ac:dyDescent="0.2">
      <c r="L13420" s="12"/>
      <c r="M13420" s="13"/>
    </row>
    <row r="13421" spans="12:13" x14ac:dyDescent="0.2">
      <c r="L13421" s="12"/>
      <c r="M13421" s="13"/>
    </row>
    <row r="13422" spans="12:13" x14ac:dyDescent="0.2">
      <c r="L13422" s="12"/>
      <c r="M13422" s="13"/>
    </row>
    <row r="13423" spans="12:13" x14ac:dyDescent="0.2">
      <c r="L13423" s="12"/>
      <c r="M13423" s="13"/>
    </row>
    <row r="13424" spans="12:13" x14ac:dyDescent="0.2">
      <c r="L13424" s="12"/>
      <c r="M13424" s="13"/>
    </row>
    <row r="13425" spans="12:13" x14ac:dyDescent="0.2">
      <c r="L13425" s="12"/>
      <c r="M13425" s="13"/>
    </row>
    <row r="13426" spans="12:13" x14ac:dyDescent="0.2">
      <c r="L13426" s="12"/>
      <c r="M13426" s="13"/>
    </row>
    <row r="13427" spans="12:13" x14ac:dyDescent="0.2">
      <c r="L13427" s="12"/>
      <c r="M13427" s="13"/>
    </row>
    <row r="13428" spans="12:13" x14ac:dyDescent="0.2">
      <c r="L13428" s="12"/>
      <c r="M13428" s="13"/>
    </row>
    <row r="13429" spans="12:13" x14ac:dyDescent="0.2">
      <c r="L13429" s="12"/>
      <c r="M13429" s="13"/>
    </row>
    <row r="13430" spans="12:13" x14ac:dyDescent="0.2">
      <c r="L13430" s="12"/>
      <c r="M13430" s="13"/>
    </row>
    <row r="13431" spans="12:13" x14ac:dyDescent="0.2">
      <c r="L13431" s="12"/>
      <c r="M13431" s="13"/>
    </row>
    <row r="13432" spans="12:13" x14ac:dyDescent="0.2">
      <c r="L13432" s="12"/>
      <c r="M13432" s="13"/>
    </row>
    <row r="13433" spans="12:13" x14ac:dyDescent="0.2">
      <c r="L13433" s="12"/>
      <c r="M13433" s="13"/>
    </row>
    <row r="13434" spans="12:13" x14ac:dyDescent="0.2">
      <c r="L13434" s="12"/>
      <c r="M13434" s="13"/>
    </row>
    <row r="13435" spans="12:13" x14ac:dyDescent="0.2">
      <c r="L13435" s="12"/>
      <c r="M13435" s="13"/>
    </row>
    <row r="13436" spans="12:13" x14ac:dyDescent="0.2">
      <c r="L13436" s="12"/>
      <c r="M13436" s="13"/>
    </row>
    <row r="13437" spans="12:13" x14ac:dyDescent="0.2">
      <c r="L13437" s="12"/>
      <c r="M13437" s="13"/>
    </row>
    <row r="13438" spans="12:13" x14ac:dyDescent="0.2">
      <c r="L13438" s="12"/>
      <c r="M13438" s="13"/>
    </row>
    <row r="13439" spans="12:13" x14ac:dyDescent="0.2">
      <c r="L13439" s="12"/>
      <c r="M13439" s="13"/>
    </row>
    <row r="13440" spans="12:13" x14ac:dyDescent="0.2">
      <c r="L13440" s="12"/>
      <c r="M13440" s="13"/>
    </row>
    <row r="13441" spans="12:13" x14ac:dyDescent="0.2">
      <c r="L13441" s="12"/>
      <c r="M13441" s="13"/>
    </row>
    <row r="13442" spans="12:13" x14ac:dyDescent="0.2">
      <c r="L13442" s="12"/>
      <c r="M13442" s="13"/>
    </row>
    <row r="13443" spans="12:13" x14ac:dyDescent="0.2">
      <c r="L13443" s="12"/>
      <c r="M13443" s="13"/>
    </row>
    <row r="13444" spans="12:13" x14ac:dyDescent="0.2">
      <c r="L13444" s="12"/>
      <c r="M13444" s="13"/>
    </row>
    <row r="13445" spans="12:13" x14ac:dyDescent="0.2">
      <c r="L13445" s="12"/>
      <c r="M13445" s="13"/>
    </row>
    <row r="13446" spans="12:13" x14ac:dyDescent="0.2">
      <c r="L13446" s="12"/>
      <c r="M13446" s="13"/>
    </row>
    <row r="13447" spans="12:13" x14ac:dyDescent="0.2">
      <c r="L13447" s="12"/>
      <c r="M13447" s="13"/>
    </row>
    <row r="13448" spans="12:13" x14ac:dyDescent="0.2">
      <c r="L13448" s="12"/>
      <c r="M13448" s="13"/>
    </row>
    <row r="13449" spans="12:13" x14ac:dyDescent="0.2">
      <c r="L13449" s="12"/>
      <c r="M13449" s="13"/>
    </row>
    <row r="13450" spans="12:13" x14ac:dyDescent="0.2">
      <c r="L13450" s="12"/>
      <c r="M13450" s="13"/>
    </row>
    <row r="13451" spans="12:13" x14ac:dyDescent="0.2">
      <c r="L13451" s="12"/>
      <c r="M13451" s="13"/>
    </row>
    <row r="13452" spans="12:13" x14ac:dyDescent="0.2">
      <c r="L13452" s="12"/>
      <c r="M13452" s="13"/>
    </row>
    <row r="13453" spans="12:13" x14ac:dyDescent="0.2">
      <c r="L13453" s="12"/>
      <c r="M13453" s="13"/>
    </row>
    <row r="13454" spans="12:13" x14ac:dyDescent="0.2">
      <c r="L13454" s="12"/>
      <c r="M13454" s="13"/>
    </row>
    <row r="13455" spans="12:13" x14ac:dyDescent="0.2">
      <c r="L13455" s="12"/>
      <c r="M13455" s="13"/>
    </row>
    <row r="13456" spans="12:13" x14ac:dyDescent="0.2">
      <c r="L13456" s="12"/>
      <c r="M13456" s="13"/>
    </row>
    <row r="13457" spans="12:13" x14ac:dyDescent="0.2">
      <c r="L13457" s="12"/>
      <c r="M13457" s="13"/>
    </row>
    <row r="13458" spans="12:13" x14ac:dyDescent="0.2">
      <c r="L13458" s="12"/>
      <c r="M13458" s="13"/>
    </row>
    <row r="13459" spans="12:13" x14ac:dyDescent="0.2">
      <c r="L13459" s="12"/>
      <c r="M13459" s="13"/>
    </row>
    <row r="13460" spans="12:13" x14ac:dyDescent="0.2">
      <c r="L13460" s="12"/>
      <c r="M13460" s="13"/>
    </row>
    <row r="13461" spans="12:13" x14ac:dyDescent="0.2">
      <c r="L13461" s="12"/>
      <c r="M13461" s="13"/>
    </row>
    <row r="13462" spans="12:13" x14ac:dyDescent="0.2">
      <c r="L13462" s="12"/>
      <c r="M13462" s="13"/>
    </row>
    <row r="13463" spans="12:13" x14ac:dyDescent="0.2">
      <c r="L13463" s="12"/>
      <c r="M13463" s="13"/>
    </row>
    <row r="13464" spans="12:13" x14ac:dyDescent="0.2">
      <c r="L13464" s="12"/>
      <c r="M13464" s="13"/>
    </row>
    <row r="13465" spans="12:13" x14ac:dyDescent="0.2">
      <c r="L13465" s="12"/>
      <c r="M13465" s="13"/>
    </row>
    <row r="13466" spans="12:13" x14ac:dyDescent="0.2">
      <c r="L13466" s="12"/>
      <c r="M13466" s="13"/>
    </row>
    <row r="13467" spans="12:13" x14ac:dyDescent="0.2">
      <c r="L13467" s="12"/>
      <c r="M13467" s="13"/>
    </row>
    <row r="13468" spans="12:13" x14ac:dyDescent="0.2">
      <c r="L13468" s="12"/>
      <c r="M13468" s="13"/>
    </row>
    <row r="13469" spans="12:13" x14ac:dyDescent="0.2">
      <c r="L13469" s="12"/>
      <c r="M13469" s="13"/>
    </row>
    <row r="13470" spans="12:13" x14ac:dyDescent="0.2">
      <c r="L13470" s="12"/>
      <c r="M13470" s="13"/>
    </row>
    <row r="13471" spans="12:13" x14ac:dyDescent="0.2">
      <c r="L13471" s="12"/>
      <c r="M13471" s="13"/>
    </row>
    <row r="13472" spans="12:13" x14ac:dyDescent="0.2">
      <c r="L13472" s="12"/>
      <c r="M13472" s="13"/>
    </row>
    <row r="13473" spans="12:13" x14ac:dyDescent="0.2">
      <c r="L13473" s="12"/>
      <c r="M13473" s="13"/>
    </row>
    <row r="13474" spans="12:13" x14ac:dyDescent="0.2">
      <c r="L13474" s="12"/>
      <c r="M13474" s="13"/>
    </row>
    <row r="13475" spans="12:13" x14ac:dyDescent="0.2">
      <c r="L13475" s="12"/>
      <c r="M13475" s="13"/>
    </row>
    <row r="13476" spans="12:13" x14ac:dyDescent="0.2">
      <c r="L13476" s="12"/>
      <c r="M13476" s="13"/>
    </row>
    <row r="13477" spans="12:13" x14ac:dyDescent="0.2">
      <c r="L13477" s="12"/>
      <c r="M13477" s="13"/>
    </row>
    <row r="13478" spans="12:13" x14ac:dyDescent="0.2">
      <c r="L13478" s="12"/>
      <c r="M13478" s="13"/>
    </row>
    <row r="13479" spans="12:13" x14ac:dyDescent="0.2">
      <c r="L13479" s="12"/>
      <c r="M13479" s="13"/>
    </row>
    <row r="13480" spans="12:13" x14ac:dyDescent="0.2">
      <c r="L13480" s="12"/>
      <c r="M13480" s="13"/>
    </row>
    <row r="13481" spans="12:13" x14ac:dyDescent="0.2">
      <c r="L13481" s="12"/>
      <c r="M13481" s="13"/>
    </row>
    <row r="13482" spans="12:13" x14ac:dyDescent="0.2">
      <c r="L13482" s="12"/>
      <c r="M13482" s="13"/>
    </row>
    <row r="13483" spans="12:13" x14ac:dyDescent="0.2">
      <c r="L13483" s="12"/>
      <c r="M13483" s="13"/>
    </row>
    <row r="13484" spans="12:13" x14ac:dyDescent="0.2">
      <c r="L13484" s="12"/>
      <c r="M13484" s="13"/>
    </row>
    <row r="13485" spans="12:13" x14ac:dyDescent="0.2">
      <c r="L13485" s="12"/>
      <c r="M13485" s="13"/>
    </row>
    <row r="13486" spans="12:13" x14ac:dyDescent="0.2">
      <c r="L13486" s="12"/>
      <c r="M13486" s="13"/>
    </row>
    <row r="13487" spans="12:13" x14ac:dyDescent="0.2">
      <c r="L13487" s="12"/>
      <c r="M13487" s="13"/>
    </row>
    <row r="13488" spans="12:13" x14ac:dyDescent="0.2">
      <c r="L13488" s="12"/>
      <c r="M13488" s="13"/>
    </row>
    <row r="13489" spans="12:13" x14ac:dyDescent="0.2">
      <c r="L13489" s="12"/>
      <c r="M13489" s="13"/>
    </row>
    <row r="13490" spans="12:13" x14ac:dyDescent="0.2">
      <c r="L13490" s="12"/>
      <c r="M13490" s="13"/>
    </row>
    <row r="13491" spans="12:13" x14ac:dyDescent="0.2">
      <c r="L13491" s="12"/>
      <c r="M13491" s="13"/>
    </row>
    <row r="13492" spans="12:13" x14ac:dyDescent="0.2">
      <c r="L13492" s="12"/>
      <c r="M13492" s="13"/>
    </row>
    <row r="13493" spans="12:13" x14ac:dyDescent="0.2">
      <c r="L13493" s="12"/>
      <c r="M13493" s="13"/>
    </row>
    <row r="13494" spans="12:13" x14ac:dyDescent="0.2">
      <c r="L13494" s="12"/>
      <c r="M13494" s="13"/>
    </row>
    <row r="13495" spans="12:13" x14ac:dyDescent="0.2">
      <c r="L13495" s="12"/>
      <c r="M13495" s="13"/>
    </row>
    <row r="13496" spans="12:13" x14ac:dyDescent="0.2">
      <c r="L13496" s="12"/>
      <c r="M13496" s="13"/>
    </row>
    <row r="13497" spans="12:13" x14ac:dyDescent="0.2">
      <c r="L13497" s="12"/>
      <c r="M13497" s="13"/>
    </row>
    <row r="13498" spans="12:13" x14ac:dyDescent="0.2">
      <c r="L13498" s="12"/>
      <c r="M13498" s="13"/>
    </row>
    <row r="13499" spans="12:13" x14ac:dyDescent="0.2">
      <c r="L13499" s="12"/>
      <c r="M13499" s="13"/>
    </row>
    <row r="13500" spans="12:13" x14ac:dyDescent="0.2">
      <c r="L13500" s="12"/>
      <c r="M13500" s="13"/>
    </row>
    <row r="13501" spans="12:13" x14ac:dyDescent="0.2">
      <c r="L13501" s="12"/>
      <c r="M13501" s="13"/>
    </row>
    <row r="13502" spans="12:13" x14ac:dyDescent="0.2">
      <c r="L13502" s="12"/>
      <c r="M13502" s="13"/>
    </row>
    <row r="13503" spans="12:13" x14ac:dyDescent="0.2">
      <c r="L13503" s="12"/>
      <c r="M13503" s="13"/>
    </row>
    <row r="13504" spans="12:13" x14ac:dyDescent="0.2">
      <c r="L13504" s="12"/>
      <c r="M13504" s="13"/>
    </row>
    <row r="13505" spans="12:13" x14ac:dyDescent="0.2">
      <c r="L13505" s="12"/>
      <c r="M13505" s="13"/>
    </row>
    <row r="13506" spans="12:13" x14ac:dyDescent="0.2">
      <c r="L13506" s="12"/>
      <c r="M13506" s="13"/>
    </row>
    <row r="13507" spans="12:13" x14ac:dyDescent="0.2">
      <c r="L13507" s="12"/>
      <c r="M13507" s="13"/>
    </row>
    <row r="13508" spans="12:13" x14ac:dyDescent="0.2">
      <c r="L13508" s="12"/>
      <c r="M13508" s="13"/>
    </row>
    <row r="13509" spans="12:13" x14ac:dyDescent="0.2">
      <c r="L13509" s="12"/>
      <c r="M13509" s="13"/>
    </row>
    <row r="13510" spans="12:13" x14ac:dyDescent="0.2">
      <c r="L13510" s="12"/>
      <c r="M13510" s="13"/>
    </row>
    <row r="13511" spans="12:13" x14ac:dyDescent="0.2">
      <c r="L13511" s="12"/>
      <c r="M13511" s="13"/>
    </row>
    <row r="13512" spans="12:13" x14ac:dyDescent="0.2">
      <c r="L13512" s="12"/>
      <c r="M13512" s="13"/>
    </row>
    <row r="13513" spans="12:13" x14ac:dyDescent="0.2">
      <c r="L13513" s="12"/>
      <c r="M13513" s="13"/>
    </row>
    <row r="13514" spans="12:13" x14ac:dyDescent="0.2">
      <c r="L13514" s="12"/>
      <c r="M13514" s="13"/>
    </row>
    <row r="13515" spans="12:13" x14ac:dyDescent="0.2">
      <c r="L13515" s="12"/>
      <c r="M13515" s="13"/>
    </row>
    <row r="13516" spans="12:13" x14ac:dyDescent="0.2">
      <c r="L13516" s="12"/>
      <c r="M13516" s="13"/>
    </row>
    <row r="13517" spans="12:13" x14ac:dyDescent="0.2">
      <c r="L13517" s="12"/>
      <c r="M13517" s="13"/>
    </row>
    <row r="13518" spans="12:13" x14ac:dyDescent="0.2">
      <c r="L13518" s="12"/>
      <c r="M13518" s="13"/>
    </row>
    <row r="13519" spans="12:13" x14ac:dyDescent="0.2">
      <c r="L13519" s="12"/>
      <c r="M13519" s="13"/>
    </row>
    <row r="13520" spans="12:13" x14ac:dyDescent="0.2">
      <c r="L13520" s="12"/>
      <c r="M13520" s="13"/>
    </row>
    <row r="13521" spans="12:13" x14ac:dyDescent="0.2">
      <c r="L13521" s="12"/>
      <c r="M13521" s="13"/>
    </row>
    <row r="13522" spans="12:13" x14ac:dyDescent="0.2">
      <c r="L13522" s="12"/>
      <c r="M13522" s="13"/>
    </row>
    <row r="13523" spans="12:13" x14ac:dyDescent="0.2">
      <c r="L13523" s="12"/>
      <c r="M13523" s="13"/>
    </row>
    <row r="13524" spans="12:13" x14ac:dyDescent="0.2">
      <c r="L13524" s="12"/>
      <c r="M13524" s="13"/>
    </row>
    <row r="13525" spans="12:13" x14ac:dyDescent="0.2">
      <c r="L13525" s="12"/>
      <c r="M13525" s="13"/>
    </row>
    <row r="13526" spans="12:13" x14ac:dyDescent="0.2">
      <c r="L13526" s="12"/>
      <c r="M13526" s="13"/>
    </row>
    <row r="13527" spans="12:13" x14ac:dyDescent="0.2">
      <c r="L13527" s="12"/>
      <c r="M13527" s="13"/>
    </row>
    <row r="13528" spans="12:13" x14ac:dyDescent="0.2">
      <c r="L13528" s="12"/>
      <c r="M13528" s="13"/>
    </row>
    <row r="13529" spans="12:13" x14ac:dyDescent="0.2">
      <c r="L13529" s="12"/>
      <c r="M13529" s="13"/>
    </row>
    <row r="13530" spans="12:13" x14ac:dyDescent="0.2">
      <c r="L13530" s="12"/>
      <c r="M13530" s="13"/>
    </row>
    <row r="13531" spans="12:13" x14ac:dyDescent="0.2">
      <c r="L13531" s="12"/>
      <c r="M13531" s="13"/>
    </row>
    <row r="13532" spans="12:13" x14ac:dyDescent="0.2">
      <c r="L13532" s="12"/>
      <c r="M13532" s="13"/>
    </row>
    <row r="13533" spans="12:13" x14ac:dyDescent="0.2">
      <c r="L13533" s="12"/>
      <c r="M13533" s="13"/>
    </row>
    <row r="13534" spans="12:13" x14ac:dyDescent="0.2">
      <c r="L13534" s="12"/>
      <c r="M13534" s="13"/>
    </row>
    <row r="13535" spans="12:13" x14ac:dyDescent="0.2">
      <c r="L13535" s="12"/>
      <c r="M13535" s="13"/>
    </row>
    <row r="13536" spans="12:13" x14ac:dyDescent="0.2">
      <c r="L13536" s="12"/>
      <c r="M13536" s="13"/>
    </row>
    <row r="13537" spans="12:13" x14ac:dyDescent="0.2">
      <c r="L13537" s="12"/>
      <c r="M13537" s="13"/>
    </row>
    <row r="13538" spans="12:13" x14ac:dyDescent="0.2">
      <c r="L13538" s="12"/>
      <c r="M13538" s="13"/>
    </row>
    <row r="13539" spans="12:13" x14ac:dyDescent="0.2">
      <c r="L13539" s="12"/>
      <c r="M13539" s="13"/>
    </row>
    <row r="13540" spans="12:13" x14ac:dyDescent="0.2">
      <c r="L13540" s="12"/>
      <c r="M13540" s="13"/>
    </row>
    <row r="13541" spans="12:13" x14ac:dyDescent="0.2">
      <c r="L13541" s="12"/>
      <c r="M13541" s="13"/>
    </row>
    <row r="13542" spans="12:13" x14ac:dyDescent="0.2">
      <c r="L13542" s="12"/>
      <c r="M13542" s="13"/>
    </row>
    <row r="13543" spans="12:13" x14ac:dyDescent="0.2">
      <c r="L13543" s="12"/>
      <c r="M13543" s="13"/>
    </row>
    <row r="13544" spans="12:13" x14ac:dyDescent="0.2">
      <c r="L13544" s="12"/>
      <c r="M13544" s="13"/>
    </row>
    <row r="13545" spans="12:13" x14ac:dyDescent="0.2">
      <c r="L13545" s="12"/>
      <c r="M13545" s="13"/>
    </row>
    <row r="13546" spans="12:13" x14ac:dyDescent="0.2">
      <c r="L13546" s="12"/>
      <c r="M13546" s="13"/>
    </row>
    <row r="13547" spans="12:13" x14ac:dyDescent="0.2">
      <c r="L13547" s="12"/>
      <c r="M13547" s="13"/>
    </row>
    <row r="13548" spans="12:13" x14ac:dyDescent="0.2">
      <c r="L13548" s="12"/>
      <c r="M13548" s="13"/>
    </row>
    <row r="13549" spans="12:13" x14ac:dyDescent="0.2">
      <c r="L13549" s="12"/>
      <c r="M13549" s="13"/>
    </row>
    <row r="13550" spans="12:13" x14ac:dyDescent="0.2">
      <c r="L13550" s="12"/>
      <c r="M13550" s="13"/>
    </row>
    <row r="13551" spans="12:13" x14ac:dyDescent="0.2">
      <c r="L13551" s="12"/>
      <c r="M13551" s="13"/>
    </row>
    <row r="13552" spans="12:13" x14ac:dyDescent="0.2">
      <c r="L13552" s="12"/>
      <c r="M13552" s="13"/>
    </row>
    <row r="13553" spans="12:13" x14ac:dyDescent="0.2">
      <c r="L13553" s="12"/>
      <c r="M13553" s="13"/>
    </row>
    <row r="13554" spans="12:13" x14ac:dyDescent="0.2">
      <c r="L13554" s="12"/>
      <c r="M13554" s="13"/>
    </row>
    <row r="13555" spans="12:13" x14ac:dyDescent="0.2">
      <c r="L13555" s="12"/>
      <c r="M13555" s="13"/>
    </row>
    <row r="13556" spans="12:13" x14ac:dyDescent="0.2">
      <c r="L13556" s="12"/>
      <c r="M13556" s="13"/>
    </row>
    <row r="13557" spans="12:13" x14ac:dyDescent="0.2">
      <c r="L13557" s="12"/>
      <c r="M13557" s="13"/>
    </row>
    <row r="13558" spans="12:13" x14ac:dyDescent="0.2">
      <c r="L13558" s="12"/>
      <c r="M13558" s="13"/>
    </row>
    <row r="13559" spans="12:13" x14ac:dyDescent="0.2">
      <c r="L13559" s="12"/>
      <c r="M13559" s="13"/>
    </row>
    <row r="13560" spans="12:13" x14ac:dyDescent="0.2">
      <c r="L13560" s="12"/>
      <c r="M13560" s="13"/>
    </row>
    <row r="13561" spans="12:13" x14ac:dyDescent="0.2">
      <c r="L13561" s="12"/>
      <c r="M13561" s="13"/>
    </row>
    <row r="13562" spans="12:13" x14ac:dyDescent="0.2">
      <c r="L13562" s="12"/>
      <c r="M13562" s="13"/>
    </row>
    <row r="13563" spans="12:13" x14ac:dyDescent="0.2">
      <c r="L13563" s="12"/>
      <c r="M13563" s="13"/>
    </row>
    <row r="13564" spans="12:13" x14ac:dyDescent="0.2">
      <c r="L13564" s="12"/>
      <c r="M13564" s="13"/>
    </row>
    <row r="13565" spans="12:13" x14ac:dyDescent="0.2">
      <c r="L13565" s="12"/>
      <c r="M13565" s="13"/>
    </row>
    <row r="13566" spans="12:13" x14ac:dyDescent="0.2">
      <c r="L13566" s="12"/>
      <c r="M13566" s="13"/>
    </row>
    <row r="13567" spans="12:13" x14ac:dyDescent="0.2">
      <c r="L13567" s="12"/>
      <c r="M13567" s="13"/>
    </row>
    <row r="13568" spans="12:13" x14ac:dyDescent="0.2">
      <c r="L13568" s="12"/>
      <c r="M13568" s="13"/>
    </row>
    <row r="13569" spans="12:13" x14ac:dyDescent="0.2">
      <c r="L13569" s="12"/>
      <c r="M13569" s="13"/>
    </row>
    <row r="13570" spans="12:13" x14ac:dyDescent="0.2">
      <c r="L13570" s="17"/>
      <c r="M13570" s="18"/>
    </row>
    <row r="13571" spans="12:13" x14ac:dyDescent="0.2">
      <c r="L13571" s="12"/>
      <c r="M13571" s="13"/>
    </row>
    <row r="13572" spans="12:13" x14ac:dyDescent="0.2">
      <c r="L13572" s="12"/>
      <c r="M13572" s="13"/>
    </row>
    <row r="13573" spans="12:13" x14ac:dyDescent="0.2">
      <c r="L13573" s="12"/>
      <c r="M13573" s="13"/>
    </row>
    <row r="13574" spans="12:13" x14ac:dyDescent="0.2">
      <c r="L13574" s="12"/>
      <c r="M13574" s="13"/>
    </row>
    <row r="13575" spans="12:13" x14ac:dyDescent="0.2">
      <c r="L13575" s="12"/>
      <c r="M13575" s="13"/>
    </row>
    <row r="13576" spans="12:13" x14ac:dyDescent="0.2">
      <c r="L13576" s="12"/>
      <c r="M13576" s="13"/>
    </row>
    <row r="13577" spans="12:13" x14ac:dyDescent="0.2">
      <c r="L13577" s="12"/>
      <c r="M13577" s="13"/>
    </row>
    <row r="13578" spans="12:13" x14ac:dyDescent="0.2">
      <c r="L13578" s="12"/>
      <c r="M13578" s="13"/>
    </row>
    <row r="13579" spans="12:13" x14ac:dyDescent="0.2">
      <c r="L13579" s="12"/>
      <c r="M13579" s="13"/>
    </row>
    <row r="13580" spans="12:13" x14ac:dyDescent="0.2">
      <c r="L13580" s="12"/>
      <c r="M13580" s="13"/>
    </row>
    <row r="13581" spans="12:13" x14ac:dyDescent="0.2">
      <c r="L13581" s="12"/>
      <c r="M13581" s="13"/>
    </row>
    <row r="13582" spans="12:13" x14ac:dyDescent="0.2">
      <c r="L13582" s="12"/>
      <c r="M13582" s="13"/>
    </row>
    <row r="13583" spans="12:13" x14ac:dyDescent="0.2">
      <c r="L13583" s="12"/>
      <c r="M13583" s="13"/>
    </row>
    <row r="13584" spans="12:13" x14ac:dyDescent="0.2">
      <c r="L13584" s="12"/>
      <c r="M13584" s="13"/>
    </row>
    <row r="13585" spans="12:13" x14ac:dyDescent="0.2">
      <c r="L13585" s="12"/>
      <c r="M13585" s="13"/>
    </row>
    <row r="13586" spans="12:13" x14ac:dyDescent="0.2">
      <c r="L13586" s="12"/>
      <c r="M13586" s="13"/>
    </row>
    <row r="13587" spans="12:13" x14ac:dyDescent="0.2">
      <c r="L13587" s="12"/>
      <c r="M13587" s="13"/>
    </row>
    <row r="13588" spans="12:13" x14ac:dyDescent="0.2">
      <c r="L13588" s="12"/>
      <c r="M13588" s="13"/>
    </row>
    <row r="13589" spans="12:13" x14ac:dyDescent="0.2">
      <c r="L13589" s="12"/>
      <c r="M13589" s="13"/>
    </row>
    <row r="13590" spans="12:13" x14ac:dyDescent="0.2">
      <c r="L13590" s="12"/>
      <c r="M13590" s="13"/>
    </row>
    <row r="13591" spans="12:13" x14ac:dyDescent="0.2">
      <c r="L13591" s="12"/>
      <c r="M13591" s="13"/>
    </row>
    <row r="13592" spans="12:13" x14ac:dyDescent="0.2">
      <c r="L13592" s="12"/>
      <c r="M13592" s="13"/>
    </row>
    <row r="13593" spans="12:13" x14ac:dyDescent="0.2">
      <c r="L13593" s="12"/>
      <c r="M13593" s="13"/>
    </row>
    <row r="13594" spans="12:13" x14ac:dyDescent="0.2">
      <c r="L13594" s="12"/>
      <c r="M13594" s="13"/>
    </row>
    <row r="13595" spans="12:13" x14ac:dyDescent="0.2">
      <c r="L13595" s="12"/>
      <c r="M13595" s="13"/>
    </row>
    <row r="13596" spans="12:13" x14ac:dyDescent="0.2">
      <c r="L13596" s="12"/>
      <c r="M13596" s="13"/>
    </row>
    <row r="13597" spans="12:13" x14ac:dyDescent="0.2">
      <c r="L13597" s="12"/>
      <c r="M13597" s="13"/>
    </row>
    <row r="13598" spans="12:13" x14ac:dyDescent="0.2">
      <c r="L13598" s="12"/>
      <c r="M13598" s="13"/>
    </row>
    <row r="13599" spans="12:13" x14ac:dyDescent="0.2">
      <c r="L13599" s="12"/>
      <c r="M13599" s="13"/>
    </row>
    <row r="13600" spans="12:13" x14ac:dyDescent="0.2">
      <c r="L13600" s="12"/>
      <c r="M13600" s="13"/>
    </row>
    <row r="13601" spans="12:13" x14ac:dyDescent="0.2">
      <c r="L13601" s="12"/>
      <c r="M13601" s="13"/>
    </row>
    <row r="13602" spans="12:13" x14ac:dyDescent="0.2">
      <c r="L13602" s="12"/>
      <c r="M13602" s="13"/>
    </row>
    <row r="13603" spans="12:13" x14ac:dyDescent="0.2">
      <c r="L13603" s="12"/>
      <c r="M13603" s="13"/>
    </row>
    <row r="13604" spans="12:13" x14ac:dyDescent="0.2">
      <c r="L13604" s="12"/>
      <c r="M13604" s="13"/>
    </row>
    <row r="13605" spans="12:13" x14ac:dyDescent="0.2">
      <c r="L13605" s="12"/>
      <c r="M13605" s="13"/>
    </row>
    <row r="13606" spans="12:13" x14ac:dyDescent="0.2">
      <c r="L13606" s="12"/>
      <c r="M13606" s="13"/>
    </row>
    <row r="13607" spans="12:13" x14ac:dyDescent="0.2">
      <c r="L13607" s="12"/>
      <c r="M13607" s="13"/>
    </row>
    <row r="13608" spans="12:13" x14ac:dyDescent="0.2">
      <c r="L13608" s="12"/>
      <c r="M13608" s="13"/>
    </row>
    <row r="13609" spans="12:13" x14ac:dyDescent="0.2">
      <c r="L13609" s="12"/>
      <c r="M13609" s="13"/>
    </row>
    <row r="13610" spans="12:13" x14ac:dyDescent="0.2">
      <c r="L13610" s="12"/>
      <c r="M13610" s="13"/>
    </row>
    <row r="13611" spans="12:13" x14ac:dyDescent="0.2">
      <c r="L13611" s="12"/>
      <c r="M13611" s="13"/>
    </row>
    <row r="13612" spans="12:13" x14ac:dyDescent="0.2">
      <c r="L13612" s="12"/>
      <c r="M13612" s="13"/>
    </row>
    <row r="13613" spans="12:13" x14ac:dyDescent="0.2">
      <c r="L13613" s="12"/>
      <c r="M13613" s="13"/>
    </row>
    <row r="13614" spans="12:13" x14ac:dyDescent="0.2">
      <c r="L13614" s="12"/>
      <c r="M13614" s="13"/>
    </row>
    <row r="13615" spans="12:13" x14ac:dyDescent="0.2">
      <c r="L13615" s="12"/>
      <c r="M13615" s="13"/>
    </row>
    <row r="13616" spans="12:13" x14ac:dyDescent="0.2">
      <c r="L13616" s="12"/>
      <c r="M13616" s="13"/>
    </row>
    <row r="13617" spans="12:13" x14ac:dyDescent="0.2">
      <c r="L13617" s="12"/>
      <c r="M13617" s="13"/>
    </row>
    <row r="13618" spans="12:13" x14ac:dyDescent="0.2">
      <c r="L13618" s="12"/>
      <c r="M13618" s="13"/>
    </row>
    <row r="13619" spans="12:13" x14ac:dyDescent="0.2">
      <c r="L13619" s="12"/>
      <c r="M13619" s="13"/>
    </row>
    <row r="13620" spans="12:13" x14ac:dyDescent="0.2">
      <c r="L13620" s="12"/>
      <c r="M13620" s="13"/>
    </row>
    <row r="13621" spans="12:13" x14ac:dyDescent="0.2">
      <c r="L13621" s="12"/>
      <c r="M13621" s="13"/>
    </row>
    <row r="13622" spans="12:13" x14ac:dyDescent="0.2">
      <c r="L13622" s="12"/>
      <c r="M13622" s="13"/>
    </row>
    <row r="13623" spans="12:13" x14ac:dyDescent="0.2">
      <c r="L13623" s="12"/>
      <c r="M13623" s="13"/>
    </row>
    <row r="13624" spans="12:13" x14ac:dyDescent="0.2">
      <c r="L13624" s="12"/>
      <c r="M13624" s="13"/>
    </row>
    <row r="13625" spans="12:13" x14ac:dyDescent="0.2">
      <c r="L13625" s="12"/>
      <c r="M13625" s="13"/>
    </row>
    <row r="13626" spans="12:13" x14ac:dyDescent="0.2">
      <c r="L13626" s="12"/>
      <c r="M13626" s="13"/>
    </row>
    <row r="13627" spans="12:13" x14ac:dyDescent="0.2">
      <c r="L13627" s="12"/>
      <c r="M13627" s="13"/>
    </row>
    <row r="13628" spans="12:13" x14ac:dyDescent="0.2">
      <c r="L13628" s="12"/>
      <c r="M13628" s="13"/>
    </row>
    <row r="13629" spans="12:13" x14ac:dyDescent="0.2">
      <c r="L13629" s="12"/>
      <c r="M13629" s="13"/>
    </row>
    <row r="13630" spans="12:13" x14ac:dyDescent="0.2">
      <c r="L13630" s="12"/>
      <c r="M13630" s="13"/>
    </row>
    <row r="13631" spans="12:13" x14ac:dyDescent="0.2">
      <c r="L13631" s="12"/>
      <c r="M13631" s="13"/>
    </row>
    <row r="13632" spans="12:13" x14ac:dyDescent="0.2">
      <c r="L13632" s="12"/>
      <c r="M13632" s="13"/>
    </row>
    <row r="13633" spans="12:13" x14ac:dyDescent="0.2">
      <c r="L13633" s="12"/>
      <c r="M13633" s="13"/>
    </row>
    <row r="13634" spans="12:13" x14ac:dyDescent="0.2">
      <c r="L13634" s="12"/>
      <c r="M13634" s="13"/>
    </row>
    <row r="13635" spans="12:13" x14ac:dyDescent="0.2">
      <c r="L13635" s="12"/>
      <c r="M13635" s="13"/>
    </row>
    <row r="13636" spans="12:13" x14ac:dyDescent="0.2">
      <c r="L13636" s="12"/>
      <c r="M13636" s="13"/>
    </row>
    <row r="13637" spans="12:13" x14ac:dyDescent="0.2">
      <c r="L13637" s="12"/>
      <c r="M13637" s="13"/>
    </row>
    <row r="13638" spans="12:13" x14ac:dyDescent="0.2">
      <c r="L13638" s="12"/>
      <c r="M13638" s="13"/>
    </row>
    <row r="13639" spans="12:13" x14ac:dyDescent="0.2">
      <c r="L13639" s="12"/>
      <c r="M13639" s="13"/>
    </row>
    <row r="13640" spans="12:13" x14ac:dyDescent="0.2">
      <c r="L13640" s="12"/>
      <c r="M13640" s="13"/>
    </row>
    <row r="13641" spans="12:13" x14ac:dyDescent="0.2">
      <c r="L13641" s="12"/>
      <c r="M13641" s="13"/>
    </row>
    <row r="13642" spans="12:13" x14ac:dyDescent="0.2">
      <c r="L13642" s="12"/>
      <c r="M13642" s="13"/>
    </row>
    <row r="13643" spans="12:13" x14ac:dyDescent="0.2">
      <c r="L13643" s="12"/>
      <c r="M13643" s="13"/>
    </row>
    <row r="13644" spans="12:13" x14ac:dyDescent="0.2">
      <c r="L13644" s="12"/>
      <c r="M13644" s="13"/>
    </row>
    <row r="13645" spans="12:13" x14ac:dyDescent="0.2">
      <c r="L13645" s="12"/>
      <c r="M13645" s="13"/>
    </row>
    <row r="13646" spans="12:13" x14ac:dyDescent="0.2">
      <c r="L13646" s="12"/>
      <c r="M13646" s="13"/>
    </row>
    <row r="13647" spans="12:13" x14ac:dyDescent="0.2">
      <c r="L13647" s="12"/>
      <c r="M13647" s="13"/>
    </row>
    <row r="13648" spans="12:13" x14ac:dyDescent="0.2">
      <c r="L13648" s="12"/>
      <c r="M13648" s="13"/>
    </row>
    <row r="13649" spans="12:13" x14ac:dyDescent="0.2">
      <c r="L13649" s="12"/>
      <c r="M13649" s="13"/>
    </row>
    <row r="13650" spans="12:13" x14ac:dyDescent="0.2">
      <c r="L13650" s="12"/>
      <c r="M13650" s="13"/>
    </row>
    <row r="13651" spans="12:13" x14ac:dyDescent="0.2">
      <c r="L13651" s="12"/>
      <c r="M13651" s="13"/>
    </row>
    <row r="13652" spans="12:13" x14ac:dyDescent="0.2">
      <c r="L13652" s="12"/>
      <c r="M13652" s="13"/>
    </row>
    <row r="13653" spans="12:13" x14ac:dyDescent="0.2">
      <c r="L13653" s="12"/>
      <c r="M13653" s="13"/>
    </row>
    <row r="13654" spans="12:13" x14ac:dyDescent="0.2">
      <c r="L13654" s="12"/>
      <c r="M13654" s="13"/>
    </row>
    <row r="13655" spans="12:13" x14ac:dyDescent="0.2">
      <c r="L13655" s="12"/>
      <c r="M13655" s="13"/>
    </row>
    <row r="13656" spans="12:13" x14ac:dyDescent="0.2">
      <c r="L13656" s="12"/>
      <c r="M13656" s="13"/>
    </row>
    <row r="13657" spans="12:13" x14ac:dyDescent="0.2">
      <c r="L13657" s="12"/>
      <c r="M13657" s="13"/>
    </row>
    <row r="13658" spans="12:13" x14ac:dyDescent="0.2">
      <c r="L13658" s="12"/>
      <c r="M13658" s="13"/>
    </row>
    <row r="13659" spans="12:13" x14ac:dyDescent="0.2">
      <c r="L13659" s="12"/>
      <c r="M13659" s="13"/>
    </row>
    <row r="13660" spans="12:13" x14ac:dyDescent="0.2">
      <c r="L13660" s="12"/>
      <c r="M13660" s="13"/>
    </row>
    <row r="13661" spans="12:13" x14ac:dyDescent="0.2">
      <c r="L13661" s="12"/>
      <c r="M13661" s="13"/>
    </row>
    <row r="13662" spans="12:13" x14ac:dyDescent="0.2">
      <c r="L13662" s="12"/>
      <c r="M13662" s="13"/>
    </row>
    <row r="13663" spans="12:13" x14ac:dyDescent="0.2">
      <c r="L13663" s="12"/>
      <c r="M13663" s="13"/>
    </row>
    <row r="13664" spans="12:13" x14ac:dyDescent="0.2">
      <c r="L13664" s="12"/>
      <c r="M13664" s="13"/>
    </row>
    <row r="13665" spans="12:13" x14ac:dyDescent="0.2">
      <c r="L13665" s="12"/>
      <c r="M13665" s="13"/>
    </row>
    <row r="13666" spans="12:13" x14ac:dyDescent="0.2">
      <c r="L13666" s="12"/>
      <c r="M13666" s="13"/>
    </row>
    <row r="13667" spans="12:13" x14ac:dyDescent="0.2">
      <c r="L13667" s="12"/>
      <c r="M13667" s="13"/>
    </row>
    <row r="13668" spans="12:13" x14ac:dyDescent="0.2">
      <c r="L13668" s="12"/>
      <c r="M13668" s="13"/>
    </row>
    <row r="13669" spans="12:13" x14ac:dyDescent="0.2">
      <c r="L13669" s="12"/>
      <c r="M13669" s="13"/>
    </row>
    <row r="13670" spans="12:13" x14ac:dyDescent="0.2">
      <c r="L13670" s="12"/>
      <c r="M13670" s="13"/>
    </row>
    <row r="13671" spans="12:13" x14ac:dyDescent="0.2">
      <c r="L13671" s="12"/>
      <c r="M13671" s="13"/>
    </row>
    <row r="13672" spans="12:13" x14ac:dyDescent="0.2">
      <c r="L13672" s="12"/>
      <c r="M13672" s="13"/>
    </row>
    <row r="13673" spans="12:13" x14ac:dyDescent="0.2">
      <c r="L13673" s="12"/>
      <c r="M13673" s="13"/>
    </row>
    <row r="13674" spans="12:13" x14ac:dyDescent="0.2">
      <c r="L13674" s="12"/>
      <c r="M13674" s="13"/>
    </row>
    <row r="13675" spans="12:13" x14ac:dyDescent="0.2">
      <c r="L13675" s="12"/>
      <c r="M13675" s="13"/>
    </row>
    <row r="13676" spans="12:13" x14ac:dyDescent="0.2">
      <c r="L13676" s="12"/>
      <c r="M13676" s="13"/>
    </row>
    <row r="13677" spans="12:13" x14ac:dyDescent="0.2">
      <c r="L13677" s="12"/>
      <c r="M13677" s="13"/>
    </row>
    <row r="13678" spans="12:13" x14ac:dyDescent="0.2">
      <c r="L13678" s="12"/>
      <c r="M13678" s="13"/>
    </row>
    <row r="13679" spans="12:13" x14ac:dyDescent="0.2">
      <c r="L13679" s="12"/>
      <c r="M13679" s="13"/>
    </row>
    <row r="13680" spans="12:13" x14ac:dyDescent="0.2">
      <c r="L13680" s="12"/>
      <c r="M13680" s="13"/>
    </row>
    <row r="13681" spans="12:13" x14ac:dyDescent="0.2">
      <c r="L13681" s="12"/>
      <c r="M13681" s="13"/>
    </row>
    <row r="13682" spans="12:13" x14ac:dyDescent="0.2">
      <c r="L13682" s="12"/>
      <c r="M13682" s="13"/>
    </row>
    <row r="13683" spans="12:13" x14ac:dyDescent="0.2">
      <c r="L13683" s="12"/>
      <c r="M13683" s="13"/>
    </row>
    <row r="13684" spans="12:13" x14ac:dyDescent="0.2">
      <c r="L13684" s="12"/>
      <c r="M13684" s="13"/>
    </row>
    <row r="13685" spans="12:13" x14ac:dyDescent="0.2">
      <c r="L13685" s="12"/>
      <c r="M13685" s="13"/>
    </row>
    <row r="13686" spans="12:13" x14ac:dyDescent="0.2">
      <c r="L13686" s="12"/>
      <c r="M13686" s="13"/>
    </row>
    <row r="13687" spans="12:13" x14ac:dyDescent="0.2">
      <c r="L13687" s="12"/>
      <c r="M13687" s="13"/>
    </row>
    <row r="13688" spans="12:13" x14ac:dyDescent="0.2">
      <c r="L13688" s="12"/>
      <c r="M13688" s="13"/>
    </row>
    <row r="13689" spans="12:13" x14ac:dyDescent="0.2">
      <c r="L13689" s="12"/>
      <c r="M13689" s="13"/>
    </row>
    <row r="13690" spans="12:13" x14ac:dyDescent="0.2">
      <c r="L13690" s="12"/>
      <c r="M13690" s="13"/>
    </row>
    <row r="13691" spans="12:13" x14ac:dyDescent="0.2">
      <c r="L13691" s="12"/>
      <c r="M13691" s="13"/>
    </row>
    <row r="13692" spans="12:13" x14ac:dyDescent="0.2">
      <c r="L13692" s="12"/>
      <c r="M13692" s="13"/>
    </row>
    <row r="13693" spans="12:13" x14ac:dyDescent="0.2">
      <c r="L13693" s="12"/>
      <c r="M13693" s="13"/>
    </row>
    <row r="13694" spans="12:13" x14ac:dyDescent="0.2">
      <c r="L13694" s="12"/>
      <c r="M13694" s="13"/>
    </row>
    <row r="13695" spans="12:13" x14ac:dyDescent="0.2">
      <c r="L13695" s="12"/>
      <c r="M13695" s="13"/>
    </row>
    <row r="13696" spans="12:13" x14ac:dyDescent="0.2">
      <c r="L13696" s="12"/>
      <c r="M13696" s="13"/>
    </row>
    <row r="13697" spans="12:13" x14ac:dyDescent="0.2">
      <c r="L13697" s="12"/>
      <c r="M13697" s="13"/>
    </row>
    <row r="13698" spans="12:13" x14ac:dyDescent="0.2">
      <c r="L13698" s="12"/>
      <c r="M13698" s="13"/>
    </row>
    <row r="13699" spans="12:13" x14ac:dyDescent="0.2">
      <c r="L13699" s="12"/>
      <c r="M13699" s="13"/>
    </row>
    <row r="13700" spans="12:13" x14ac:dyDescent="0.2">
      <c r="L13700" s="12"/>
      <c r="M13700" s="13"/>
    </row>
    <row r="13701" spans="12:13" x14ac:dyDescent="0.2">
      <c r="L13701" s="12"/>
      <c r="M13701" s="13"/>
    </row>
    <row r="13702" spans="12:13" x14ac:dyDescent="0.2">
      <c r="L13702" s="12"/>
      <c r="M13702" s="13"/>
    </row>
    <row r="13703" spans="12:13" x14ac:dyDescent="0.2">
      <c r="L13703" s="12"/>
      <c r="M13703" s="13"/>
    </row>
    <row r="13704" spans="12:13" x14ac:dyDescent="0.2">
      <c r="L13704" s="12"/>
      <c r="M13704" s="13"/>
    </row>
    <row r="13705" spans="12:13" x14ac:dyDescent="0.2">
      <c r="L13705" s="12"/>
      <c r="M13705" s="13"/>
    </row>
    <row r="13706" spans="12:13" x14ac:dyDescent="0.2">
      <c r="L13706" s="12"/>
      <c r="M13706" s="13"/>
    </row>
    <row r="13707" spans="12:13" x14ac:dyDescent="0.2">
      <c r="L13707" s="12"/>
      <c r="M13707" s="13"/>
    </row>
    <row r="13708" spans="12:13" x14ac:dyDescent="0.2">
      <c r="L13708" s="12"/>
      <c r="M13708" s="13"/>
    </row>
    <row r="13709" spans="12:13" x14ac:dyDescent="0.2">
      <c r="L13709" s="12"/>
      <c r="M13709" s="13"/>
    </row>
    <row r="13710" spans="12:13" x14ac:dyDescent="0.2">
      <c r="L13710" s="12"/>
      <c r="M13710" s="13"/>
    </row>
    <row r="13711" spans="12:13" x14ac:dyDescent="0.2">
      <c r="L13711" s="12"/>
      <c r="M13711" s="13"/>
    </row>
    <row r="13712" spans="12:13" x14ac:dyDescent="0.2">
      <c r="L13712" s="12"/>
      <c r="M13712" s="13"/>
    </row>
    <row r="13713" spans="12:13" x14ac:dyDescent="0.2">
      <c r="L13713" s="12"/>
      <c r="M13713" s="13"/>
    </row>
    <row r="13714" spans="12:13" x14ac:dyDescent="0.2">
      <c r="L13714" s="12"/>
      <c r="M13714" s="13"/>
    </row>
    <row r="13715" spans="12:13" x14ac:dyDescent="0.2">
      <c r="L13715" s="12"/>
      <c r="M13715" s="13"/>
    </row>
    <row r="13716" spans="12:13" x14ac:dyDescent="0.2">
      <c r="L13716" s="12"/>
      <c r="M13716" s="13"/>
    </row>
    <row r="13717" spans="12:13" x14ac:dyDescent="0.2">
      <c r="L13717" s="12"/>
      <c r="M13717" s="13"/>
    </row>
    <row r="13718" spans="12:13" x14ac:dyDescent="0.2">
      <c r="L13718" s="12"/>
      <c r="M13718" s="13"/>
    </row>
    <row r="13719" spans="12:13" x14ac:dyDescent="0.2">
      <c r="L13719" s="12"/>
      <c r="M13719" s="13"/>
    </row>
    <row r="13720" spans="12:13" x14ac:dyDescent="0.2">
      <c r="L13720" s="12"/>
      <c r="M13720" s="13"/>
    </row>
    <row r="13721" spans="12:13" x14ac:dyDescent="0.2">
      <c r="L13721" s="12"/>
      <c r="M13721" s="13"/>
    </row>
    <row r="13722" spans="12:13" x14ac:dyDescent="0.2">
      <c r="L13722" s="12"/>
      <c r="M13722" s="13"/>
    </row>
    <row r="13723" spans="12:13" x14ac:dyDescent="0.2">
      <c r="L13723" s="12"/>
      <c r="M13723" s="13"/>
    </row>
    <row r="13724" spans="12:13" x14ac:dyDescent="0.2">
      <c r="L13724" s="12"/>
      <c r="M13724" s="13"/>
    </row>
    <row r="13725" spans="12:13" x14ac:dyDescent="0.2">
      <c r="L13725" s="12"/>
      <c r="M13725" s="13"/>
    </row>
    <row r="13726" spans="12:13" x14ac:dyDescent="0.2">
      <c r="L13726" s="12"/>
      <c r="M13726" s="13"/>
    </row>
    <row r="13727" spans="12:13" x14ac:dyDescent="0.2">
      <c r="L13727" s="12"/>
      <c r="M13727" s="13"/>
    </row>
    <row r="13728" spans="12:13" x14ac:dyDescent="0.2">
      <c r="L13728" s="12"/>
      <c r="M13728" s="13"/>
    </row>
    <row r="13729" spans="12:13" x14ac:dyDescent="0.2">
      <c r="L13729" s="12"/>
      <c r="M13729" s="13"/>
    </row>
    <row r="13730" spans="12:13" x14ac:dyDescent="0.2">
      <c r="L13730" s="12"/>
      <c r="M13730" s="13"/>
    </row>
    <row r="13731" spans="12:13" x14ac:dyDescent="0.2">
      <c r="L13731" s="12"/>
      <c r="M13731" s="13"/>
    </row>
    <row r="13732" spans="12:13" x14ac:dyDescent="0.2">
      <c r="L13732" s="12"/>
      <c r="M13732" s="13"/>
    </row>
    <row r="13733" spans="12:13" x14ac:dyDescent="0.2">
      <c r="L13733" s="12"/>
      <c r="M13733" s="13"/>
    </row>
    <row r="13734" spans="12:13" x14ac:dyDescent="0.2">
      <c r="L13734" s="12"/>
      <c r="M13734" s="13"/>
    </row>
    <row r="13735" spans="12:13" x14ac:dyDescent="0.2">
      <c r="L13735" s="12"/>
      <c r="M13735" s="13"/>
    </row>
    <row r="13736" spans="12:13" x14ac:dyDescent="0.2">
      <c r="L13736" s="12"/>
      <c r="M13736" s="13"/>
    </row>
    <row r="13737" spans="12:13" x14ac:dyDescent="0.2">
      <c r="L13737" s="12"/>
      <c r="M13737" s="13"/>
    </row>
    <row r="13738" spans="12:13" x14ac:dyDescent="0.2">
      <c r="L13738" s="12"/>
      <c r="M13738" s="13"/>
    </row>
    <row r="13739" spans="12:13" x14ac:dyDescent="0.2">
      <c r="L13739" s="12"/>
      <c r="M13739" s="13"/>
    </row>
    <row r="13740" spans="12:13" x14ac:dyDescent="0.2">
      <c r="L13740" s="12"/>
      <c r="M13740" s="13"/>
    </row>
    <row r="13741" spans="12:13" x14ac:dyDescent="0.2">
      <c r="L13741" s="12"/>
      <c r="M13741" s="13"/>
    </row>
    <row r="13742" spans="12:13" x14ac:dyDescent="0.2">
      <c r="L13742" s="12"/>
      <c r="M13742" s="13"/>
    </row>
    <row r="13743" spans="12:13" x14ac:dyDescent="0.2">
      <c r="L13743" s="12"/>
      <c r="M13743" s="13"/>
    </row>
    <row r="13744" spans="12:13" x14ac:dyDescent="0.2">
      <c r="L13744" s="12"/>
      <c r="M13744" s="13"/>
    </row>
    <row r="13745" spans="12:13" x14ac:dyDescent="0.2">
      <c r="L13745" s="12"/>
      <c r="M13745" s="13"/>
    </row>
    <row r="13746" spans="12:13" x14ac:dyDescent="0.2">
      <c r="L13746" s="12"/>
      <c r="M13746" s="13"/>
    </row>
    <row r="13747" spans="12:13" x14ac:dyDescent="0.2">
      <c r="L13747" s="12"/>
      <c r="M13747" s="13"/>
    </row>
    <row r="13748" spans="12:13" x14ac:dyDescent="0.2">
      <c r="L13748" s="12"/>
      <c r="M13748" s="13"/>
    </row>
    <row r="13749" spans="12:13" x14ac:dyDescent="0.2">
      <c r="L13749" s="12"/>
      <c r="M13749" s="13"/>
    </row>
    <row r="13750" spans="12:13" x14ac:dyDescent="0.2">
      <c r="L13750" s="12"/>
      <c r="M13750" s="13"/>
    </row>
    <row r="13751" spans="12:13" x14ac:dyDescent="0.2">
      <c r="L13751" s="12"/>
      <c r="M13751" s="13"/>
    </row>
    <row r="13752" spans="12:13" x14ac:dyDescent="0.2">
      <c r="L13752" s="12"/>
      <c r="M13752" s="13"/>
    </row>
    <row r="13753" spans="12:13" x14ac:dyDescent="0.2">
      <c r="L13753" s="12"/>
      <c r="M13753" s="13"/>
    </row>
    <row r="13754" spans="12:13" x14ac:dyDescent="0.2">
      <c r="L13754" s="12"/>
      <c r="M13754" s="13"/>
    </row>
    <row r="13755" spans="12:13" x14ac:dyDescent="0.2">
      <c r="L13755" s="12"/>
      <c r="M13755" s="13"/>
    </row>
    <row r="13756" spans="12:13" x14ac:dyDescent="0.2">
      <c r="L13756" s="12"/>
      <c r="M13756" s="13"/>
    </row>
    <row r="13757" spans="12:13" x14ac:dyDescent="0.2">
      <c r="L13757" s="12"/>
      <c r="M13757" s="13"/>
    </row>
    <row r="13758" spans="12:13" x14ac:dyDescent="0.2">
      <c r="L13758" s="12"/>
      <c r="M13758" s="13"/>
    </row>
    <row r="13759" spans="12:13" x14ac:dyDescent="0.2">
      <c r="L13759" s="12"/>
      <c r="M13759" s="13"/>
    </row>
    <row r="13760" spans="12:13" x14ac:dyDescent="0.2">
      <c r="L13760" s="12"/>
      <c r="M13760" s="13"/>
    </row>
    <row r="13761" spans="12:13" x14ac:dyDescent="0.2">
      <c r="L13761" s="12"/>
      <c r="M13761" s="13"/>
    </row>
    <row r="13762" spans="12:13" x14ac:dyDescent="0.2">
      <c r="L13762" s="12"/>
      <c r="M13762" s="13"/>
    </row>
    <row r="13763" spans="12:13" x14ac:dyDescent="0.2">
      <c r="L13763" s="12"/>
      <c r="M13763" s="13"/>
    </row>
    <row r="13764" spans="12:13" x14ac:dyDescent="0.2">
      <c r="L13764" s="12"/>
      <c r="M13764" s="13"/>
    </row>
    <row r="13765" spans="12:13" x14ac:dyDescent="0.2">
      <c r="L13765" s="12"/>
      <c r="M13765" s="13"/>
    </row>
    <row r="13766" spans="12:13" x14ac:dyDescent="0.2">
      <c r="L13766" s="12"/>
      <c r="M13766" s="13"/>
    </row>
    <row r="13767" spans="12:13" x14ac:dyDescent="0.2">
      <c r="L13767" s="12"/>
      <c r="M13767" s="13"/>
    </row>
    <row r="13768" spans="12:13" x14ac:dyDescent="0.2">
      <c r="L13768" s="12"/>
      <c r="M13768" s="13"/>
    </row>
    <row r="13769" spans="12:13" x14ac:dyDescent="0.2">
      <c r="L13769" s="12"/>
      <c r="M13769" s="13"/>
    </row>
    <row r="13770" spans="12:13" x14ac:dyDescent="0.2">
      <c r="L13770" s="12"/>
      <c r="M13770" s="13"/>
    </row>
    <row r="13771" spans="12:13" x14ac:dyDescent="0.2">
      <c r="L13771" s="12"/>
      <c r="M13771" s="13"/>
    </row>
    <row r="13772" spans="12:13" x14ac:dyDescent="0.2">
      <c r="L13772" s="12"/>
      <c r="M13772" s="13"/>
    </row>
    <row r="13773" spans="12:13" x14ac:dyDescent="0.2">
      <c r="L13773" s="12"/>
      <c r="M13773" s="13"/>
    </row>
    <row r="13774" spans="12:13" x14ac:dyDescent="0.2">
      <c r="L13774" s="12"/>
      <c r="M13774" s="13"/>
    </row>
    <row r="13775" spans="12:13" x14ac:dyDescent="0.2">
      <c r="L13775" s="12"/>
      <c r="M13775" s="13"/>
    </row>
    <row r="13776" spans="12:13" x14ac:dyDescent="0.2">
      <c r="L13776" s="12"/>
      <c r="M13776" s="13"/>
    </row>
    <row r="13777" spans="12:13" x14ac:dyDescent="0.2">
      <c r="L13777" s="12"/>
      <c r="M13777" s="13"/>
    </row>
    <row r="13778" spans="12:13" x14ac:dyDescent="0.2">
      <c r="L13778" s="12"/>
      <c r="M13778" s="13"/>
    </row>
    <row r="13779" spans="12:13" x14ac:dyDescent="0.2">
      <c r="L13779" s="12"/>
      <c r="M13779" s="13"/>
    </row>
    <row r="13780" spans="12:13" x14ac:dyDescent="0.2">
      <c r="L13780" s="12"/>
      <c r="M13780" s="13"/>
    </row>
    <row r="13781" spans="12:13" x14ac:dyDescent="0.2">
      <c r="L13781" s="12"/>
      <c r="M13781" s="13"/>
    </row>
    <row r="13782" spans="12:13" x14ac:dyDescent="0.2">
      <c r="L13782" s="12"/>
      <c r="M13782" s="13"/>
    </row>
    <row r="13783" spans="12:13" x14ac:dyDescent="0.2">
      <c r="L13783" s="12"/>
      <c r="M13783" s="13"/>
    </row>
    <row r="13784" spans="12:13" x14ac:dyDescent="0.2">
      <c r="L13784" s="12"/>
      <c r="M13784" s="13"/>
    </row>
    <row r="13785" spans="12:13" x14ac:dyDescent="0.2">
      <c r="L13785" s="12"/>
      <c r="M13785" s="13"/>
    </row>
    <row r="13786" spans="12:13" x14ac:dyDescent="0.2">
      <c r="L13786" s="12"/>
      <c r="M13786" s="13"/>
    </row>
    <row r="13787" spans="12:13" x14ac:dyDescent="0.2">
      <c r="L13787" s="12"/>
      <c r="M13787" s="13"/>
    </row>
    <row r="13788" spans="12:13" x14ac:dyDescent="0.2">
      <c r="L13788" s="12"/>
      <c r="M13788" s="13"/>
    </row>
    <row r="13789" spans="12:13" x14ac:dyDescent="0.2">
      <c r="L13789" s="12"/>
      <c r="M13789" s="13"/>
    </row>
    <row r="13790" spans="12:13" x14ac:dyDescent="0.2">
      <c r="L13790" s="12"/>
      <c r="M13790" s="13"/>
    </row>
    <row r="13791" spans="12:13" x14ac:dyDescent="0.2">
      <c r="L13791" s="12"/>
      <c r="M13791" s="13"/>
    </row>
    <row r="13792" spans="12:13" x14ac:dyDescent="0.2">
      <c r="L13792" s="12"/>
      <c r="M13792" s="13"/>
    </row>
    <row r="13793" spans="12:13" x14ac:dyDescent="0.2">
      <c r="L13793" s="12"/>
      <c r="M13793" s="13"/>
    </row>
    <row r="13794" spans="12:13" x14ac:dyDescent="0.2">
      <c r="L13794" s="12"/>
      <c r="M13794" s="13"/>
    </row>
    <row r="13795" spans="12:13" x14ac:dyDescent="0.2">
      <c r="L13795" s="12"/>
      <c r="M13795" s="13"/>
    </row>
    <row r="13796" spans="12:13" x14ac:dyDescent="0.2">
      <c r="L13796" s="12"/>
      <c r="M13796" s="13"/>
    </row>
    <row r="13797" spans="12:13" x14ac:dyDescent="0.2">
      <c r="L13797" s="12"/>
      <c r="M13797" s="13"/>
    </row>
    <row r="13798" spans="12:13" x14ac:dyDescent="0.2">
      <c r="L13798" s="12"/>
      <c r="M13798" s="13"/>
    </row>
    <row r="13799" spans="12:13" x14ac:dyDescent="0.2">
      <c r="L13799" s="12"/>
      <c r="M13799" s="13"/>
    </row>
    <row r="13800" spans="12:13" x14ac:dyDescent="0.2">
      <c r="L13800" s="12"/>
      <c r="M13800" s="13"/>
    </row>
    <row r="13801" spans="12:13" x14ac:dyDescent="0.2">
      <c r="L13801" s="12"/>
      <c r="M13801" s="13"/>
    </row>
    <row r="13802" spans="12:13" x14ac:dyDescent="0.2">
      <c r="L13802" s="12"/>
      <c r="M13802" s="13"/>
    </row>
    <row r="13803" spans="12:13" x14ac:dyDescent="0.2">
      <c r="L13803" s="12"/>
      <c r="M13803" s="13"/>
    </row>
    <row r="13804" spans="12:13" x14ac:dyDescent="0.2">
      <c r="L13804" s="12"/>
      <c r="M13804" s="13"/>
    </row>
    <row r="13805" spans="12:13" x14ac:dyDescent="0.2">
      <c r="L13805" s="12"/>
      <c r="M13805" s="13"/>
    </row>
    <row r="13806" spans="12:13" x14ac:dyDescent="0.2">
      <c r="L13806" s="12"/>
      <c r="M13806" s="13"/>
    </row>
    <row r="13807" spans="12:13" x14ac:dyDescent="0.2">
      <c r="L13807" s="12"/>
      <c r="M13807" s="13"/>
    </row>
    <row r="13808" spans="12:13" x14ac:dyDescent="0.2">
      <c r="L13808" s="12"/>
      <c r="M13808" s="13"/>
    </row>
    <row r="13809" spans="12:13" x14ac:dyDescent="0.2">
      <c r="L13809" s="12"/>
      <c r="M13809" s="13"/>
    </row>
    <row r="13810" spans="12:13" x14ac:dyDescent="0.2">
      <c r="L13810" s="12"/>
      <c r="M13810" s="13"/>
    </row>
    <row r="13811" spans="12:13" x14ac:dyDescent="0.2">
      <c r="L13811" s="12"/>
      <c r="M13811" s="13"/>
    </row>
    <row r="13812" spans="12:13" x14ac:dyDescent="0.2">
      <c r="L13812" s="12"/>
      <c r="M13812" s="13"/>
    </row>
    <row r="13813" spans="12:13" x14ac:dyDescent="0.2">
      <c r="L13813" s="12"/>
      <c r="M13813" s="13"/>
    </row>
    <row r="13814" spans="12:13" x14ac:dyDescent="0.2">
      <c r="L13814" s="12"/>
      <c r="M13814" s="13"/>
    </row>
    <row r="13815" spans="12:13" x14ac:dyDescent="0.2">
      <c r="L13815" s="12"/>
      <c r="M13815" s="13"/>
    </row>
    <row r="13816" spans="12:13" x14ac:dyDescent="0.2">
      <c r="L13816" s="12"/>
      <c r="M13816" s="13"/>
    </row>
    <row r="13817" spans="12:13" x14ac:dyDescent="0.2">
      <c r="L13817" s="12"/>
      <c r="M13817" s="13"/>
    </row>
    <row r="13818" spans="12:13" x14ac:dyDescent="0.2">
      <c r="L13818" s="12"/>
      <c r="M13818" s="13"/>
    </row>
    <row r="13819" spans="12:13" x14ac:dyDescent="0.2">
      <c r="L13819" s="12"/>
      <c r="M13819" s="13"/>
    </row>
    <row r="13820" spans="12:13" x14ac:dyDescent="0.2">
      <c r="L13820" s="12"/>
      <c r="M13820" s="13"/>
    </row>
    <row r="13821" spans="12:13" x14ac:dyDescent="0.2">
      <c r="L13821" s="12"/>
      <c r="M13821" s="13"/>
    </row>
    <row r="13822" spans="12:13" x14ac:dyDescent="0.2">
      <c r="L13822" s="12"/>
      <c r="M13822" s="13"/>
    </row>
    <row r="13823" spans="12:13" x14ac:dyDescent="0.2">
      <c r="L13823" s="12"/>
      <c r="M13823" s="13"/>
    </row>
    <row r="13824" spans="12:13" x14ac:dyDescent="0.2">
      <c r="L13824" s="12"/>
      <c r="M13824" s="13"/>
    </row>
    <row r="13825" spans="12:13" x14ac:dyDescent="0.2">
      <c r="L13825" s="12"/>
      <c r="M13825" s="13"/>
    </row>
    <row r="13826" spans="12:13" x14ac:dyDescent="0.2">
      <c r="L13826" s="17"/>
      <c r="M13826" s="18"/>
    </row>
    <row r="13827" spans="12:13" x14ac:dyDescent="0.2">
      <c r="L13827" s="12"/>
      <c r="M13827" s="13"/>
    </row>
    <row r="13828" spans="12:13" x14ac:dyDescent="0.2">
      <c r="L13828" s="12"/>
      <c r="M13828" s="13"/>
    </row>
    <row r="13829" spans="12:13" x14ac:dyDescent="0.2">
      <c r="L13829" s="12"/>
      <c r="M13829" s="13"/>
    </row>
    <row r="13830" spans="12:13" x14ac:dyDescent="0.2">
      <c r="L13830" s="12"/>
      <c r="M13830" s="13"/>
    </row>
    <row r="13831" spans="12:13" x14ac:dyDescent="0.2">
      <c r="L13831" s="12"/>
      <c r="M13831" s="13"/>
    </row>
    <row r="13832" spans="12:13" x14ac:dyDescent="0.2">
      <c r="L13832" s="12"/>
      <c r="M13832" s="13"/>
    </row>
    <row r="13833" spans="12:13" x14ac:dyDescent="0.2">
      <c r="L13833" s="12"/>
      <c r="M13833" s="13"/>
    </row>
    <row r="13834" spans="12:13" x14ac:dyDescent="0.2">
      <c r="L13834" s="12"/>
      <c r="M13834" s="13"/>
    </row>
    <row r="13835" spans="12:13" x14ac:dyDescent="0.2">
      <c r="L13835" s="12"/>
      <c r="M13835" s="13"/>
    </row>
    <row r="13836" spans="12:13" x14ac:dyDescent="0.2">
      <c r="L13836" s="12"/>
      <c r="M13836" s="13"/>
    </row>
    <row r="13837" spans="12:13" x14ac:dyDescent="0.2">
      <c r="L13837" s="12"/>
      <c r="M13837" s="13"/>
    </row>
    <row r="13838" spans="12:13" x14ac:dyDescent="0.2">
      <c r="L13838" s="12"/>
      <c r="M13838" s="13"/>
    </row>
    <row r="13839" spans="12:13" x14ac:dyDescent="0.2">
      <c r="L13839" s="12"/>
      <c r="M13839" s="13"/>
    </row>
    <row r="13840" spans="12:13" x14ac:dyDescent="0.2">
      <c r="L13840" s="12"/>
      <c r="M13840" s="13"/>
    </row>
    <row r="13841" spans="12:13" x14ac:dyDescent="0.2">
      <c r="L13841" s="12"/>
      <c r="M13841" s="13"/>
    </row>
    <row r="13842" spans="12:13" x14ac:dyDescent="0.2">
      <c r="L13842" s="12"/>
      <c r="M13842" s="13"/>
    </row>
    <row r="13843" spans="12:13" x14ac:dyDescent="0.2">
      <c r="L13843" s="12"/>
      <c r="M13843" s="13"/>
    </row>
    <row r="13844" spans="12:13" x14ac:dyDescent="0.2">
      <c r="L13844" s="12"/>
      <c r="M13844" s="13"/>
    </row>
    <row r="13845" spans="12:13" x14ac:dyDescent="0.2">
      <c r="L13845" s="12"/>
      <c r="M13845" s="13"/>
    </row>
    <row r="13846" spans="12:13" x14ac:dyDescent="0.2">
      <c r="L13846" s="12"/>
      <c r="M13846" s="13"/>
    </row>
    <row r="13847" spans="12:13" x14ac:dyDescent="0.2">
      <c r="L13847" s="12"/>
      <c r="M13847" s="13"/>
    </row>
    <row r="13848" spans="12:13" x14ac:dyDescent="0.2">
      <c r="L13848" s="12"/>
      <c r="M13848" s="13"/>
    </row>
    <row r="13849" spans="12:13" x14ac:dyDescent="0.2">
      <c r="L13849" s="12"/>
      <c r="M13849" s="13"/>
    </row>
    <row r="13850" spans="12:13" x14ac:dyDescent="0.2">
      <c r="L13850" s="12"/>
      <c r="M13850" s="13"/>
    </row>
    <row r="13851" spans="12:13" x14ac:dyDescent="0.2">
      <c r="L13851" s="12"/>
      <c r="M13851" s="13"/>
    </row>
    <row r="13852" spans="12:13" x14ac:dyDescent="0.2">
      <c r="L13852" s="12"/>
      <c r="M13852" s="13"/>
    </row>
    <row r="13853" spans="12:13" x14ac:dyDescent="0.2">
      <c r="L13853" s="12"/>
      <c r="M13853" s="13"/>
    </row>
    <row r="13854" spans="12:13" x14ac:dyDescent="0.2">
      <c r="L13854" s="12"/>
      <c r="M13854" s="13"/>
    </row>
    <row r="13855" spans="12:13" x14ac:dyDescent="0.2">
      <c r="L13855" s="12"/>
      <c r="M13855" s="13"/>
    </row>
    <row r="13856" spans="12:13" x14ac:dyDescent="0.2">
      <c r="L13856" s="12"/>
      <c r="M13856" s="13"/>
    </row>
    <row r="13857" spans="12:13" x14ac:dyDescent="0.2">
      <c r="L13857" s="12"/>
      <c r="M13857" s="13"/>
    </row>
    <row r="13858" spans="12:13" x14ac:dyDescent="0.2">
      <c r="L13858" s="12"/>
      <c r="M13858" s="13"/>
    </row>
    <row r="13859" spans="12:13" x14ac:dyDescent="0.2">
      <c r="L13859" s="12"/>
      <c r="M13859" s="13"/>
    </row>
    <row r="13860" spans="12:13" x14ac:dyDescent="0.2">
      <c r="L13860" s="12"/>
      <c r="M13860" s="13"/>
    </row>
    <row r="13861" spans="12:13" x14ac:dyDescent="0.2">
      <c r="L13861" s="12"/>
      <c r="M13861" s="13"/>
    </row>
    <row r="13862" spans="12:13" x14ac:dyDescent="0.2">
      <c r="L13862" s="12"/>
      <c r="M13862" s="13"/>
    </row>
    <row r="13863" spans="12:13" x14ac:dyDescent="0.2">
      <c r="L13863" s="12"/>
      <c r="M13863" s="13"/>
    </row>
    <row r="13864" spans="12:13" x14ac:dyDescent="0.2">
      <c r="L13864" s="12"/>
      <c r="M13864" s="13"/>
    </row>
    <row r="13865" spans="12:13" x14ac:dyDescent="0.2">
      <c r="L13865" s="12"/>
      <c r="M13865" s="13"/>
    </row>
    <row r="13866" spans="12:13" x14ac:dyDescent="0.2">
      <c r="L13866" s="12"/>
      <c r="M13866" s="13"/>
    </row>
    <row r="13867" spans="12:13" x14ac:dyDescent="0.2">
      <c r="L13867" s="12"/>
      <c r="M13867" s="13"/>
    </row>
    <row r="13868" spans="12:13" x14ac:dyDescent="0.2">
      <c r="L13868" s="12"/>
      <c r="M13868" s="13"/>
    </row>
    <row r="13869" spans="12:13" x14ac:dyDescent="0.2">
      <c r="L13869" s="12"/>
      <c r="M13869" s="13"/>
    </row>
    <row r="13870" spans="12:13" x14ac:dyDescent="0.2">
      <c r="L13870" s="12"/>
      <c r="M13870" s="13"/>
    </row>
    <row r="13871" spans="12:13" x14ac:dyDescent="0.2">
      <c r="L13871" s="12"/>
      <c r="M13871" s="13"/>
    </row>
    <row r="13872" spans="12:13" x14ac:dyDescent="0.2">
      <c r="L13872" s="12"/>
      <c r="M13872" s="13"/>
    </row>
    <row r="13873" spans="12:13" x14ac:dyDescent="0.2">
      <c r="L13873" s="12"/>
      <c r="M13873" s="13"/>
    </row>
    <row r="13874" spans="12:13" x14ac:dyDescent="0.2">
      <c r="L13874" s="12"/>
      <c r="M13874" s="13"/>
    </row>
    <row r="13875" spans="12:13" x14ac:dyDescent="0.2">
      <c r="L13875" s="12"/>
      <c r="M13875" s="13"/>
    </row>
    <row r="13876" spans="12:13" x14ac:dyDescent="0.2">
      <c r="L13876" s="12"/>
      <c r="M13876" s="13"/>
    </row>
    <row r="13877" spans="12:13" x14ac:dyDescent="0.2">
      <c r="L13877" s="12"/>
      <c r="M13877" s="13"/>
    </row>
    <row r="13878" spans="12:13" x14ac:dyDescent="0.2">
      <c r="L13878" s="12"/>
      <c r="M13878" s="13"/>
    </row>
    <row r="13879" spans="12:13" x14ac:dyDescent="0.2">
      <c r="L13879" s="12"/>
      <c r="M13879" s="13"/>
    </row>
    <row r="13880" spans="12:13" x14ac:dyDescent="0.2">
      <c r="L13880" s="12"/>
      <c r="M13880" s="13"/>
    </row>
    <row r="13881" spans="12:13" x14ac:dyDescent="0.2">
      <c r="L13881" s="12"/>
      <c r="M13881" s="13"/>
    </row>
    <row r="13882" spans="12:13" x14ac:dyDescent="0.2">
      <c r="L13882" s="12"/>
      <c r="M13882" s="13"/>
    </row>
    <row r="13883" spans="12:13" x14ac:dyDescent="0.2">
      <c r="L13883" s="12"/>
      <c r="M13883" s="13"/>
    </row>
    <row r="13884" spans="12:13" x14ac:dyDescent="0.2">
      <c r="L13884" s="12"/>
      <c r="M13884" s="13"/>
    </row>
    <row r="13885" spans="12:13" x14ac:dyDescent="0.2">
      <c r="L13885" s="12"/>
      <c r="M13885" s="13"/>
    </row>
    <row r="13886" spans="12:13" x14ac:dyDescent="0.2">
      <c r="L13886" s="12"/>
      <c r="M13886" s="13"/>
    </row>
    <row r="13887" spans="12:13" x14ac:dyDescent="0.2">
      <c r="L13887" s="12"/>
      <c r="M13887" s="13"/>
    </row>
    <row r="13888" spans="12:13" x14ac:dyDescent="0.2">
      <c r="L13888" s="12"/>
      <c r="M13888" s="13"/>
    </row>
    <row r="13889" spans="12:13" x14ac:dyDescent="0.2">
      <c r="L13889" s="12"/>
      <c r="M13889" s="13"/>
    </row>
    <row r="13890" spans="12:13" x14ac:dyDescent="0.2">
      <c r="L13890" s="12"/>
      <c r="M13890" s="13"/>
    </row>
    <row r="13891" spans="12:13" x14ac:dyDescent="0.2">
      <c r="L13891" s="12"/>
      <c r="M13891" s="13"/>
    </row>
    <row r="13892" spans="12:13" x14ac:dyDescent="0.2">
      <c r="L13892" s="12"/>
      <c r="M13892" s="13"/>
    </row>
    <row r="13893" spans="12:13" x14ac:dyDescent="0.2">
      <c r="L13893" s="12"/>
      <c r="M13893" s="13"/>
    </row>
    <row r="13894" spans="12:13" x14ac:dyDescent="0.2">
      <c r="L13894" s="12"/>
      <c r="M13894" s="13"/>
    </row>
    <row r="13895" spans="12:13" x14ac:dyDescent="0.2">
      <c r="L13895" s="12"/>
      <c r="M13895" s="13"/>
    </row>
    <row r="13896" spans="12:13" x14ac:dyDescent="0.2">
      <c r="L13896" s="12"/>
      <c r="M13896" s="13"/>
    </row>
    <row r="13897" spans="12:13" x14ac:dyDescent="0.2">
      <c r="L13897" s="12"/>
      <c r="M13897" s="13"/>
    </row>
    <row r="13898" spans="12:13" x14ac:dyDescent="0.2">
      <c r="L13898" s="12"/>
      <c r="M13898" s="13"/>
    </row>
    <row r="13899" spans="12:13" x14ac:dyDescent="0.2">
      <c r="L13899" s="12"/>
      <c r="M13899" s="13"/>
    </row>
    <row r="13900" spans="12:13" x14ac:dyDescent="0.2">
      <c r="L13900" s="12"/>
      <c r="M13900" s="13"/>
    </row>
    <row r="13901" spans="12:13" x14ac:dyDescent="0.2">
      <c r="L13901" s="12"/>
      <c r="M13901" s="13"/>
    </row>
    <row r="13902" spans="12:13" x14ac:dyDescent="0.2">
      <c r="L13902" s="12"/>
      <c r="M13902" s="13"/>
    </row>
    <row r="13903" spans="12:13" x14ac:dyDescent="0.2">
      <c r="L13903" s="12"/>
      <c r="M13903" s="13"/>
    </row>
    <row r="13904" spans="12:13" x14ac:dyDescent="0.2">
      <c r="L13904" s="12"/>
      <c r="M13904" s="13"/>
    </row>
    <row r="13905" spans="12:13" x14ac:dyDescent="0.2">
      <c r="L13905" s="12"/>
      <c r="M13905" s="13"/>
    </row>
    <row r="13906" spans="12:13" x14ac:dyDescent="0.2">
      <c r="L13906" s="12"/>
      <c r="M13906" s="13"/>
    </row>
    <row r="13907" spans="12:13" x14ac:dyDescent="0.2">
      <c r="L13907" s="12"/>
      <c r="M13907" s="13"/>
    </row>
    <row r="13908" spans="12:13" x14ac:dyDescent="0.2">
      <c r="L13908" s="12"/>
      <c r="M13908" s="13"/>
    </row>
    <row r="13909" spans="12:13" x14ac:dyDescent="0.2">
      <c r="L13909" s="12"/>
      <c r="M13909" s="13"/>
    </row>
    <row r="13910" spans="12:13" x14ac:dyDescent="0.2">
      <c r="L13910" s="12"/>
      <c r="M13910" s="13"/>
    </row>
    <row r="13911" spans="12:13" x14ac:dyDescent="0.2">
      <c r="L13911" s="12"/>
      <c r="M13911" s="13"/>
    </row>
    <row r="13912" spans="12:13" x14ac:dyDescent="0.2">
      <c r="L13912" s="12"/>
      <c r="M13912" s="13"/>
    </row>
    <row r="13913" spans="12:13" x14ac:dyDescent="0.2">
      <c r="L13913" s="12"/>
      <c r="M13913" s="13"/>
    </row>
    <row r="13914" spans="12:13" x14ac:dyDescent="0.2">
      <c r="L13914" s="12"/>
      <c r="M13914" s="13"/>
    </row>
    <row r="13915" spans="12:13" x14ac:dyDescent="0.2">
      <c r="L13915" s="12"/>
      <c r="M13915" s="13"/>
    </row>
    <row r="13916" spans="12:13" x14ac:dyDescent="0.2">
      <c r="L13916" s="12"/>
      <c r="M13916" s="13"/>
    </row>
    <row r="13917" spans="12:13" x14ac:dyDescent="0.2">
      <c r="L13917" s="12"/>
      <c r="M13917" s="13"/>
    </row>
    <row r="13918" spans="12:13" x14ac:dyDescent="0.2">
      <c r="L13918" s="12"/>
      <c r="M13918" s="13"/>
    </row>
    <row r="13919" spans="12:13" x14ac:dyDescent="0.2">
      <c r="L13919" s="12"/>
      <c r="M13919" s="13"/>
    </row>
    <row r="13920" spans="12:13" x14ac:dyDescent="0.2">
      <c r="L13920" s="12"/>
      <c r="M13920" s="13"/>
    </row>
    <row r="13921" spans="12:13" x14ac:dyDescent="0.2">
      <c r="L13921" s="12"/>
      <c r="M13921" s="13"/>
    </row>
    <row r="13922" spans="12:13" x14ac:dyDescent="0.2">
      <c r="L13922" s="12"/>
      <c r="M13922" s="13"/>
    </row>
    <row r="13923" spans="12:13" x14ac:dyDescent="0.2">
      <c r="L13923" s="12"/>
      <c r="M13923" s="13"/>
    </row>
    <row r="13924" spans="12:13" x14ac:dyDescent="0.2">
      <c r="L13924" s="12"/>
      <c r="M13924" s="13"/>
    </row>
    <row r="13925" spans="12:13" x14ac:dyDescent="0.2">
      <c r="L13925" s="12"/>
      <c r="M13925" s="13"/>
    </row>
    <row r="13926" spans="12:13" x14ac:dyDescent="0.2">
      <c r="L13926" s="12"/>
      <c r="M13926" s="13"/>
    </row>
    <row r="13927" spans="12:13" x14ac:dyDescent="0.2">
      <c r="L13927" s="12"/>
      <c r="M13927" s="13"/>
    </row>
    <row r="13928" spans="12:13" x14ac:dyDescent="0.2">
      <c r="L13928" s="12"/>
      <c r="M13928" s="13"/>
    </row>
    <row r="13929" spans="12:13" x14ac:dyDescent="0.2">
      <c r="L13929" s="12"/>
      <c r="M13929" s="13"/>
    </row>
    <row r="13930" spans="12:13" x14ac:dyDescent="0.2">
      <c r="L13930" s="12"/>
      <c r="M13930" s="13"/>
    </row>
    <row r="13931" spans="12:13" x14ac:dyDescent="0.2">
      <c r="L13931" s="12"/>
      <c r="M13931" s="13"/>
    </row>
    <row r="13932" spans="12:13" x14ac:dyDescent="0.2">
      <c r="L13932" s="12"/>
      <c r="M13932" s="13"/>
    </row>
    <row r="13933" spans="12:13" x14ac:dyDescent="0.2">
      <c r="L13933" s="12"/>
      <c r="M13933" s="13"/>
    </row>
    <row r="13934" spans="12:13" x14ac:dyDescent="0.2">
      <c r="L13934" s="12"/>
      <c r="M13934" s="13"/>
    </row>
    <row r="13935" spans="12:13" x14ac:dyDescent="0.2">
      <c r="L13935" s="12"/>
      <c r="M13935" s="13"/>
    </row>
    <row r="13936" spans="12:13" x14ac:dyDescent="0.2">
      <c r="L13936" s="12"/>
      <c r="M13936" s="13"/>
    </row>
    <row r="13937" spans="12:13" x14ac:dyDescent="0.2">
      <c r="L13937" s="12"/>
      <c r="M13937" s="13"/>
    </row>
    <row r="13938" spans="12:13" x14ac:dyDescent="0.2">
      <c r="L13938" s="12"/>
      <c r="M13938" s="13"/>
    </row>
    <row r="13939" spans="12:13" x14ac:dyDescent="0.2">
      <c r="L13939" s="12"/>
      <c r="M13939" s="13"/>
    </row>
    <row r="13940" spans="12:13" x14ac:dyDescent="0.2">
      <c r="L13940" s="12"/>
      <c r="M13940" s="13"/>
    </row>
    <row r="13941" spans="12:13" x14ac:dyDescent="0.2">
      <c r="L13941" s="12"/>
      <c r="M13941" s="13"/>
    </row>
    <row r="13942" spans="12:13" x14ac:dyDescent="0.2">
      <c r="L13942" s="12"/>
      <c r="M13942" s="13"/>
    </row>
    <row r="13943" spans="12:13" x14ac:dyDescent="0.2">
      <c r="L13943" s="12"/>
      <c r="M13943" s="13"/>
    </row>
    <row r="13944" spans="12:13" x14ac:dyDescent="0.2">
      <c r="L13944" s="12"/>
      <c r="M13944" s="13"/>
    </row>
    <row r="13945" spans="12:13" x14ac:dyDescent="0.2">
      <c r="L13945" s="12"/>
      <c r="M13945" s="13"/>
    </row>
    <row r="13946" spans="12:13" x14ac:dyDescent="0.2">
      <c r="L13946" s="12"/>
      <c r="M13946" s="13"/>
    </row>
    <row r="13947" spans="12:13" x14ac:dyDescent="0.2">
      <c r="L13947" s="12"/>
      <c r="M13947" s="13"/>
    </row>
    <row r="13948" spans="12:13" x14ac:dyDescent="0.2">
      <c r="L13948" s="12"/>
      <c r="M13948" s="13"/>
    </row>
    <row r="13949" spans="12:13" x14ac:dyDescent="0.2">
      <c r="L13949" s="12"/>
      <c r="M13949" s="13"/>
    </row>
    <row r="13950" spans="12:13" x14ac:dyDescent="0.2">
      <c r="L13950" s="12"/>
      <c r="M13950" s="13"/>
    </row>
    <row r="13951" spans="12:13" x14ac:dyDescent="0.2">
      <c r="L13951" s="12"/>
      <c r="M13951" s="13"/>
    </row>
    <row r="13952" spans="12:13" x14ac:dyDescent="0.2">
      <c r="L13952" s="12"/>
      <c r="M13952" s="13"/>
    </row>
    <row r="13953" spans="12:13" x14ac:dyDescent="0.2">
      <c r="L13953" s="12"/>
      <c r="M13953" s="13"/>
    </row>
    <row r="13954" spans="12:13" x14ac:dyDescent="0.2">
      <c r="L13954" s="12"/>
      <c r="M13954" s="13"/>
    </row>
    <row r="13955" spans="12:13" x14ac:dyDescent="0.2">
      <c r="L13955" s="12"/>
      <c r="M13955" s="13"/>
    </row>
    <row r="13956" spans="12:13" x14ac:dyDescent="0.2">
      <c r="L13956" s="12"/>
      <c r="M13956" s="13"/>
    </row>
    <row r="13957" spans="12:13" x14ac:dyDescent="0.2">
      <c r="L13957" s="12"/>
      <c r="M13957" s="13"/>
    </row>
    <row r="13958" spans="12:13" x14ac:dyDescent="0.2">
      <c r="L13958" s="12"/>
      <c r="M13958" s="13"/>
    </row>
    <row r="13959" spans="12:13" x14ac:dyDescent="0.2">
      <c r="L13959" s="12"/>
      <c r="M13959" s="13"/>
    </row>
    <row r="13960" spans="12:13" x14ac:dyDescent="0.2">
      <c r="L13960" s="12"/>
      <c r="M13960" s="13"/>
    </row>
    <row r="13961" spans="12:13" x14ac:dyDescent="0.2">
      <c r="L13961" s="12"/>
      <c r="M13961" s="13"/>
    </row>
    <row r="13962" spans="12:13" x14ac:dyDescent="0.2">
      <c r="L13962" s="12"/>
      <c r="M13962" s="13"/>
    </row>
    <row r="13963" spans="12:13" x14ac:dyDescent="0.2">
      <c r="L13963" s="12"/>
      <c r="M13963" s="13"/>
    </row>
    <row r="13964" spans="12:13" x14ac:dyDescent="0.2">
      <c r="L13964" s="12"/>
      <c r="M13964" s="13"/>
    </row>
    <row r="13965" spans="12:13" x14ac:dyDescent="0.2">
      <c r="L13965" s="12"/>
      <c r="M13965" s="13"/>
    </row>
    <row r="13966" spans="12:13" x14ac:dyDescent="0.2">
      <c r="L13966" s="12"/>
      <c r="M13966" s="13"/>
    </row>
    <row r="13967" spans="12:13" x14ac:dyDescent="0.2">
      <c r="L13967" s="12"/>
      <c r="M13967" s="13"/>
    </row>
    <row r="13968" spans="12:13" x14ac:dyDescent="0.2">
      <c r="L13968" s="12"/>
      <c r="M13968" s="13"/>
    </row>
    <row r="13969" spans="12:13" x14ac:dyDescent="0.2">
      <c r="L13969" s="12"/>
      <c r="M13969" s="13"/>
    </row>
    <row r="13970" spans="12:13" x14ac:dyDescent="0.2">
      <c r="L13970" s="12"/>
      <c r="M13970" s="13"/>
    </row>
    <row r="13971" spans="12:13" x14ac:dyDescent="0.2">
      <c r="L13971" s="12"/>
      <c r="M13971" s="13"/>
    </row>
    <row r="13972" spans="12:13" x14ac:dyDescent="0.2">
      <c r="L13972" s="12"/>
      <c r="M13972" s="13"/>
    </row>
    <row r="13973" spans="12:13" x14ac:dyDescent="0.2">
      <c r="L13973" s="12"/>
      <c r="M13973" s="13"/>
    </row>
    <row r="13974" spans="12:13" x14ac:dyDescent="0.2">
      <c r="L13974" s="12"/>
      <c r="M13974" s="13"/>
    </row>
    <row r="13975" spans="12:13" x14ac:dyDescent="0.2">
      <c r="L13975" s="12"/>
      <c r="M13975" s="13"/>
    </row>
    <row r="13976" spans="12:13" x14ac:dyDescent="0.2">
      <c r="L13976" s="12"/>
      <c r="M13976" s="13"/>
    </row>
    <row r="13977" spans="12:13" x14ac:dyDescent="0.2">
      <c r="L13977" s="12"/>
      <c r="M13977" s="13"/>
    </row>
    <row r="13978" spans="12:13" x14ac:dyDescent="0.2">
      <c r="L13978" s="12"/>
      <c r="M13978" s="13"/>
    </row>
    <row r="13979" spans="12:13" x14ac:dyDescent="0.2">
      <c r="L13979" s="12"/>
      <c r="M13979" s="13"/>
    </row>
    <row r="13980" spans="12:13" x14ac:dyDescent="0.2">
      <c r="L13980" s="12"/>
      <c r="M13980" s="13"/>
    </row>
    <row r="13981" spans="12:13" x14ac:dyDescent="0.2">
      <c r="L13981" s="12"/>
      <c r="M13981" s="13"/>
    </row>
    <row r="13982" spans="12:13" x14ac:dyDescent="0.2">
      <c r="L13982" s="12"/>
      <c r="M13982" s="13"/>
    </row>
    <row r="13983" spans="12:13" x14ac:dyDescent="0.2">
      <c r="L13983" s="12"/>
      <c r="M13983" s="13"/>
    </row>
    <row r="13984" spans="12:13" x14ac:dyDescent="0.2">
      <c r="L13984" s="12"/>
      <c r="M13984" s="13"/>
    </row>
    <row r="13985" spans="12:13" x14ac:dyDescent="0.2">
      <c r="L13985" s="12"/>
      <c r="M13985" s="13"/>
    </row>
    <row r="13986" spans="12:13" x14ac:dyDescent="0.2">
      <c r="L13986" s="12"/>
      <c r="M13986" s="13"/>
    </row>
    <row r="13987" spans="12:13" x14ac:dyDescent="0.2">
      <c r="L13987" s="12"/>
      <c r="M13987" s="13"/>
    </row>
    <row r="13988" spans="12:13" x14ac:dyDescent="0.2">
      <c r="L13988" s="12"/>
      <c r="M13988" s="13"/>
    </row>
    <row r="13989" spans="12:13" x14ac:dyDescent="0.2">
      <c r="L13989" s="12"/>
      <c r="M13989" s="13"/>
    </row>
    <row r="13990" spans="12:13" x14ac:dyDescent="0.2">
      <c r="L13990" s="12"/>
      <c r="M13990" s="13"/>
    </row>
    <row r="13991" spans="12:13" x14ac:dyDescent="0.2">
      <c r="L13991" s="12"/>
      <c r="M13991" s="13"/>
    </row>
    <row r="13992" spans="12:13" x14ac:dyDescent="0.2">
      <c r="L13992" s="12"/>
      <c r="M13992" s="13"/>
    </row>
    <row r="13993" spans="12:13" x14ac:dyDescent="0.2">
      <c r="L13993" s="12"/>
      <c r="M13993" s="13"/>
    </row>
    <row r="13994" spans="12:13" x14ac:dyDescent="0.2">
      <c r="L13994" s="12"/>
      <c r="M13994" s="13"/>
    </row>
    <row r="13995" spans="12:13" x14ac:dyDescent="0.2">
      <c r="L13995" s="12"/>
      <c r="M13995" s="13"/>
    </row>
    <row r="13996" spans="12:13" x14ac:dyDescent="0.2">
      <c r="L13996" s="12"/>
      <c r="M13996" s="13"/>
    </row>
    <row r="13997" spans="12:13" x14ac:dyDescent="0.2">
      <c r="L13997" s="12"/>
      <c r="M13997" s="13"/>
    </row>
    <row r="13998" spans="12:13" x14ac:dyDescent="0.2">
      <c r="L13998" s="12"/>
      <c r="M13998" s="13"/>
    </row>
    <row r="13999" spans="12:13" x14ac:dyDescent="0.2">
      <c r="L13999" s="12"/>
      <c r="M13999" s="13"/>
    </row>
    <row r="14000" spans="12:13" x14ac:dyDescent="0.2">
      <c r="L14000" s="12"/>
      <c r="M14000" s="13"/>
    </row>
    <row r="14001" spans="12:13" x14ac:dyDescent="0.2">
      <c r="L14001" s="12"/>
      <c r="M14001" s="13"/>
    </row>
    <row r="14002" spans="12:13" x14ac:dyDescent="0.2">
      <c r="L14002" s="12"/>
      <c r="M14002" s="13"/>
    </row>
    <row r="14003" spans="12:13" x14ac:dyDescent="0.2">
      <c r="L14003" s="12"/>
      <c r="M14003" s="13"/>
    </row>
    <row r="14004" spans="12:13" x14ac:dyDescent="0.2">
      <c r="L14004" s="12"/>
      <c r="M14004" s="13"/>
    </row>
    <row r="14005" spans="12:13" x14ac:dyDescent="0.2">
      <c r="L14005" s="12"/>
      <c r="M14005" s="13"/>
    </row>
    <row r="14006" spans="12:13" x14ac:dyDescent="0.2">
      <c r="L14006" s="12"/>
      <c r="M14006" s="13"/>
    </row>
    <row r="14007" spans="12:13" x14ac:dyDescent="0.2">
      <c r="L14007" s="12"/>
      <c r="M14007" s="13"/>
    </row>
    <row r="14008" spans="12:13" x14ac:dyDescent="0.2">
      <c r="L14008" s="12"/>
      <c r="M14008" s="13"/>
    </row>
    <row r="14009" spans="12:13" x14ac:dyDescent="0.2">
      <c r="L14009" s="12"/>
      <c r="M14009" s="13"/>
    </row>
    <row r="14010" spans="12:13" x14ac:dyDescent="0.2">
      <c r="L14010" s="12"/>
      <c r="M14010" s="13"/>
    </row>
    <row r="14011" spans="12:13" x14ac:dyDescent="0.2">
      <c r="L14011" s="12"/>
      <c r="M14011" s="13"/>
    </row>
    <row r="14012" spans="12:13" x14ac:dyDescent="0.2">
      <c r="L14012" s="12"/>
      <c r="M14012" s="13"/>
    </row>
    <row r="14013" spans="12:13" x14ac:dyDescent="0.2">
      <c r="L14013" s="12"/>
      <c r="M14013" s="13"/>
    </row>
    <row r="14014" spans="12:13" x14ac:dyDescent="0.2">
      <c r="L14014" s="12"/>
      <c r="M14014" s="13"/>
    </row>
    <row r="14015" spans="12:13" x14ac:dyDescent="0.2">
      <c r="L14015" s="12"/>
      <c r="M14015" s="13"/>
    </row>
    <row r="14016" spans="12:13" x14ac:dyDescent="0.2">
      <c r="L14016" s="12"/>
      <c r="M14016" s="13"/>
    </row>
    <row r="14017" spans="12:13" x14ac:dyDescent="0.2">
      <c r="L14017" s="12"/>
      <c r="M14017" s="13"/>
    </row>
    <row r="14018" spans="12:13" x14ac:dyDescent="0.2">
      <c r="L14018" s="12"/>
      <c r="M14018" s="13"/>
    </row>
    <row r="14019" spans="12:13" x14ac:dyDescent="0.2">
      <c r="L14019" s="12"/>
      <c r="M14019" s="13"/>
    </row>
    <row r="14020" spans="12:13" x14ac:dyDescent="0.2">
      <c r="L14020" s="12"/>
      <c r="M14020" s="13"/>
    </row>
    <row r="14021" spans="12:13" x14ac:dyDescent="0.2">
      <c r="L14021" s="12"/>
      <c r="M14021" s="13"/>
    </row>
    <row r="14022" spans="12:13" x14ac:dyDescent="0.2">
      <c r="L14022" s="12"/>
      <c r="M14022" s="13"/>
    </row>
    <row r="14023" spans="12:13" x14ac:dyDescent="0.2">
      <c r="L14023" s="12"/>
      <c r="M14023" s="13"/>
    </row>
    <row r="14024" spans="12:13" x14ac:dyDescent="0.2">
      <c r="L14024" s="12"/>
      <c r="M14024" s="13"/>
    </row>
    <row r="14025" spans="12:13" x14ac:dyDescent="0.2">
      <c r="L14025" s="12"/>
      <c r="M14025" s="13"/>
    </row>
    <row r="14026" spans="12:13" x14ac:dyDescent="0.2">
      <c r="L14026" s="12"/>
      <c r="M14026" s="13"/>
    </row>
    <row r="14027" spans="12:13" x14ac:dyDescent="0.2">
      <c r="L14027" s="12"/>
      <c r="M14027" s="13"/>
    </row>
    <row r="14028" spans="12:13" x14ac:dyDescent="0.2">
      <c r="L14028" s="12"/>
      <c r="M14028" s="13"/>
    </row>
    <row r="14029" spans="12:13" x14ac:dyDescent="0.2">
      <c r="L14029" s="12"/>
      <c r="M14029" s="13"/>
    </row>
    <row r="14030" spans="12:13" x14ac:dyDescent="0.2">
      <c r="L14030" s="12"/>
      <c r="M14030" s="13"/>
    </row>
    <row r="14031" spans="12:13" x14ac:dyDescent="0.2">
      <c r="L14031" s="12"/>
      <c r="M14031" s="13"/>
    </row>
    <row r="14032" spans="12:13" x14ac:dyDescent="0.2">
      <c r="L14032" s="12"/>
      <c r="M14032" s="13"/>
    </row>
    <row r="14033" spans="12:13" x14ac:dyDescent="0.2">
      <c r="L14033" s="12"/>
      <c r="M14033" s="13"/>
    </row>
    <row r="14034" spans="12:13" x14ac:dyDescent="0.2">
      <c r="L14034" s="12"/>
      <c r="M14034" s="13"/>
    </row>
    <row r="14035" spans="12:13" x14ac:dyDescent="0.2">
      <c r="L14035" s="12"/>
      <c r="M14035" s="13"/>
    </row>
    <row r="14036" spans="12:13" x14ac:dyDescent="0.2">
      <c r="L14036" s="12"/>
      <c r="M14036" s="13"/>
    </row>
    <row r="14037" spans="12:13" x14ac:dyDescent="0.2">
      <c r="L14037" s="12"/>
      <c r="M14037" s="13"/>
    </row>
    <row r="14038" spans="12:13" x14ac:dyDescent="0.2">
      <c r="L14038" s="12"/>
      <c r="M14038" s="13"/>
    </row>
    <row r="14039" spans="12:13" x14ac:dyDescent="0.2">
      <c r="L14039" s="12"/>
      <c r="M14039" s="13"/>
    </row>
    <row r="14040" spans="12:13" x14ac:dyDescent="0.2">
      <c r="L14040" s="12"/>
      <c r="M14040" s="13"/>
    </row>
    <row r="14041" spans="12:13" x14ac:dyDescent="0.2">
      <c r="L14041" s="12"/>
      <c r="M14041" s="13"/>
    </row>
    <row r="14042" spans="12:13" x14ac:dyDescent="0.2">
      <c r="L14042" s="12"/>
      <c r="M14042" s="13"/>
    </row>
    <row r="14043" spans="12:13" x14ac:dyDescent="0.2">
      <c r="L14043" s="12"/>
      <c r="M14043" s="13"/>
    </row>
    <row r="14044" spans="12:13" x14ac:dyDescent="0.2">
      <c r="L14044" s="12"/>
      <c r="M14044" s="13"/>
    </row>
    <row r="14045" spans="12:13" x14ac:dyDescent="0.2">
      <c r="L14045" s="12"/>
      <c r="M14045" s="13"/>
    </row>
    <row r="14046" spans="12:13" x14ac:dyDescent="0.2">
      <c r="L14046" s="12"/>
      <c r="M14046" s="13"/>
    </row>
    <row r="14047" spans="12:13" x14ac:dyDescent="0.2">
      <c r="L14047" s="12"/>
      <c r="M14047" s="13"/>
    </row>
    <row r="14048" spans="12:13" x14ac:dyDescent="0.2">
      <c r="L14048" s="12"/>
      <c r="M14048" s="13"/>
    </row>
    <row r="14049" spans="12:13" x14ac:dyDescent="0.2">
      <c r="L14049" s="12"/>
      <c r="M14049" s="13"/>
    </row>
    <row r="14050" spans="12:13" x14ac:dyDescent="0.2">
      <c r="L14050" s="12"/>
      <c r="M14050" s="13"/>
    </row>
    <row r="14051" spans="12:13" x14ac:dyDescent="0.2">
      <c r="L14051" s="12"/>
      <c r="M14051" s="13"/>
    </row>
    <row r="14052" spans="12:13" x14ac:dyDescent="0.2">
      <c r="L14052" s="12"/>
      <c r="M14052" s="13"/>
    </row>
    <row r="14053" spans="12:13" x14ac:dyDescent="0.2">
      <c r="L14053" s="12"/>
      <c r="M14053" s="13"/>
    </row>
    <row r="14054" spans="12:13" x14ac:dyDescent="0.2">
      <c r="L14054" s="12"/>
      <c r="M14054" s="13"/>
    </row>
    <row r="14055" spans="12:13" x14ac:dyDescent="0.2">
      <c r="L14055" s="12"/>
      <c r="M14055" s="13"/>
    </row>
    <row r="14056" spans="12:13" x14ac:dyDescent="0.2">
      <c r="L14056" s="12"/>
      <c r="M14056" s="13"/>
    </row>
    <row r="14057" spans="12:13" x14ac:dyDescent="0.2">
      <c r="L14057" s="12"/>
      <c r="M14057" s="13"/>
    </row>
    <row r="14058" spans="12:13" x14ac:dyDescent="0.2">
      <c r="L14058" s="12"/>
      <c r="M14058" s="13"/>
    </row>
    <row r="14059" spans="12:13" x14ac:dyDescent="0.2">
      <c r="L14059" s="12"/>
      <c r="M14059" s="13"/>
    </row>
    <row r="14060" spans="12:13" x14ac:dyDescent="0.2">
      <c r="L14060" s="12"/>
      <c r="M14060" s="13"/>
    </row>
    <row r="14061" spans="12:13" x14ac:dyDescent="0.2">
      <c r="L14061" s="12"/>
      <c r="M14061" s="13"/>
    </row>
    <row r="14062" spans="12:13" x14ac:dyDescent="0.2">
      <c r="L14062" s="12"/>
      <c r="M14062" s="13"/>
    </row>
    <row r="14063" spans="12:13" x14ac:dyDescent="0.2">
      <c r="L14063" s="12"/>
      <c r="M14063" s="13"/>
    </row>
    <row r="14064" spans="12:13" x14ac:dyDescent="0.2">
      <c r="L14064" s="12"/>
      <c r="M14064" s="13"/>
    </row>
    <row r="14065" spans="12:13" x14ac:dyDescent="0.2">
      <c r="L14065" s="12"/>
      <c r="M14065" s="13"/>
    </row>
    <row r="14066" spans="12:13" x14ac:dyDescent="0.2">
      <c r="L14066" s="12"/>
      <c r="M14066" s="13"/>
    </row>
    <row r="14067" spans="12:13" x14ac:dyDescent="0.2">
      <c r="L14067" s="12"/>
      <c r="M14067" s="13"/>
    </row>
    <row r="14068" spans="12:13" x14ac:dyDescent="0.2">
      <c r="L14068" s="12"/>
      <c r="M14068" s="13"/>
    </row>
    <row r="14069" spans="12:13" x14ac:dyDescent="0.2">
      <c r="L14069" s="12"/>
      <c r="M14069" s="13"/>
    </row>
    <row r="14070" spans="12:13" x14ac:dyDescent="0.2">
      <c r="L14070" s="12"/>
      <c r="M14070" s="13"/>
    </row>
    <row r="14071" spans="12:13" x14ac:dyDescent="0.2">
      <c r="L14071" s="12"/>
      <c r="M14071" s="13"/>
    </row>
    <row r="14072" spans="12:13" x14ac:dyDescent="0.2">
      <c r="L14072" s="12"/>
      <c r="M14072" s="13"/>
    </row>
    <row r="14073" spans="12:13" x14ac:dyDescent="0.2">
      <c r="L14073" s="12"/>
      <c r="M14073" s="13"/>
    </row>
    <row r="14074" spans="12:13" x14ac:dyDescent="0.2">
      <c r="L14074" s="12"/>
      <c r="M14074" s="13"/>
    </row>
    <row r="14075" spans="12:13" x14ac:dyDescent="0.2">
      <c r="L14075" s="12"/>
      <c r="M14075" s="13"/>
    </row>
    <row r="14076" spans="12:13" x14ac:dyDescent="0.2">
      <c r="L14076" s="12"/>
      <c r="M14076" s="13"/>
    </row>
    <row r="14077" spans="12:13" x14ac:dyDescent="0.2">
      <c r="L14077" s="12"/>
      <c r="M14077" s="13"/>
    </row>
    <row r="14078" spans="12:13" x14ac:dyDescent="0.2">
      <c r="L14078" s="12"/>
      <c r="M14078" s="13"/>
    </row>
    <row r="14079" spans="12:13" x14ac:dyDescent="0.2">
      <c r="L14079" s="12"/>
      <c r="M14079" s="13"/>
    </row>
    <row r="14080" spans="12:13" x14ac:dyDescent="0.2">
      <c r="L14080" s="12"/>
      <c r="M14080" s="13"/>
    </row>
    <row r="14081" spans="12:13" x14ac:dyDescent="0.2">
      <c r="L14081" s="12"/>
      <c r="M14081" s="13"/>
    </row>
    <row r="14082" spans="12:13" x14ac:dyDescent="0.2">
      <c r="L14082" s="17"/>
      <c r="M14082" s="18"/>
    </row>
    <row r="14083" spans="12:13" x14ac:dyDescent="0.2">
      <c r="L14083" s="12"/>
      <c r="M14083" s="13"/>
    </row>
    <row r="14084" spans="12:13" x14ac:dyDescent="0.2">
      <c r="L14084" s="12"/>
      <c r="M14084" s="13"/>
    </row>
    <row r="14085" spans="12:13" x14ac:dyDescent="0.2">
      <c r="L14085" s="12"/>
      <c r="M14085" s="13"/>
    </row>
    <row r="14086" spans="12:13" x14ac:dyDescent="0.2">
      <c r="L14086" s="12"/>
      <c r="M14086" s="13"/>
    </row>
    <row r="14087" spans="12:13" x14ac:dyDescent="0.2">
      <c r="L14087" s="12"/>
      <c r="M14087" s="13"/>
    </row>
    <row r="14088" spans="12:13" x14ac:dyDescent="0.2">
      <c r="L14088" s="12"/>
      <c r="M14088" s="13"/>
    </row>
    <row r="14089" spans="12:13" x14ac:dyDescent="0.2">
      <c r="L14089" s="12"/>
      <c r="M14089" s="13"/>
    </row>
    <row r="14090" spans="12:13" x14ac:dyDescent="0.2">
      <c r="L14090" s="12"/>
      <c r="M14090" s="13"/>
    </row>
    <row r="14091" spans="12:13" x14ac:dyDescent="0.2">
      <c r="L14091" s="12"/>
      <c r="M14091" s="13"/>
    </row>
    <row r="14092" spans="12:13" x14ac:dyDescent="0.2">
      <c r="L14092" s="12"/>
      <c r="M14092" s="13"/>
    </row>
    <row r="14093" spans="12:13" x14ac:dyDescent="0.2">
      <c r="L14093" s="12"/>
      <c r="M14093" s="13"/>
    </row>
    <row r="14094" spans="12:13" x14ac:dyDescent="0.2">
      <c r="L14094" s="12"/>
      <c r="M14094" s="13"/>
    </row>
    <row r="14095" spans="12:13" x14ac:dyDescent="0.2">
      <c r="L14095" s="12"/>
      <c r="M14095" s="13"/>
    </row>
    <row r="14096" spans="12:13" x14ac:dyDescent="0.2">
      <c r="L14096" s="12"/>
      <c r="M14096" s="13"/>
    </row>
    <row r="14097" spans="12:13" x14ac:dyDescent="0.2">
      <c r="L14097" s="12"/>
      <c r="M14097" s="13"/>
    </row>
    <row r="14098" spans="12:13" x14ac:dyDescent="0.2">
      <c r="L14098" s="12"/>
      <c r="M14098" s="13"/>
    </row>
    <row r="14099" spans="12:13" x14ac:dyDescent="0.2">
      <c r="L14099" s="12"/>
      <c r="M14099" s="13"/>
    </row>
    <row r="14100" spans="12:13" x14ac:dyDescent="0.2">
      <c r="L14100" s="12"/>
      <c r="M14100" s="13"/>
    </row>
    <row r="14101" spans="12:13" x14ac:dyDescent="0.2">
      <c r="L14101" s="12"/>
      <c r="M14101" s="13"/>
    </row>
    <row r="14102" spans="12:13" x14ac:dyDescent="0.2">
      <c r="L14102" s="12"/>
      <c r="M14102" s="13"/>
    </row>
    <row r="14103" spans="12:13" x14ac:dyDescent="0.2">
      <c r="L14103" s="12"/>
      <c r="M14103" s="13"/>
    </row>
    <row r="14104" spans="12:13" x14ac:dyDescent="0.2">
      <c r="L14104" s="12"/>
      <c r="M14104" s="13"/>
    </row>
    <row r="14105" spans="12:13" x14ac:dyDescent="0.2">
      <c r="L14105" s="12"/>
      <c r="M14105" s="13"/>
    </row>
    <row r="14106" spans="12:13" x14ac:dyDescent="0.2">
      <c r="L14106" s="12"/>
      <c r="M14106" s="13"/>
    </row>
    <row r="14107" spans="12:13" x14ac:dyDescent="0.2">
      <c r="L14107" s="12"/>
      <c r="M14107" s="13"/>
    </row>
    <row r="14108" spans="12:13" x14ac:dyDescent="0.2">
      <c r="L14108" s="12"/>
      <c r="M14108" s="13"/>
    </row>
    <row r="14109" spans="12:13" x14ac:dyDescent="0.2">
      <c r="L14109" s="17"/>
      <c r="M14109" s="18"/>
    </row>
  </sheetData>
  <pageMargins left="0.7" right="0.7" top="0.75" bottom="0.75" header="0.3" footer="0.3"/>
  <pageSetup paperSize="9" orientation="portrait" horizontalDpi="0" verticalDpi="0" r:id="rId1"/>
  <tableParts count="1">
    <tablePart r:id="rId2"/>
  </tablePart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2">
    <tabColor rgb="FF7030A0"/>
  </sheetPr>
  <dimension ref="A1:F8"/>
  <sheetViews>
    <sheetView showGridLines="0" workbookViewId="0">
      <selection activeCell="A2" sqref="A2:F2"/>
    </sheetView>
  </sheetViews>
  <sheetFormatPr baseColWidth="10" defaultRowHeight="12.75" x14ac:dyDescent="0.2"/>
  <cols>
    <col min="4" max="4" width="12.140625" customWidth="1"/>
    <col min="5" max="5" width="17.7109375" customWidth="1"/>
    <col min="6" max="6" width="12.85546875" customWidth="1"/>
    <col min="9" max="9" width="17.85546875" customWidth="1"/>
    <col min="10" max="10" width="18.85546875" customWidth="1"/>
    <col min="11" max="11" width="24.5703125" bestFit="1" customWidth="1"/>
    <col min="12" max="12" width="19.5703125" bestFit="1" customWidth="1"/>
  </cols>
  <sheetData>
    <row r="1" spans="1:6" x14ac:dyDescent="0.2">
      <c r="A1" t="s">
        <v>63</v>
      </c>
      <c r="B1" t="s">
        <v>3</v>
      </c>
      <c r="C1" t="s">
        <v>395</v>
      </c>
      <c r="D1" t="s">
        <v>396</v>
      </c>
      <c r="E1" t="s">
        <v>505</v>
      </c>
      <c r="F1" t="s">
        <v>397</v>
      </c>
    </row>
    <row r="2" spans="1:6" x14ac:dyDescent="0.2">
      <c r="A2" t="s">
        <v>739</v>
      </c>
      <c r="B2" t="s">
        <v>929</v>
      </c>
      <c r="C2" s="88">
        <v>43040</v>
      </c>
      <c r="D2">
        <v>46</v>
      </c>
      <c r="E2">
        <v>0</v>
      </c>
      <c r="F2">
        <v>0</v>
      </c>
    </row>
    <row r="3" spans="1:6" x14ac:dyDescent="0.2">
      <c r="A3" t="s">
        <v>739</v>
      </c>
      <c r="B3" t="s">
        <v>929</v>
      </c>
      <c r="C3" s="88">
        <v>43070</v>
      </c>
      <c r="D3">
        <v>23</v>
      </c>
      <c r="E3">
        <v>0</v>
      </c>
      <c r="F3">
        <v>0</v>
      </c>
    </row>
    <row r="4" spans="1:6" x14ac:dyDescent="0.2">
      <c r="A4" t="s">
        <v>739</v>
      </c>
      <c r="B4" t="s">
        <v>929</v>
      </c>
      <c r="C4" s="88">
        <v>43101</v>
      </c>
      <c r="D4">
        <v>28</v>
      </c>
      <c r="E4">
        <v>0</v>
      </c>
      <c r="F4">
        <v>0</v>
      </c>
    </row>
    <row r="5" spans="1:6" x14ac:dyDescent="0.2">
      <c r="A5" t="s">
        <v>739</v>
      </c>
      <c r="B5" t="s">
        <v>929</v>
      </c>
      <c r="C5" s="88">
        <v>43132</v>
      </c>
      <c r="D5">
        <v>54</v>
      </c>
      <c r="E5">
        <v>0</v>
      </c>
      <c r="F5">
        <v>0</v>
      </c>
    </row>
    <row r="6" spans="1:6" x14ac:dyDescent="0.2">
      <c r="A6" t="s">
        <v>739</v>
      </c>
      <c r="B6" t="s">
        <v>929</v>
      </c>
      <c r="C6" s="88">
        <v>43160</v>
      </c>
      <c r="D6">
        <v>33</v>
      </c>
      <c r="E6">
        <v>0</v>
      </c>
      <c r="F6">
        <v>0</v>
      </c>
    </row>
    <row r="7" spans="1:6" x14ac:dyDescent="0.2">
      <c r="A7" t="s">
        <v>739</v>
      </c>
      <c r="B7" t="s">
        <v>929</v>
      </c>
      <c r="C7" s="88">
        <v>43191</v>
      </c>
      <c r="D7">
        <v>68</v>
      </c>
      <c r="E7">
        <v>0</v>
      </c>
      <c r="F7">
        <v>0</v>
      </c>
    </row>
    <row r="8" spans="1:6" x14ac:dyDescent="0.2">
      <c r="A8" t="s">
        <v>739</v>
      </c>
      <c r="B8" t="s">
        <v>929</v>
      </c>
      <c r="C8" s="88">
        <v>43221</v>
      </c>
      <c r="D8">
        <v>17</v>
      </c>
      <c r="E8">
        <v>0</v>
      </c>
      <c r="F8">
        <v>0</v>
      </c>
    </row>
  </sheetData>
  <pageMargins left="0.7" right="0.7" top="0.75" bottom="0.75" header="0.3" footer="0.3"/>
  <tableParts count="1">
    <tablePart r:id="rId1"/>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8">
    <tabColor rgb="FFFFC000"/>
  </sheetPr>
  <dimension ref="A1:R1"/>
  <sheetViews>
    <sheetView showGridLines="0" workbookViewId="0">
      <selection activeCell="B2" sqref="B2"/>
    </sheetView>
  </sheetViews>
  <sheetFormatPr baseColWidth="10" defaultColWidth="11.42578125" defaultRowHeight="12.75" x14ac:dyDescent="0.2"/>
  <cols>
    <col min="1" max="1" width="28.5703125" bestFit="1" customWidth="1"/>
    <col min="2" max="2" width="19.85546875" bestFit="1" customWidth="1"/>
    <col min="3" max="3" width="10" bestFit="1" customWidth="1"/>
    <col min="4" max="4" width="9" bestFit="1" customWidth="1"/>
    <col min="5" max="5" width="5.42578125" bestFit="1" customWidth="1"/>
    <col min="6" max="6" width="28.42578125" bestFit="1" customWidth="1"/>
    <col min="7" max="7" width="27.140625" bestFit="1" customWidth="1"/>
    <col min="8" max="8" width="10" bestFit="1" customWidth="1"/>
    <col min="9" max="9" width="9" bestFit="1" customWidth="1"/>
    <col min="10" max="10" width="6.42578125" bestFit="1" customWidth="1"/>
    <col min="11" max="11" width="20.42578125" bestFit="1" customWidth="1"/>
    <col min="12" max="12" width="26.42578125" bestFit="1" customWidth="1"/>
    <col min="13" max="13" width="6.42578125" bestFit="1" customWidth="1"/>
    <col min="14" max="14" width="10.7109375" bestFit="1" customWidth="1"/>
    <col min="15" max="15" width="22.5703125" bestFit="1" customWidth="1"/>
    <col min="16" max="16" width="6.42578125" bestFit="1" customWidth="1"/>
    <col min="17" max="17" width="15.140625" bestFit="1" customWidth="1"/>
    <col min="18" max="18" width="21.42578125" bestFit="1" customWidth="1"/>
  </cols>
  <sheetData>
    <row r="1" spans="1:18" x14ac:dyDescent="0.2">
      <c r="A1" t="s">
        <v>36</v>
      </c>
      <c r="B1" t="s">
        <v>33</v>
      </c>
      <c r="C1" t="s">
        <v>58</v>
      </c>
      <c r="D1" t="s">
        <v>59</v>
      </c>
      <c r="E1" t="s">
        <v>212</v>
      </c>
      <c r="F1" t="s">
        <v>213</v>
      </c>
      <c r="G1" t="s">
        <v>74</v>
      </c>
      <c r="H1" t="s">
        <v>214</v>
      </c>
      <c r="I1" t="s">
        <v>215</v>
      </c>
      <c r="J1" t="s">
        <v>216</v>
      </c>
      <c r="K1" t="s">
        <v>217</v>
      </c>
      <c r="L1" t="s">
        <v>91</v>
      </c>
      <c r="M1" t="s">
        <v>218</v>
      </c>
      <c r="N1" t="s">
        <v>219</v>
      </c>
      <c r="O1" t="s">
        <v>92</v>
      </c>
      <c r="P1" t="s">
        <v>220</v>
      </c>
      <c r="Q1" t="s">
        <v>221</v>
      </c>
      <c r="R1" t="s">
        <v>93</v>
      </c>
    </row>
  </sheetData>
  <pageMargins left="0.7" right="0.7" top="0.75" bottom="0.75" header="0.3" footer="0.3"/>
  <tableParts count="1">
    <tablePart r:id="rId1"/>
  </tablePart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4"/>
  <dimension ref="A1:A5"/>
  <sheetViews>
    <sheetView workbookViewId="0">
      <selection activeCell="A4" sqref="A4"/>
    </sheetView>
  </sheetViews>
  <sheetFormatPr baseColWidth="10" defaultColWidth="11.42578125" defaultRowHeight="12.75" x14ac:dyDescent="0.2"/>
  <sheetData>
    <row r="1" spans="1:1" x14ac:dyDescent="0.2">
      <c r="A1" s="1" t="s">
        <v>225</v>
      </c>
    </row>
    <row r="2" spans="1:1" x14ac:dyDescent="0.2">
      <c r="A2" s="1" t="s">
        <v>229</v>
      </c>
    </row>
    <row r="3" spans="1:1" x14ac:dyDescent="0.2">
      <c r="A3" s="46" t="s">
        <v>226</v>
      </c>
    </row>
    <row r="4" spans="1:1" x14ac:dyDescent="0.2">
      <c r="A4" s="47" t="s">
        <v>227</v>
      </c>
    </row>
    <row r="5" spans="1:1" x14ac:dyDescent="0.2">
      <c r="A5" s="1" t="s">
        <v>228</v>
      </c>
    </row>
  </sheetData>
  <hyperlinks>
    <hyperlink ref="A3" r:id="rId1"/>
  </hyperlink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dimension ref="A1:D5"/>
  <sheetViews>
    <sheetView workbookViewId="0">
      <selection activeCell="F8" sqref="F8"/>
    </sheetView>
  </sheetViews>
  <sheetFormatPr baseColWidth="10" defaultColWidth="11.42578125" defaultRowHeight="12.75" x14ac:dyDescent="0.2"/>
  <sheetData>
    <row r="1" spans="1:4" x14ac:dyDescent="0.2">
      <c r="A1" t="s">
        <v>3</v>
      </c>
      <c r="B1" t="s">
        <v>4</v>
      </c>
      <c r="C1" t="s">
        <v>350</v>
      </c>
      <c r="D1" t="s">
        <v>351</v>
      </c>
    </row>
    <row r="2" spans="1:4" x14ac:dyDescent="0.2">
      <c r="A2" s="54" t="str">
        <f>"=*b450*"</f>
        <v>=*b450*</v>
      </c>
    </row>
    <row r="3" spans="1:4" x14ac:dyDescent="0.2">
      <c r="B3" s="54" t="str">
        <f>"=*b450*"</f>
        <v>=*b450*</v>
      </c>
    </row>
    <row r="4" spans="1:4" x14ac:dyDescent="0.2">
      <c r="C4" t="str">
        <f>"=*b450*"</f>
        <v>=*b450*</v>
      </c>
    </row>
    <row r="5" spans="1:4" x14ac:dyDescent="0.2">
      <c r="D5" t="str">
        <f>"=*b450*"</f>
        <v>=*b450*</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I2"/>
  <sheetViews>
    <sheetView showGridLines="0" workbookViewId="0">
      <selection activeCell="C16" sqref="C16"/>
    </sheetView>
  </sheetViews>
  <sheetFormatPr baseColWidth="10" defaultColWidth="11.42578125" defaultRowHeight="12.75" x14ac:dyDescent="0.2"/>
  <cols>
    <col min="1" max="1" width="34.5703125" bestFit="1" customWidth="1"/>
    <col min="6" max="6" width="34.5703125" bestFit="1" customWidth="1"/>
    <col min="7" max="7" width="12.7109375" bestFit="1" customWidth="1"/>
  </cols>
  <sheetData>
    <row r="1" spans="1:9" x14ac:dyDescent="0.2">
      <c r="A1" t="s">
        <v>79</v>
      </c>
      <c r="B1" t="s">
        <v>81</v>
      </c>
      <c r="C1" t="s">
        <v>9</v>
      </c>
      <c r="F1" t="s">
        <v>79</v>
      </c>
      <c r="G1" t="s">
        <v>94</v>
      </c>
      <c r="H1" t="s">
        <v>95</v>
      </c>
      <c r="I1" t="s">
        <v>96</v>
      </c>
    </row>
    <row r="2" spans="1:9" x14ac:dyDescent="0.2">
      <c r="B2" s="12"/>
      <c r="G2" s="12"/>
      <c r="H2" s="13"/>
      <c r="I2" s="12"/>
    </row>
  </sheetData>
  <pageMargins left="0.7" right="0.7" top="0.75" bottom="0.75" header="0.3" footer="0.3"/>
  <pageSetup paperSize="9" orientation="portrait" r:id="rId1"/>
  <tableParts count="2">
    <tablePart r:id="rId2"/>
    <tablePart r:id="rId3"/>
  </tableParts>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1"/>
  <dimension ref="A1:B55"/>
  <sheetViews>
    <sheetView workbookViewId="0">
      <selection activeCell="A23" sqref="A23"/>
    </sheetView>
  </sheetViews>
  <sheetFormatPr baseColWidth="10" defaultColWidth="11.42578125" defaultRowHeight="12.75" x14ac:dyDescent="0.2"/>
  <cols>
    <col min="1" max="1" width="35" customWidth="1"/>
  </cols>
  <sheetData>
    <row r="1" spans="1:2" x14ac:dyDescent="0.2">
      <c r="A1" s="68" t="s">
        <v>654</v>
      </c>
      <c r="B1" s="68" t="s">
        <v>556</v>
      </c>
    </row>
    <row r="2" spans="1:2" x14ac:dyDescent="0.2">
      <c r="A2" s="68" t="s">
        <v>654</v>
      </c>
      <c r="B2" s="68" t="s">
        <v>622</v>
      </c>
    </row>
    <row r="3" spans="1:2" x14ac:dyDescent="0.2">
      <c r="A3" s="68" t="s">
        <v>654</v>
      </c>
      <c r="B3" s="68" t="s">
        <v>621</v>
      </c>
    </row>
    <row r="4" spans="1:2" x14ac:dyDescent="0.2">
      <c r="A4" s="68" t="s">
        <v>654</v>
      </c>
      <c r="B4" s="68" t="s">
        <v>625</v>
      </c>
    </row>
    <row r="5" spans="1:2" x14ac:dyDescent="0.2">
      <c r="A5" s="68" t="s">
        <v>654</v>
      </c>
      <c r="B5" s="68" t="s">
        <v>626</v>
      </c>
    </row>
    <row r="6" spans="1:2" x14ac:dyDescent="0.2">
      <c r="A6" s="68" t="s">
        <v>654</v>
      </c>
      <c r="B6" s="68" t="s">
        <v>619</v>
      </c>
    </row>
    <row r="7" spans="1:2" x14ac:dyDescent="0.2">
      <c r="A7" s="68" t="s">
        <v>654</v>
      </c>
      <c r="B7" s="68" t="s">
        <v>620</v>
      </c>
    </row>
    <row r="8" spans="1:2" x14ac:dyDescent="0.2">
      <c r="A8" s="68" t="s">
        <v>654</v>
      </c>
      <c r="B8" s="68" t="s">
        <v>627</v>
      </c>
    </row>
    <row r="9" spans="1:2" x14ac:dyDescent="0.2">
      <c r="A9" s="68" t="s">
        <v>654</v>
      </c>
      <c r="B9" s="68" t="s">
        <v>628</v>
      </c>
    </row>
    <row r="10" spans="1:2" x14ac:dyDescent="0.2">
      <c r="A10" s="68" t="s">
        <v>654</v>
      </c>
      <c r="B10" s="68" t="s">
        <v>624</v>
      </c>
    </row>
    <row r="11" spans="1:2" x14ac:dyDescent="0.2">
      <c r="A11" s="68" t="s">
        <v>654</v>
      </c>
      <c r="B11" s="68" t="s">
        <v>623</v>
      </c>
    </row>
    <row r="12" spans="1:2" x14ac:dyDescent="0.2">
      <c r="A12" s="68" t="s">
        <v>653</v>
      </c>
      <c r="B12" s="68" t="s">
        <v>556</v>
      </c>
    </row>
    <row r="13" spans="1:2" x14ac:dyDescent="0.2">
      <c r="A13" s="68" t="s">
        <v>653</v>
      </c>
      <c r="B13" s="68" t="s">
        <v>622</v>
      </c>
    </row>
    <row r="14" spans="1:2" x14ac:dyDescent="0.2">
      <c r="A14" s="68" t="s">
        <v>653</v>
      </c>
      <c r="B14" s="68" t="s">
        <v>621</v>
      </c>
    </row>
    <row r="15" spans="1:2" x14ac:dyDescent="0.2">
      <c r="A15" s="68" t="s">
        <v>653</v>
      </c>
      <c r="B15" s="68" t="s">
        <v>625</v>
      </c>
    </row>
    <row r="16" spans="1:2" x14ac:dyDescent="0.2">
      <c r="A16" s="68" t="s">
        <v>653</v>
      </c>
      <c r="B16" s="68" t="s">
        <v>626</v>
      </c>
    </row>
    <row r="17" spans="1:2" x14ac:dyDescent="0.2">
      <c r="A17" s="68" t="s">
        <v>653</v>
      </c>
      <c r="B17" s="68" t="s">
        <v>619</v>
      </c>
    </row>
    <row r="18" spans="1:2" x14ac:dyDescent="0.2">
      <c r="A18" s="68" t="s">
        <v>653</v>
      </c>
      <c r="B18" s="68" t="s">
        <v>620</v>
      </c>
    </row>
    <row r="19" spans="1:2" x14ac:dyDescent="0.2">
      <c r="A19" s="68" t="s">
        <v>653</v>
      </c>
      <c r="B19" s="68" t="s">
        <v>627</v>
      </c>
    </row>
    <row r="20" spans="1:2" x14ac:dyDescent="0.2">
      <c r="A20" s="68" t="s">
        <v>653</v>
      </c>
      <c r="B20" s="68" t="s">
        <v>628</v>
      </c>
    </row>
    <row r="21" spans="1:2" x14ac:dyDescent="0.2">
      <c r="A21" s="68" t="s">
        <v>653</v>
      </c>
      <c r="B21" s="68" t="s">
        <v>624</v>
      </c>
    </row>
    <row r="22" spans="1:2" x14ac:dyDescent="0.2">
      <c r="A22" s="68" t="s">
        <v>653</v>
      </c>
      <c r="B22" s="68" t="s">
        <v>623</v>
      </c>
    </row>
    <row r="23" spans="1:2" x14ac:dyDescent="0.2">
      <c r="A23" s="68"/>
      <c r="B23" s="68"/>
    </row>
    <row r="24" spans="1:2" x14ac:dyDescent="0.2">
      <c r="A24" s="68"/>
      <c r="B24" s="68"/>
    </row>
    <row r="25" spans="1:2" x14ac:dyDescent="0.2">
      <c r="A25" s="68"/>
      <c r="B25" s="68"/>
    </row>
    <row r="26" spans="1:2" x14ac:dyDescent="0.2">
      <c r="A26" s="68"/>
      <c r="B26" s="68"/>
    </row>
    <row r="27" spans="1:2" x14ac:dyDescent="0.2">
      <c r="A27" s="68"/>
      <c r="B27" s="68"/>
    </row>
    <row r="28" spans="1:2" x14ac:dyDescent="0.2">
      <c r="A28" s="68"/>
      <c r="B28" s="68"/>
    </row>
    <row r="29" spans="1:2" x14ac:dyDescent="0.2">
      <c r="A29" s="68"/>
      <c r="B29" s="68"/>
    </row>
    <row r="30" spans="1:2" x14ac:dyDescent="0.2">
      <c r="A30" s="68"/>
      <c r="B30" s="68"/>
    </row>
    <row r="31" spans="1:2" x14ac:dyDescent="0.2">
      <c r="A31" s="68"/>
      <c r="B31" s="68"/>
    </row>
    <row r="32" spans="1:2" x14ac:dyDescent="0.2">
      <c r="A32" s="68"/>
      <c r="B32" s="68"/>
    </row>
    <row r="33" spans="1:2" x14ac:dyDescent="0.2">
      <c r="A33" s="68"/>
      <c r="B33" s="68"/>
    </row>
    <row r="34" spans="1:2" x14ac:dyDescent="0.2">
      <c r="A34" s="68"/>
      <c r="B34" s="68"/>
    </row>
    <row r="35" spans="1:2" x14ac:dyDescent="0.2">
      <c r="A35" s="68"/>
      <c r="B35" s="68"/>
    </row>
    <row r="36" spans="1:2" x14ac:dyDescent="0.2">
      <c r="A36" s="68"/>
      <c r="B36" s="68"/>
    </row>
    <row r="37" spans="1:2" x14ac:dyDescent="0.2">
      <c r="A37" s="68"/>
      <c r="B37" s="68"/>
    </row>
    <row r="38" spans="1:2" x14ac:dyDescent="0.2">
      <c r="A38" s="68"/>
      <c r="B38" s="68"/>
    </row>
    <row r="39" spans="1:2" x14ac:dyDescent="0.2">
      <c r="A39" s="68"/>
      <c r="B39" s="68"/>
    </row>
    <row r="40" spans="1:2" x14ac:dyDescent="0.2">
      <c r="A40" s="68"/>
      <c r="B40" s="68"/>
    </row>
    <row r="41" spans="1:2" x14ac:dyDescent="0.2">
      <c r="A41" s="68"/>
      <c r="B41" s="68"/>
    </row>
    <row r="42" spans="1:2" x14ac:dyDescent="0.2">
      <c r="A42" s="68"/>
      <c r="B42" s="68"/>
    </row>
    <row r="43" spans="1:2" x14ac:dyDescent="0.2">
      <c r="A43" s="68"/>
      <c r="B43" s="68"/>
    </row>
    <row r="44" spans="1:2" x14ac:dyDescent="0.2">
      <c r="A44" s="68"/>
      <c r="B44" s="68"/>
    </row>
    <row r="45" spans="1:2" x14ac:dyDescent="0.2">
      <c r="A45" s="68"/>
      <c r="B45" s="68"/>
    </row>
    <row r="46" spans="1:2" x14ac:dyDescent="0.2">
      <c r="A46" s="68"/>
      <c r="B46" s="68"/>
    </row>
    <row r="47" spans="1:2" x14ac:dyDescent="0.2">
      <c r="A47" s="68"/>
      <c r="B47" s="68"/>
    </row>
    <row r="48" spans="1:2" x14ac:dyDescent="0.2">
      <c r="A48" s="68"/>
      <c r="B48" s="68"/>
    </row>
    <row r="49" spans="1:2" x14ac:dyDescent="0.2">
      <c r="A49" s="68"/>
      <c r="B49" s="68"/>
    </row>
    <row r="50" spans="1:2" x14ac:dyDescent="0.2">
      <c r="A50" s="68"/>
      <c r="B50" s="68"/>
    </row>
    <row r="51" spans="1:2" x14ac:dyDescent="0.2">
      <c r="A51" s="68"/>
      <c r="B51" s="68"/>
    </row>
    <row r="52" spans="1:2" x14ac:dyDescent="0.2">
      <c r="A52" s="68"/>
      <c r="B52" s="68"/>
    </row>
    <row r="53" spans="1:2" x14ac:dyDescent="0.2">
      <c r="A53" s="68"/>
      <c r="B53" s="68"/>
    </row>
    <row r="54" spans="1:2" x14ac:dyDescent="0.2">
      <c r="A54" s="68"/>
      <c r="B54" s="68"/>
    </row>
    <row r="55" spans="1:2" x14ac:dyDescent="0.2">
      <c r="A55" s="68"/>
      <c r="B55" s="68"/>
    </row>
  </sheetData>
  <pageMargins left="0.7" right="0.7" top="0.75" bottom="0.75" header="0.3" footer="0.3"/>
  <pageSetup orientation="portrait" horizontalDpi="4294967294" verticalDpi="0"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4"/>
  <dimension ref="A1:N2"/>
  <sheetViews>
    <sheetView showGridLines="0" workbookViewId="0">
      <selection activeCell="H2" sqref="H2:N282"/>
    </sheetView>
  </sheetViews>
  <sheetFormatPr baseColWidth="10" defaultColWidth="11.42578125" defaultRowHeight="12.75" x14ac:dyDescent="0.2"/>
  <cols>
    <col min="1" max="1" width="17.28515625" bestFit="1" customWidth="1"/>
    <col min="2" max="2" width="12.85546875" bestFit="1" customWidth="1"/>
    <col min="8" max="8" width="17.28515625" bestFit="1" customWidth="1"/>
    <col min="9" max="9" width="20.140625" bestFit="1" customWidth="1"/>
  </cols>
  <sheetData>
    <row r="1" spans="1:14" x14ac:dyDescent="0.2">
      <c r="A1" t="s">
        <v>63</v>
      </c>
      <c r="B1" t="s">
        <v>3</v>
      </c>
      <c r="C1" t="s">
        <v>98</v>
      </c>
      <c r="D1" t="s">
        <v>258</v>
      </c>
      <c r="E1" t="s">
        <v>77</v>
      </c>
      <c r="F1" t="s">
        <v>259</v>
      </c>
      <c r="H1" s="68" t="s">
        <v>63</v>
      </c>
      <c r="I1" s="68" t="s">
        <v>3</v>
      </c>
      <c r="J1" s="68" t="s">
        <v>258</v>
      </c>
      <c r="K1" s="1" t="s">
        <v>259</v>
      </c>
      <c r="L1" s="1" t="s">
        <v>98</v>
      </c>
      <c r="M1" s="1" t="s">
        <v>261</v>
      </c>
      <c r="N1" s="1" t="s">
        <v>262</v>
      </c>
    </row>
    <row r="2" spans="1:14" x14ac:dyDescent="0.2">
      <c r="A2" s="68"/>
      <c r="B2" s="68"/>
      <c r="C2" s="75"/>
      <c r="E2" s="1"/>
      <c r="K2" s="68"/>
      <c r="L2" s="100"/>
      <c r="M2" s="13"/>
      <c r="N2" s="13"/>
    </row>
  </sheetData>
  <pageMargins left="0.7" right="0.7" top="0.75" bottom="0.75" header="0.3" footer="0.3"/>
  <pageSetup orientation="portrait" r:id="rId1"/>
  <tableParts count="2">
    <tablePart r:id="rId2"/>
    <tablePart r:id="rId3"/>
  </tablePart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5"/>
  <dimension ref="A1:O2"/>
  <sheetViews>
    <sheetView showGridLines="0" workbookViewId="0">
      <selection activeCell="A2" sqref="A2:O4558"/>
    </sheetView>
  </sheetViews>
  <sheetFormatPr baseColWidth="10" defaultColWidth="11.42578125" defaultRowHeight="12.75" x14ac:dyDescent="0.2"/>
  <cols>
    <col min="1" max="1" width="16" customWidth="1"/>
    <col min="2" max="2" width="12" customWidth="1"/>
    <col min="4" max="4" width="12.5703125" customWidth="1"/>
    <col min="5" max="5" width="18.5703125" customWidth="1"/>
    <col min="6" max="8" width="18.5703125" style="68" customWidth="1"/>
    <col min="9" max="9" width="14.7109375" customWidth="1"/>
    <col min="14" max="14" width="11.42578125" style="68"/>
  </cols>
  <sheetData>
    <row r="1" spans="1:15" x14ac:dyDescent="0.2">
      <c r="A1" s="1" t="s">
        <v>340</v>
      </c>
      <c r="B1" s="68" t="s">
        <v>341</v>
      </c>
      <c r="C1" s="68" t="s">
        <v>342</v>
      </c>
      <c r="D1" s="68" t="s">
        <v>343</v>
      </c>
      <c r="E1" s="68" t="s">
        <v>344</v>
      </c>
      <c r="F1" s="68" t="s">
        <v>357</v>
      </c>
      <c r="G1" s="68" t="s">
        <v>358</v>
      </c>
      <c r="H1" s="68" t="s">
        <v>359</v>
      </c>
      <c r="I1" s="68" t="s">
        <v>345</v>
      </c>
      <c r="J1" s="68" t="s">
        <v>346</v>
      </c>
      <c r="K1" s="1" t="s">
        <v>347</v>
      </c>
      <c r="L1" s="1" t="s">
        <v>348</v>
      </c>
      <c r="M1" s="1" t="s">
        <v>349</v>
      </c>
      <c r="N1" s="1" t="s">
        <v>499</v>
      </c>
      <c r="O1" s="68" t="s">
        <v>276</v>
      </c>
    </row>
    <row r="2" spans="1:15" x14ac:dyDescent="0.2">
      <c r="A2" s="68"/>
      <c r="B2" s="68"/>
      <c r="C2" s="68"/>
      <c r="E2" s="1"/>
      <c r="O2" s="68"/>
    </row>
  </sheetData>
  <pageMargins left="0.7" right="0.7" top="0.75" bottom="0.75" header="0.3" footer="0.3"/>
  <pageSetup orientation="portrait" r:id="rId1"/>
  <tableParts count="1">
    <tablePart r:id="rId2"/>
  </tableParts>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7"/>
  <dimension ref="A1"/>
  <sheetViews>
    <sheetView workbookViewId="0"/>
  </sheetViews>
  <sheetFormatPr baseColWidth="10" defaultColWidth="11.42578125" defaultRowHeight="12.75" x14ac:dyDescent="0.2"/>
  <sheetData>
    <row r="1" spans="1:1" x14ac:dyDescent="0.2">
      <c r="A1" s="1"/>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8"/>
  <dimension ref="A1:B2"/>
  <sheetViews>
    <sheetView workbookViewId="0">
      <selection activeCell="A2" sqref="A2:B2"/>
    </sheetView>
  </sheetViews>
  <sheetFormatPr baseColWidth="10" defaultColWidth="11.42578125" defaultRowHeight="12.75" x14ac:dyDescent="0.2"/>
  <cols>
    <col min="1" max="1" width="10.7109375" bestFit="1" customWidth="1"/>
    <col min="2" max="2" width="9" bestFit="1" customWidth="1"/>
  </cols>
  <sheetData>
    <row r="1" spans="1:2" x14ac:dyDescent="0.2">
      <c r="A1" s="68" t="s">
        <v>3</v>
      </c>
      <c r="B1" t="s">
        <v>132</v>
      </c>
    </row>
    <row r="2" spans="1:2" x14ac:dyDescent="0.2">
      <c r="A2" s="68"/>
      <c r="B2" s="68"/>
    </row>
  </sheetData>
  <pageMargins left="0.7" right="0.7" top="0.75" bottom="0.75" header="0.3" footer="0.3"/>
  <tableParts count="1">
    <tablePart r:id="rId1"/>
  </tablePart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9"/>
  <dimension ref="A1"/>
  <sheetViews>
    <sheetView workbookViewId="0"/>
  </sheetViews>
  <sheetFormatPr baseColWidth="10" defaultRowHeight="12.75" x14ac:dyDescent="0.2"/>
  <sheetData>
    <row r="1" spans="1:1" x14ac:dyDescent="0.2">
      <c r="A1" s="68" t="s">
        <v>559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file>

<file path=customXml/item3.xml>�� 
</file>

<file path=customXml/itemProps1.xml><?xml version="1.0" encoding="utf-8"?>
<ds:datastoreItem xmlns:ds="http://schemas.openxmlformats.org/officeDocument/2006/customXml" ds:itemID="{02CFED36-85AD-437B-8048-0629A583E26F}">
  <ds:schemaRefs/>
</ds:datastoreItem>
</file>

<file path=customXml/itemProps2.xml><?xml version="1.0" encoding="utf-8"?>
<ds:datastoreItem xmlns:ds="http://schemas.openxmlformats.org/officeDocument/2006/customXml" ds:itemID="{F6D1019A-DC9B-497E-82A7-22B38B42B14C}">
  <ds:schemaRefs/>
</ds:datastoreItem>
</file>

<file path=customXml/itemProps3.xml><?xml version="1.0" encoding="utf-8"?>
<ds:datastoreItem xmlns:ds="http://schemas.openxmlformats.org/officeDocument/2006/customXml" ds:itemID="{A64F54D1-405C-40F5-AB48-ECB3F7A2A36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vt:i4>
      </vt:variant>
      <vt:variant>
        <vt:lpstr>Rangos con nombre</vt:lpstr>
      </vt:variant>
      <vt:variant>
        <vt:i4>170</vt:i4>
      </vt:variant>
    </vt:vector>
  </HeadingPairs>
  <TitlesOfParts>
    <vt:vector size="171" baseType="lpstr">
      <vt:lpstr>Bodega</vt:lpstr>
      <vt:lpstr>BuffHist!Área_de_extracción</vt:lpstr>
      <vt:lpstr>BODEG</vt:lpstr>
      <vt:lpstr>BODEGA</vt:lpstr>
      <vt:lpstr>Bodega_Seleccionada</vt:lpstr>
      <vt:lpstr>EstacionalidadDatos!BodegasPermitidas</vt:lpstr>
      <vt:lpstr>Mal_Atendidos_Suministro!BodegasPermitidas</vt:lpstr>
      <vt:lpstr>BodegasPermitidas</vt:lpstr>
      <vt:lpstr>Buffer_Calculado_Usuario</vt:lpstr>
      <vt:lpstr>EstacionalidadDatos!CAMPO_CODIGO</vt:lpstr>
      <vt:lpstr>COD_EMPRESA</vt:lpstr>
      <vt:lpstr>Codigo_Seleccionado</vt:lpstr>
      <vt:lpstr>COLUMNAPRIMERCAMPO</vt:lpstr>
      <vt:lpstr>ConAccionEstacional</vt:lpstr>
      <vt:lpstr>ConBackorder</vt:lpstr>
      <vt:lpstr>ConBodega</vt:lpstr>
      <vt:lpstr>ConBufferActual</vt:lpstr>
      <vt:lpstr>ConBufferAntesEstacion</vt:lpstr>
      <vt:lpstr>ConBufferCalcCB</vt:lpstr>
      <vt:lpstr>ConBufferCalcUsuario</vt:lpstr>
      <vt:lpstr>ConBufferEstacional</vt:lpstr>
      <vt:lpstr>ConBufferMax</vt:lpstr>
      <vt:lpstr>ConBufferMin</vt:lpstr>
      <vt:lpstr>ConCalendarioEstacional</vt:lpstr>
      <vt:lpstr>ConCoberturaBuffer</vt:lpstr>
      <vt:lpstr>ConCoberturaInvProy</vt:lpstr>
      <vt:lpstr>ConCoberturaPedidMin</vt:lpstr>
      <vt:lpstr>ConCodigo</vt:lpstr>
      <vt:lpstr>ConColorFisico</vt:lpstr>
      <vt:lpstr>ConColorProyectado</vt:lpstr>
      <vt:lpstr>ConComportamiento</vt:lpstr>
      <vt:lpstr>ConComprometido</vt:lpstr>
      <vt:lpstr>ConConsumoAnualProyectado</vt:lpstr>
      <vt:lpstr>ConConsumoAnualProyectadoUsuario</vt:lpstr>
      <vt:lpstr>ConConsumoCalculado</vt:lpstr>
      <vt:lpstr>ConConsumoPromedio</vt:lpstr>
      <vt:lpstr>ConConsumoSemanalUsuario</vt:lpstr>
      <vt:lpstr>ConCTV</vt:lpstr>
      <vt:lpstr>ConCTVUsuario</vt:lpstr>
      <vt:lpstr>ConDescripcion</vt:lpstr>
      <vt:lpstr>ConEmbarcado</vt:lpstr>
      <vt:lpstr>ConEstatus</vt:lpstr>
      <vt:lpstr>ConEtapaEstacional</vt:lpstr>
      <vt:lpstr>ConFactorPico</vt:lpstr>
      <vt:lpstr>ConFactorPicoUsuario</vt:lpstr>
      <vt:lpstr>ConFisico</vt:lpstr>
      <vt:lpstr>ConFRep</vt:lpstr>
      <vt:lpstr>ConFrepUsuario</vt:lpstr>
      <vt:lpstr>ConGDB</vt:lpstr>
      <vt:lpstr>ConHorizonte</vt:lpstr>
      <vt:lpstr>ConInventarioProveedor</vt:lpstr>
      <vt:lpstr>ConInversion</vt:lpstr>
      <vt:lpstr>ConInversionUsuario</vt:lpstr>
      <vt:lpstr>ConNegociacion</vt:lpstr>
      <vt:lpstr>ConPedidoCalculado</vt:lpstr>
      <vt:lpstr>ConPedidoMinimo</vt:lpstr>
      <vt:lpstr>ConPedidoMinimoGrupo</vt:lpstr>
      <vt:lpstr>ConPedidoPromedio</vt:lpstr>
      <vt:lpstr>ConPerfil</vt:lpstr>
      <vt:lpstr>ConPicoCalculado</vt:lpstr>
      <vt:lpstr>ConProduccion</vt:lpstr>
      <vt:lpstr>ConProveedor</vt:lpstr>
      <vt:lpstr>ConProyectado</vt:lpstr>
      <vt:lpstr>ConPVP</vt:lpstr>
      <vt:lpstr>ConPVPUsuario</vt:lpstr>
      <vt:lpstr>ConRentabilidad</vt:lpstr>
      <vt:lpstr>ConRentabilidadProyectada</vt:lpstr>
      <vt:lpstr>ConServicio</vt:lpstr>
      <vt:lpstr>ConsumoUsuario</vt:lpstr>
      <vt:lpstr>ConTransito</vt:lpstr>
      <vt:lpstr>ConTRep</vt:lpstr>
      <vt:lpstr>ConTrepUsuario</vt:lpstr>
      <vt:lpstr>ConTruputAnualProyectado</vt:lpstr>
      <vt:lpstr>ConTruputAnualProyectadoUsuario</vt:lpstr>
      <vt:lpstr>ConTruputUnitario</vt:lpstr>
      <vt:lpstr>ConTruputUnitarioUsuario</vt:lpstr>
      <vt:lpstr>ConUltimaTransferencia</vt:lpstr>
      <vt:lpstr>ConUltimoBuffer</vt:lpstr>
      <vt:lpstr>ConUltimoCambioBuffer</vt:lpstr>
      <vt:lpstr>ConUnidadEmpaque</vt:lpstr>
      <vt:lpstr>ConZonaAmarilla</vt:lpstr>
      <vt:lpstr>ConZonaRoja</vt:lpstr>
      <vt:lpstr>BuffHist!Criterios</vt:lpstr>
      <vt:lpstr>DIR</vt:lpstr>
      <vt:lpstr>DIRCOMPLETO</vt:lpstr>
      <vt:lpstr>DIRECTORIOBASEMC</vt:lpstr>
      <vt:lpstr>DIRPATHCOMPLETO</vt:lpstr>
      <vt:lpstr>EMPRES</vt:lpstr>
      <vt:lpstr>EMPRESABODEGA</vt:lpstr>
      <vt:lpstr>EMPRESABODEGA1</vt:lpstr>
      <vt:lpstr>EMPRESABODEGA2</vt:lpstr>
      <vt:lpstr>ErrBodegaNoCorresponde</vt:lpstr>
      <vt:lpstr>ErrCalendarioEstacional</vt:lpstr>
      <vt:lpstr>ErrFaltaFinal</vt:lpstr>
      <vt:lpstr>ErrFaltaInicio</vt:lpstr>
      <vt:lpstr>ErrFechaNoPresente</vt:lpstr>
      <vt:lpstr>ErrPerfilMalAsignado</vt:lpstr>
      <vt:lpstr>ErrPerfilNoCorresponde</vt:lpstr>
      <vt:lpstr>ErrProveedMalAsignado</vt:lpstr>
      <vt:lpstr>ErrProveedorNoCorresponde</vt:lpstr>
      <vt:lpstr>ErrRaros</vt:lpstr>
      <vt:lpstr>EXISTEFECHA</vt:lpstr>
      <vt:lpstr>Factor_Pico_Usuario</vt:lpstr>
      <vt:lpstr>Falta_Periodo</vt:lpstr>
      <vt:lpstr>Fecha_Calendario</vt:lpstr>
      <vt:lpstr>Fecha_Datos_Grafico</vt:lpstr>
      <vt:lpstr>FechaEnHorizonte</vt:lpstr>
      <vt:lpstr>FECHAINVFISICO</vt:lpstr>
      <vt:lpstr>FechaSeleccionada</vt:lpstr>
      <vt:lpstr>fila</vt:lpstr>
      <vt:lpstr>Fila_Cabecera_Control</vt:lpstr>
      <vt:lpstr>FINPERIODO</vt:lpstr>
      <vt:lpstr>FREC_REP</vt:lpstr>
      <vt:lpstr>FRep</vt:lpstr>
      <vt:lpstr>GUARDAROK</vt:lpstr>
      <vt:lpstr>HorizonteBodega</vt:lpstr>
      <vt:lpstr>HOY</vt:lpstr>
      <vt:lpstr>IDIOMA</vt:lpstr>
      <vt:lpstr>INIPERIODO</vt:lpstr>
      <vt:lpstr>EstacionalidadDatos!ListaBodegaPerfil</vt:lpstr>
      <vt:lpstr>Mal_Atendidos_Suministro!ListaBodegaPerfil</vt:lpstr>
      <vt:lpstr>ListaBodegaPerfil</vt:lpstr>
      <vt:lpstr>EstacionalidadDatos!ListaBodegaProveedor</vt:lpstr>
      <vt:lpstr>Mal_Atendidos_Suministro!ListaBodegaProveedor</vt:lpstr>
      <vt:lpstr>ListaBodegaProveedor</vt:lpstr>
      <vt:lpstr>Mal_Atendidos_Suministro!ListaNombresPedidoMinimo</vt:lpstr>
      <vt:lpstr>ListaNombresPedidoMinimo</vt:lpstr>
      <vt:lpstr>EstacionalidadDatos!ListaPerfiles</vt:lpstr>
      <vt:lpstr>Mal_Atendidos_Suministro!ListaPerfiles</vt:lpstr>
      <vt:lpstr>ListaPerfiles</vt:lpstr>
      <vt:lpstr>EstacionalidadDatos!ListaProveedores</vt:lpstr>
      <vt:lpstr>Mal_Atendidos_Suministro!ListaProveedores</vt:lpstr>
      <vt:lpstr>ListaProveedores</vt:lpstr>
      <vt:lpstr>Mas_menos</vt:lpstr>
      <vt:lpstr>Mensaje_Prevencion</vt:lpstr>
      <vt:lpstr>MinFinalPeriodo</vt:lpstr>
      <vt:lpstr>MININICIO</vt:lpstr>
      <vt:lpstr>NO_FECHA_PERIODO</vt:lpstr>
      <vt:lpstr>NOMBREPESTANA</vt:lpstr>
      <vt:lpstr>NOMBREPESTANA1</vt:lpstr>
      <vt:lpstr>NOMBREWORKBOOK</vt:lpstr>
      <vt:lpstr>NOMSIMPLIFICADO</vt:lpstr>
      <vt:lpstr>ObsNotables</vt:lpstr>
      <vt:lpstr>EstacionalidadDatos!ParametrosBodega</vt:lpstr>
      <vt:lpstr>EstacionalidadDatos!PerfilesPermitidos</vt:lpstr>
      <vt:lpstr>Mal_Atendidos_Suministro!PerfilesPermitidos</vt:lpstr>
      <vt:lpstr>PerfilesPermitidos</vt:lpstr>
      <vt:lpstr>PERIODO</vt:lpstr>
      <vt:lpstr>PicoCalculado</vt:lpstr>
      <vt:lpstr>PicoUsuario</vt:lpstr>
      <vt:lpstr>Promedio_Mensual_Usuario</vt:lpstr>
      <vt:lpstr>EstacionalidadDatos!ProveedoresPermitidos</vt:lpstr>
      <vt:lpstr>Mal_Atendidos_Suministro!ProveedoresPermitidos</vt:lpstr>
      <vt:lpstr>ProveedoresPermitidos</vt:lpstr>
      <vt:lpstr>Mal_Atendidos_Suministro!RangoCausas</vt:lpstr>
      <vt:lpstr>RangoCausas</vt:lpstr>
      <vt:lpstr>EstacionalidadDatos!SeleccionCalendarios</vt:lpstr>
      <vt:lpstr>Mal_Atendidos_Suministro!SeleccionCalendarios</vt:lpstr>
      <vt:lpstr>SeleccionCalendarios</vt:lpstr>
      <vt:lpstr>Mal_Atendidos_Suministro!SeleccionCalendariosNueva</vt:lpstr>
      <vt:lpstr>SeleccionCalendariosNueva</vt:lpstr>
      <vt:lpstr>sep_lis</vt:lpstr>
      <vt:lpstr>Servicio_Calculado</vt:lpstr>
      <vt:lpstr>TablaErrores</vt:lpstr>
      <vt:lpstr>tblDatosSinHistorial</vt:lpstr>
      <vt:lpstr>tblEmpresa</vt:lpstr>
      <vt:lpstr>tblEmpresaDatos</vt:lpstr>
      <vt:lpstr>TIEMPO_SUMINISTRO</vt:lpstr>
      <vt:lpstr>TRep</vt:lpstr>
      <vt:lpstr>US</vt:lpstr>
      <vt:lpstr>USUARIO</vt:lpstr>
    </vt:vector>
  </TitlesOfParts>
  <Company>Indurama S. 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subject>Hoja de Control de Buffers</dc:subject>
  <dc:creator>Carlos Semanate</dc:creator>
  <cp:lastModifiedBy>RAMCAS</cp:lastModifiedBy>
  <cp:lastPrinted>2017-04-13T01:29:11Z</cp:lastPrinted>
  <dcterms:created xsi:type="dcterms:W3CDTF">2009-05-22T19:51:15Z</dcterms:created>
  <dcterms:modified xsi:type="dcterms:W3CDTF">2018-06-05T00:04:44Z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icrosoft.ReportingServices.InteractiveReport.Excel.SheetName">
    <vt:i4>3</vt:i4>
  </property>
</Properties>
</file>