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8.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6" i="36"/>
  <c r="M16" i="1"/>
  <c r="T16" i="1"/>
  <c r="D16" i="1" s="1"/>
  <c r="T17" i="1"/>
  <c r="C17" i="1" s="1"/>
  <c r="C2" i="24"/>
  <c r="C3" i="24"/>
  <c r="C4" i="24"/>
  <c r="C5" i="24"/>
  <c r="C6" i="24"/>
  <c r="B16" i="1"/>
  <c r="B17" i="1"/>
  <c r="E16" i="1" l="1"/>
  <c r="G16" i="1"/>
  <c r="O16" i="1"/>
  <c r="K16" i="1"/>
  <c r="C16" i="1"/>
  <c r="S16" i="1"/>
  <c r="I16" i="1"/>
  <c r="R17" i="1"/>
  <c r="P17" i="1"/>
  <c r="N17" i="1"/>
  <c r="L17" i="1"/>
  <c r="J17" i="1"/>
  <c r="H17" i="1"/>
  <c r="F17" i="1"/>
  <c r="D17" i="1"/>
  <c r="R16" i="1"/>
  <c r="P16" i="1"/>
  <c r="N16" i="1"/>
  <c r="L16" i="1"/>
  <c r="J16" i="1"/>
  <c r="H16" i="1"/>
  <c r="F16" i="1"/>
  <c r="S17" i="1"/>
  <c r="O17" i="1"/>
  <c r="M17" i="1"/>
  <c r="K17" i="1"/>
  <c r="I17" i="1"/>
  <c r="G17" i="1"/>
  <c r="E17" i="1"/>
  <c r="C4" i="30"/>
  <c r="G4" i="30"/>
  <c r="H4" i="30"/>
  <c r="K4" i="30"/>
  <c r="L4" i="30"/>
  <c r="M4" i="30"/>
  <c r="N4" i="30"/>
  <c r="O4" i="30"/>
  <c r="P4" i="30"/>
  <c r="Q4" i="30"/>
  <c r="I2" i="30"/>
  <c r="I3" i="30"/>
  <c r="I4" i="30" s="1"/>
  <c r="Q16" i="1" l="1"/>
  <c r="Q17" i="1"/>
  <c r="P18" i="1"/>
  <c r="O18" i="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o más de ellas, hacer la selección sencilla o múltiple y darle doble click. También se puede utilizar el ícono de carpeta amarilla.
El listado se refresca cuando se abre CCB o cuando se cambia de empresa o cuando se presiona el ícono del listado con checks.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<sst xmlns="http://schemas.openxmlformats.org/spreadsheetml/2006/main" count="585" uniqueCount="303">
  <si>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</si>
  <si>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</si>
  <si>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</si>
  <si>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</si>
  <si>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</si>
  <si>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</si>
  <si>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</si>
  <si>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</si>
  <si>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</si>
  <si>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</si>
  <si>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</si>
  <si>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</si>
  <si>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</si>
  <si>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</si>
  <si>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</si>
  <si>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</si>
  <si>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</si>
  <si>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</si>
  <si>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</si>
  <si>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</si>
  <si>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</si>
  <si>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</si>
  <si>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</si>
  <si>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</si>
  <si>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</si>
  <si>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</si>
  <si>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</si>
  <si>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</si>
  <si>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</si>
  <si>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</si>
  <si>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</si>
  <si>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</si>
  <si>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</si>
  <si>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</si>
  <si>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</si>
  <si>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</si>
  <si>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</si>
  <si>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</si>
  <si>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</si>
  <si>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</si>
  <si>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</si>
  <si>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</si>
  <si>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</si>
  <si>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</si>
  <si>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</si>
  <si>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</si>
  <si>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</si>
  <si>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</si>
  <si>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</si>
  <si>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</si>
  <si>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</si>
  <si>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</si>
  <si>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</si>
  <si>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</si>
  <si>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</si>
  <si>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</si>
  <si>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</si>
  <si>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</si>
  <si>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</si>
  <si>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</si>
  <si>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</si>
  <si>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</si>
  <si>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</si>
  <si>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</si>
  <si>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</si>
  <si>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</si>
  <si>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</si>
  <si>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</si>
  <si>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</si>
  <si>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</si>
  <si>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</si>
  <si>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</si>
  <si>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</si>
  <si>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</si>
  <si>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</si>
  <si>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</si>
  <si>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</si>
  <si>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</si>
  <si>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</si>
  <si>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</si>
  <si>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</si>
  <si>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</si>
  <si>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</si>
  <si>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</si>
  <si>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</si>
  <si>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</si>
  <si>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</si>
  <si>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</si>
  <si>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</si>
  <si>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</si>
  <si>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</si>
  <si>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</si>
  <si>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</si>
  <si>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</si>
  <si>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</si>
  <si>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</si>
  <si>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</si>
  <si>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</si>
  <si>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</si>
  <si>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</si>
  <si>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</si>
  <si>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</si>
  <si>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</si>
  <si>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</si>
  <si>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</si>
  <si>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</si>
  <si>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</si>
  <si>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</si>
  <si>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</si>
  <si>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</si>
  <si>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</si>
  <si>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</si>
  <si>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</si>
  <si>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</si>
  <si>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</si>
  <si>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</si>
  <si>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</si>
  <si>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</si>
  <si>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</si>
  <si>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</si>
  <si>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</si>
  <si>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</si>
  <si>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</si>
  <si>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</si>
  <si>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</si>
  <si>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</si>
  <si>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</si>
  <si>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</si>
  <si>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</si>
  <si>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</si>
  <si>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</si>
  <si>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</si>
  <si>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</si>
  <si>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</si>
  <si>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</si>
  <si>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</si>
  <si>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</si>
  <si>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</si>
  <si>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</si>
  <si>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</si>
  <si>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</si>
  <si>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</si>
  <si>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</si>
  <si>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</si>
  <si>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</si>
  <si>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</si>
  <si>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</si>
  <si>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</si>
  <si>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</si>
  <si>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</si>
  <si>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</si>
  <si>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</si>
  <si>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</si>
  <si>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</si>
  <si>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</si>
  <si>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</si>
  <si>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</si>
  <si>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</si>
  <si>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</si>
  <si>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</si>
  <si>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</si>
  <si>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</si>
  <si>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</si>
  <si>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</si>
  <si>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</si>
  <si>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</si>
  <si>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</si>
  <si>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</si>
  <si>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</si>
  <si>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</si>
  <si>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</si>
  <si>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</si>
  <si>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</si>
  <si>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</si>
  <si>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</si>
  <si>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</si>
  <si>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</si>
  <si>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</si>
  <si>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</si>
  <si>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</si>
  <si>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</si>
  <si>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</si>
  <si>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</si>
  <si>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</si>
  <si>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</si>
  <si>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</si>
  <si>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</si>
  <si>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</si>
  <si>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</si>
  <si>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</si>
  <si>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</si>
  <si>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</si>
  <si>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</si>
  <si>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</si>
  <si>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</si>
  <si>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</si>
  <si>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</si>
  <si>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</si>
  <si>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</si>
  <si>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</si>
  <si>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</si>
  <si>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</si>
  <si>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</si>
  <si>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</si>
  <si>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</si>
  <si>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</si>
  <si>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</si>
  <si>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</si>
  <si>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</si>
  <si>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</si>
  <si>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</si>
  <si>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</si>
  <si>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</si>
  <si>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</si>
  <si>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</si>
  <si>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</si>
  <si>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</si>
  <si>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</si>
  <si>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</si>
  <si>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</si>
  <si>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</si>
  <si>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</si>
  <si>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</si>
  <si>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</si>
  <si>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</si>
  <si>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</si>
  <si>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</si>
  <si>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</si>
  <si>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</si>
  <si>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</si>
  <si>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</si>
  <si>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</si>
  <si>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</si>
  <si>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</si>
  <si>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</si>
  <si>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</si>
  <si>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</si>
  <si>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</si>
  <si>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</si>
  <si>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</si>
  <si>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</si>
  <si>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</si>
  <si>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</si>
  <si>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</si>
  <si>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</si>
  <si>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</si>
  <si>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</si>
  <si>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</si>
  <si>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</si>
  <si>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</si>
  <si>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</si>
  <si>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</si>
  <si>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</si>
  <si>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</si>
  <si>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</si>
  <si>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</si>
  <si>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</si>
  <si>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</si>
  <si>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</si>
  <si>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</si>
  <si>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</si>
  <si>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</si>
  <si>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</si>
  <si>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</si>
  <si>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</si>
  <si>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</si>
  <si>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</si>
  <si>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</si>
  <si>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</si>
  <si>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</si>
  <si>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</si>
  <si>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</si>
  <si>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</si>
  <si>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</si>
  <si>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</si>
  <si>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</si>
  <si>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</si>
  <si>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</si>
  <si>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</si>
  <si>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</si>
  <si>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</si>
  <si>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</si>
  <si>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</si>
  <si>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</si>
  <si>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</si>
  <si>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</si>
  <si>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</si>
  <si>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</si>
  <si>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</si>
  <si>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</si>
  <si>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</si>
  <si>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</si>
  <si>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</si>
  <si>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</si>
  <si>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</si>
  <si>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</si>
  <si>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</si>
  <si>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</si>
  <si>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</si>
  <si>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</si>
  <si>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O:\Accesorios.xlsm</t>
  </si>
  <si>
    <t>dir</t>
  </si>
  <si>
    <t>Ítems no existentes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</si>
</sst>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xf numFmtId="172" fontId="0" fillId="5" borderId="0" xfId="0" applyNumberFormat="1" applyFill="1" applyAlignment="1">
      <alignment horizont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emf"/><Relationship Id="rId6" Type="http://schemas.openxmlformats.org/officeDocument/2006/relationships/image" Target="../media/image14.png"/><Relationship Id="rId5" Type="http://schemas.microsoft.com/office/2007/relationships/hdphoto" Target="../media/hdphoto1.wdp"/><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4.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9.emf"/><Relationship Id="rId5" Type="http://schemas.openxmlformats.org/officeDocument/2006/relationships/image" Target="../media/image3.emf"/><Relationship Id="rId10" Type="http://schemas.openxmlformats.org/officeDocument/2006/relationships/image" Target="../media/image16.emf"/><Relationship Id="rId4" Type="http://schemas.openxmlformats.org/officeDocument/2006/relationships/image" Target="../media/image8.emf"/><Relationship Id="rId9"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v3.8.7</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892"/>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12</xdr:row>
      <xdr:rowOff>11781</xdr:rowOff>
    </xdr:from>
    <xdr:to>
      <xdr:col>0</xdr:col>
      <xdr:colOff>1906322</xdr:colOff>
      <xdr:row>13</xdr:row>
      <xdr:rowOff>93265</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2297781"/>
          <a:ext cx="262599" cy="271984"/>
        </a:xfrm>
        <a:prstGeom prst="rect">
          <a:avLst/>
        </a:prstGeom>
      </xdr:spPr>
    </xdr:pic>
    <xdr:clientData/>
  </xdr:twoCellAnchor>
  <xdr:twoCellAnchor editAs="oneCell">
    <xdr:from>
      <xdr:col>0</xdr:col>
      <xdr:colOff>308873</xdr:colOff>
      <xdr:row>12</xdr:row>
      <xdr:rowOff>9742</xdr:rowOff>
    </xdr:from>
    <xdr:to>
      <xdr:col>0</xdr:col>
      <xdr:colOff>692505</xdr:colOff>
      <xdr:row>13</xdr:row>
      <xdr:rowOff>107242</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295742"/>
          <a:ext cx="383632" cy="288000"/>
        </a:xfrm>
        <a:prstGeom prst="rect">
          <a:avLst/>
        </a:prstGeom>
      </xdr:spPr>
    </xdr:pic>
    <xdr:clientData/>
  </xdr:twoCellAnchor>
  <xdr:twoCellAnchor editAs="oneCell">
    <xdr:from>
      <xdr:col>0</xdr:col>
      <xdr:colOff>38961</xdr:colOff>
      <xdr:row>12</xdr:row>
      <xdr:rowOff>9742</xdr:rowOff>
    </xdr:from>
    <xdr:to>
      <xdr:col>0</xdr:col>
      <xdr:colOff>271849</xdr:colOff>
      <xdr:row>13</xdr:row>
      <xdr:rowOff>107242</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295742"/>
          <a:ext cx="232888" cy="288000"/>
        </a:xfrm>
        <a:prstGeom prst="rect">
          <a:avLst/>
        </a:prstGeom>
      </xdr:spPr>
    </xdr:pic>
    <xdr:clientData/>
  </xdr:twoCellAnchor>
  <xdr:twoCellAnchor editAs="oneCell">
    <xdr:from>
      <xdr:col>0</xdr:col>
      <xdr:colOff>729529</xdr:colOff>
      <xdr:row>12</xdr:row>
      <xdr:rowOff>9742</xdr:rowOff>
    </xdr:from>
    <xdr:to>
      <xdr:col>0</xdr:col>
      <xdr:colOff>945529</xdr:colOff>
      <xdr:row>13</xdr:row>
      <xdr:rowOff>107242</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295742"/>
          <a:ext cx="216000" cy="288000"/>
        </a:xfrm>
        <a:prstGeom prst="rect">
          <a:avLst/>
        </a:prstGeom>
      </xdr:spPr>
    </xdr:pic>
    <xdr:clientData/>
  </xdr:twoCellAnchor>
  <xdr:twoCellAnchor editAs="oneCell">
    <xdr:from>
      <xdr:col>0</xdr:col>
      <xdr:colOff>1148292</xdr:colOff>
      <xdr:row>12</xdr:row>
      <xdr:rowOff>45742</xdr:rowOff>
    </xdr:from>
    <xdr:to>
      <xdr:col>0</xdr:col>
      <xdr:colOff>1562076</xdr:colOff>
      <xdr:row>13</xdr:row>
      <xdr:rowOff>107242</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331742"/>
          <a:ext cx="413784" cy="252000"/>
        </a:xfrm>
        <a:prstGeom prst="rect">
          <a:avLst/>
        </a:prstGeom>
      </xdr:spPr>
    </xdr:pic>
    <xdr:clientData/>
  </xdr:twoCellAnchor>
  <xdr:twoCellAnchor editAs="oneCell">
    <xdr:from>
      <xdr:col>0</xdr:col>
      <xdr:colOff>905742</xdr:colOff>
      <xdr:row>12</xdr:row>
      <xdr:rowOff>9742</xdr:rowOff>
    </xdr:from>
    <xdr:to>
      <xdr:col>0</xdr:col>
      <xdr:colOff>1121742</xdr:colOff>
      <xdr:row>13</xdr:row>
      <xdr:rowOff>107242</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295742"/>
          <a:ext cx="216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955"/>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26" dataDxfId="125" totalsRowDxfId="124">
  <autoFilter ref="A15:T16"/>
  <sortState ref="A16:T17">
    <sortCondition ref="F15"/>
  </sortState>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totalsRowFunction="min" dataDxfId="109" totalsRowDxfId="31">
      <calculatedColumnFormula>IFERROR(INDEX(tbl_hojascb_estado_hoy[inicio_refrescado],tbl_HojasCB[[#This Row],[Coincidir]]),"")</calculatedColumnFormula>
    </tableColumn>
    <tableColumn id="16" name="REFRESCADO_FIN" totalsRowFunction="max"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4" totalsRowCount="1" headerRowDxfId="101">
  <autoFilter ref="B1:Q3"/>
  <sortState ref="B2:Q3">
    <sortCondition descending="1" ref="H1:H3"/>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B8" totalsRowShown="0">
  <autoFilter ref="A1:B8"/>
  <tableColumns count="2">
    <tableColumn id="1" name="Accesorios.xlsm"/>
    <tableColumn id="2" name="Maquinas ECHO - SHINDAIWA.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20.emf"/><Relationship Id="rId4" Type="http://schemas.openxmlformats.org/officeDocument/2006/relationships/control" Target="../activeX/activeX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4.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6.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8.xml"/><Relationship Id="rId5" Type="http://schemas.openxmlformats.org/officeDocument/2006/relationships/image" Target="../media/image2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H32" sqref="H32"/>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0">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6" t="s">
        <v>60</v>
      </c>
      <c r="H3" s="55"/>
      <c r="I3" s="58" t="str">
        <f>IF(COUNTIF(tbl_HojasCB[REFRESCADA],"1 - 1")=COUNTA(tbl_HojasCB[HOJAS]),"Completo","Incompleto")</f>
        <v>Completo</v>
      </c>
      <c r="J3" s="32"/>
      <c r="K3" s="32"/>
    </row>
    <row r="4" spans="1:20" ht="15" customHeight="1" x14ac:dyDescent="0.25">
      <c r="A4" s="32"/>
      <c r="C4" s="34"/>
      <c r="D4" s="34"/>
      <c r="E4" s="34"/>
      <c r="F4" s="34"/>
      <c r="G4" s="77" t="s">
        <v>61</v>
      </c>
      <c r="H4" s="54"/>
      <c r="I4" s="61">
        <v>43242</v>
      </c>
      <c r="J4" s="32"/>
      <c r="K4" s="32"/>
      <c r="O4" s="35"/>
    </row>
    <row r="5" spans="1:20" ht="15" customHeight="1" x14ac:dyDescent="0.35">
      <c r="A5" s="36"/>
      <c r="B5" s="37"/>
      <c r="E5" s="37"/>
      <c r="F5" s="37"/>
      <c r="G5" s="77" t="s">
        <v>298</v>
      </c>
      <c r="H5" s="54"/>
      <c r="I5" s="62">
        <f>DURACIONREFRESCADO</f>
        <v>3.6574074038071558E-3</v>
      </c>
    </row>
    <row r="6" spans="1:20" ht="15" customHeight="1" x14ac:dyDescent="0.3">
      <c r="A6" s="38"/>
      <c r="B6" s="32"/>
      <c r="C6" s="32"/>
      <c r="D6" s="32"/>
      <c r="E6" s="32"/>
      <c r="F6" s="32"/>
      <c r="G6" s="72" t="s">
        <v>62</v>
      </c>
      <c r="H6" s="56"/>
      <c r="I6" s="63">
        <v>43242</v>
      </c>
    </row>
    <row r="7" spans="1:20" ht="15" customHeight="1" x14ac:dyDescent="0.25">
      <c r="A7" s="32"/>
      <c r="B7" s="32"/>
      <c r="C7" s="32"/>
      <c r="D7" s="32"/>
      <c r="E7" s="32"/>
      <c r="F7" s="32"/>
      <c r="G7" s="73" t="s">
        <v>63</v>
      </c>
      <c r="H7" s="54"/>
      <c r="I7" s="64">
        <v>43242</v>
      </c>
    </row>
    <row r="8" spans="1:20" ht="15" customHeight="1" x14ac:dyDescent="0.25">
      <c r="A8" s="67" t="s">
        <v>88</v>
      </c>
      <c r="B8" s="68"/>
      <c r="C8" s="37"/>
      <c r="D8" s="39" t="str">
        <f ca="1">HYPERLINK("["&amp;LEFT(CELL("filename",A1),FIND("[",CELL("filename",A1))-2)&amp;"\CONTROL DE BUFFERS\ARCHIVO\ARCHIVO.xlsm]","Archivo")</f>
        <v>Archivo</v>
      </c>
      <c r="E8" s="40" t="str">
        <f ca="1">HYPERLINK(LEFT(CELL("filename",A1),FIND("[",CELL("filename",A1))-2)&amp;"\CONTROL DE BUFFERS\ARCHIVO\","dir")</f>
        <v>dir</v>
      </c>
      <c r="F8" s="32"/>
      <c r="G8" s="73" t="s">
        <v>64</v>
      </c>
      <c r="H8" s="54"/>
      <c r="I8" s="64">
        <v>43242</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2" t="s">
        <v>73</v>
      </c>
      <c r="H9" s="57"/>
      <c r="I9" s="63"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2" t="s">
        <v>74</v>
      </c>
      <c r="H10" s="56"/>
      <c r="I10" s="63">
        <v>43241</v>
      </c>
    </row>
    <row r="11" spans="1:20" ht="15" customHeight="1" x14ac:dyDescent="0.25">
      <c r="A11" s="43"/>
      <c r="B11" s="32" t="s">
        <v>301</v>
      </c>
      <c r="C11" s="32"/>
      <c r="D11" s="39" t="str">
        <f ca="1">HYPERLINK("["&amp;LEFT(CELL("filename",A1),FIND("[",CELL("filename",A1))-2)&amp;"\CONTROL DE BUFFERS\PLANTILLAS\Plantilla Copiado Pegado.xlsx]","Copiado y Pegado")</f>
        <v>Copiado y Pegado</v>
      </c>
      <c r="E11" s="40"/>
      <c r="F11" s="32"/>
      <c r="G11" s="74" t="s">
        <v>68</v>
      </c>
      <c r="H11" s="56"/>
      <c r="I11" s="65">
        <v>9.7222222222222224E-2</v>
      </c>
    </row>
    <row r="12" spans="1:20" ht="15" customHeight="1" x14ac:dyDescent="0.3">
      <c r="A12" s="71" t="s">
        <v>160</v>
      </c>
      <c r="B12" s="59"/>
      <c r="C12" s="59"/>
      <c r="D12" s="59"/>
      <c r="E12" s="59"/>
      <c r="F12" s="59"/>
      <c r="G12" s="75" t="s">
        <v>144</v>
      </c>
      <c r="H12" s="54"/>
      <c r="I12" s="66">
        <v>8.3333333333333329E-2</v>
      </c>
    </row>
    <row r="13" spans="1:20" ht="15" customHeight="1" x14ac:dyDescent="0.25">
      <c r="G13" s="75" t="s">
        <v>78</v>
      </c>
      <c r="H13" s="54"/>
      <c r="I13" s="66">
        <v>0.97916666666666663</v>
      </c>
    </row>
    <row r="14" spans="1:20" ht="11.25" customHeight="1" x14ac:dyDescent="0.25">
      <c r="G14" s="32"/>
      <c r="H14" s="32"/>
      <c r="I14" s="69"/>
    </row>
    <row r="15" spans="1:20" ht="26.25" customHeight="1" x14ac:dyDescent="0.25">
      <c r="A15" s="44" t="s">
        <v>262</v>
      </c>
      <c r="B15" s="44" t="s">
        <v>297</v>
      </c>
      <c r="C15" s="44" t="s">
        <v>98</v>
      </c>
      <c r="D15" s="44" t="s">
        <v>265</v>
      </c>
      <c r="E15" s="44" t="s">
        <v>267</v>
      </c>
      <c r="F15" s="44" t="s">
        <v>269</v>
      </c>
      <c r="G15" s="44" t="s">
        <v>270</v>
      </c>
      <c r="H15" s="45" t="s">
        <v>266</v>
      </c>
      <c r="I15" s="45" t="s">
        <v>295</v>
      </c>
      <c r="J15" s="44" t="s">
        <v>263</v>
      </c>
      <c r="K15" s="44" t="s">
        <v>264</v>
      </c>
      <c r="L15" s="44" t="s">
        <v>268</v>
      </c>
      <c r="M15" s="44" t="s">
        <v>101</v>
      </c>
      <c r="N15" s="44" t="s">
        <v>274</v>
      </c>
      <c r="O15" s="44" t="s">
        <v>272</v>
      </c>
      <c r="P15" s="44" t="s">
        <v>273</v>
      </c>
      <c r="Q15" s="44" t="s">
        <v>91</v>
      </c>
      <c r="R15" s="44" t="s">
        <v>271</v>
      </c>
      <c r="S15" s="44" t="s">
        <v>111</v>
      </c>
      <c r="T15" s="44" t="s">
        <v>296</v>
      </c>
    </row>
    <row r="16" spans="1:20" ht="15" customHeight="1" x14ac:dyDescent="0.25">
      <c r="A16" s="35" t="s">
        <v>253</v>
      </c>
      <c r="B16" s="60">
        <f ca="1">IFERROR(COUNTA(INDIRECT("Alertas["&amp;tbl_HojasCB[[#This Row],[HOJAS]]&amp;"]")),0)</f>
        <v>7</v>
      </c>
      <c r="C16" s="46">
        <f>IFERROR(INDEX(tbl_hojascb_estado_hoy[costo_buffer],tbl_HojasCB[[#This Row],[Coincidir]]),"")</f>
        <v>108648.03</v>
      </c>
      <c r="D16" s="46">
        <f>IFERROR(INDEX(tbl_hojascb_estado_hoy[costo_fisico],tbl_HojasCB[[#This Row],[Coincidir]]),"")</f>
        <v>40847.71</v>
      </c>
      <c r="E16" s="46">
        <f>IFERROR(INDEX(tbl_hojascb_estado_hoy[costo_transito],tbl_HojasCB[[#This Row],[Coincidir]]),"")</f>
        <v>66202.210000000006</v>
      </c>
      <c r="F16" s="46">
        <f>IFERROR(INDEX(tbl_hojascb_estado_hoy[costo_comprometido],tbl_HojasCB[[#This Row],[Coincidir]]),"")</f>
        <v>0</v>
      </c>
      <c r="G16" s="46">
        <f>IFERROR(INDEX(tbl_hojascb_estado_hoy[costo_backorder],tbl_HojasCB[[#This Row],[Coincidir]]),"")</f>
        <v>32485.01</v>
      </c>
      <c r="H16" s="46">
        <f>IFERROR(INDEX(tbl_hojascb_estado_hoy[costo_proyectado],tbl_HojasCB[[#This Row],[Coincidir]]),"")</f>
        <v>139534.93</v>
      </c>
      <c r="I16" s="46">
        <f>IFERROR(INDEX(tbl_hojascb_estado_hoy[costo_total],tbl_HojasCB[[#This Row],[Coincidir]]),"")</f>
        <v>107049.92</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193</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43242.870775462965</v>
      </c>
      <c r="P16" s="49">
        <f>IFERROR(INDEX(tbl_hojascb_estado_hoy[fin_refrescado],tbl_HojasCB[[#This Row],[Coincidir]]),"")</f>
        <v>43242.872048611112</v>
      </c>
      <c r="Q16" s="78">
        <f>IFERROR(tbl_HojasCB[[#This Row],[REFRESCADO_FIN]]-tbl_HojasCB[[#This Row],[REFRESCADO_INI]],"")</f>
        <v>1.2731481474475004E-3</v>
      </c>
      <c r="R16" s="49">
        <f>IFERROR(INDEX(tbl_hojascb_estado_hoy[guardado],tbl_HojasCB[[#This Row],[Coincidir]]),"")</f>
        <v>43242.872164351851</v>
      </c>
      <c r="S16" s="50"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250</v>
      </c>
      <c r="B17" s="60">
        <f ca="1">IFERROR(COUNTA(INDIRECT("Alertas["&amp;tbl_HojasCB[[#This Row],[HOJAS]]&amp;"]")),0)</f>
        <v>6</v>
      </c>
      <c r="C17" s="46">
        <f>IFERROR(INDEX(tbl_hojascb_estado_hoy[costo_buffer],tbl_HojasCB[[#This Row],[Coincidir]]),"")</f>
        <v>887483.71</v>
      </c>
      <c r="D17" s="46">
        <f>IFERROR(INDEX(tbl_hojascb_estado_hoy[costo_fisico],tbl_HojasCB[[#This Row],[Coincidir]]),"")</f>
        <v>258865.93</v>
      </c>
      <c r="E17" s="46">
        <f>IFERROR(INDEX(tbl_hojascb_estado_hoy[costo_transito],tbl_HojasCB[[#This Row],[Coincidir]]),"")</f>
        <v>209520.14</v>
      </c>
      <c r="F17" s="46">
        <f>IFERROR(INDEX(tbl_hojascb_estado_hoy[costo_comprometido],tbl_HojasCB[[#This Row],[Coincidir]]),"")</f>
        <v>0</v>
      </c>
      <c r="G17" s="46">
        <f>IFERROR(INDEX(tbl_hojascb_estado_hoy[costo_backorder],tbl_HojasCB[[#This Row],[Coincidir]]),"")</f>
        <v>1426.24</v>
      </c>
      <c r="H17" s="46">
        <f>IFERROR(INDEX(tbl_hojascb_estado_hoy[costo_proyectado],tbl_HojasCB[[#This Row],[Coincidir]]),"")</f>
        <v>469812.31</v>
      </c>
      <c r="I17" s="46">
        <f>IFERROR(INDEX(tbl_hojascb_estado_hoy[costo_total],tbl_HojasCB[[#This Row],[Coincidir]]),"")</f>
        <v>468386.07</v>
      </c>
      <c r="J17" s="47">
        <f>IFERROR(INDEX(tbl_hojascb_estado_hoy[sku_totales],tbl_HojasCB[[#This Row],[Coincidir]]),"")</f>
        <v>57</v>
      </c>
      <c r="K17" s="47">
        <f>IFERROR(INDEX(tbl_hojascb_estado_hoy[sku_buffer],tbl_HojasCB[[#This Row],[Coincidir]]),"")</f>
        <v>45</v>
      </c>
      <c r="L17" s="47">
        <f>IFERROR(INDEX(tbl_hojascb_estado_hoy[dias_periodo],tbl_HojasCB[[#This Row],[Coincidir]]),"")</f>
        <v>217</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43242.872453703705</v>
      </c>
      <c r="P17" s="49">
        <f>IFERROR(INDEX(tbl_hojascb_estado_hoy[fin_refrescado],tbl_HojasCB[[#This Row],[Coincidir]]),"")</f>
        <v>43242.874027777776</v>
      </c>
      <c r="Q17" s="78">
        <f>IFERROR(tbl_HojasCB[[#This Row],[REFRESCADO_FIN]]-tbl_HojasCB[[#This Row],[REFRESCADO_INI]],"")</f>
        <v>1.5740740709588863E-3</v>
      </c>
      <c r="R17" s="49">
        <f>IFERROR(INDEX(tbl_hojascb_estado_hoy[guardado],tbl_HojasCB[[#This Row],[Coincidir]]),"")</f>
        <v>43242.874120370368</v>
      </c>
      <c r="S17" s="50" t="str">
        <f>IF(IFERROR(INDEX(tbl_hojascb_estado_hoy[razon],tbl_HojasCB[[#This Row],[Coincidir]]),"")=0,"",IFERROR(INDEX(tbl_hojascb_estado_hoy[razon],tbl_HojasCB[[#This Row],[Coincidir]]),""))</f>
        <v/>
      </c>
      <c r="T17" s="48">
        <f>MATCH(EMP&amp;tbl_HojasCB[[#This Row],[HOJAS]],tbl_hojascb_estado_hoy[empresa_hoja],0)</f>
        <v>4</v>
      </c>
    </row>
    <row r="18" spans="1:20" ht="15" customHeight="1" x14ac:dyDescent="0.25">
      <c r="A18" s="51" t="str">
        <f>"Total Hojas:  "&amp;SUBTOTAL(103,tbl_HojasCB[HOJAS])</f>
        <v>Total Hojas:  2</v>
      </c>
      <c r="B18" s="51">
        <f ca="1">SUBTOTAL(109,tbl_HojasCB[ALERTAS])</f>
        <v>13</v>
      </c>
      <c r="C18" s="46">
        <f>SUBTOTAL(109,tbl_HojasCB[COSTO BUFFER])</f>
        <v>996131.74</v>
      </c>
      <c r="D18" s="46">
        <f>SUBTOTAL(109,tbl_HojasCB[COSTO FÍSICO])</f>
        <v>299713.64</v>
      </c>
      <c r="E18" s="46">
        <f>SUBTOTAL(109,tbl_HojasCB[COSTO TRÁNSITO])</f>
        <v>275722.35000000003</v>
      </c>
      <c r="F18" s="46">
        <f>SUBTOTAL(109,tbl_HojasCB[COSTO COMPROM])</f>
        <v>0</v>
      </c>
      <c r="G18" s="46">
        <f>SUBTOTAL(109,tbl_HojasCB[COSTO BACKORDER])</f>
        <v>33911.25</v>
      </c>
      <c r="H18" s="46">
        <f>SUBTOTAL(109,tbl_HojasCB[COSTO PROYECTADO])</f>
        <v>609347.24</v>
      </c>
      <c r="I18" s="46">
        <f>SUBTOTAL(109,tbl_HojasCB[COSTO TOTAL])</f>
        <v>575435.99</v>
      </c>
      <c r="J18" s="52">
        <f>SUBTOTAL(109,tbl_HojasCB[ÍTEMS TOTALES])</f>
        <v>137</v>
      </c>
      <c r="K18" s="52">
        <f>SUBTOTAL(109,tbl_HojasCB[ÍTEMS CON BUFFER])</f>
        <v>108</v>
      </c>
      <c r="L18" s="52">
        <f>SUBTOTAL(109,tbl_HojasCB[DÍAS PERÍODO])</f>
        <v>410</v>
      </c>
      <c r="M18" s="52">
        <f>SUBTOTAL(109,tbl_HojasCB[DUPLICADOS])</f>
        <v>0</v>
      </c>
      <c r="N18" s="51"/>
      <c r="O18" s="49">
        <f>SUBTOTAL(105,tbl_HojasCB[REFRESCADO_INI])</f>
        <v>43242.870775462965</v>
      </c>
      <c r="P18" s="49">
        <f>SUBTOTAL(104,tbl_HojasCB[REFRESCADO_FIN])</f>
        <v>43242.874027777776</v>
      </c>
      <c r="Q18" s="78">
        <f>SUBTOTAL(109,tbl_HojasCB[DURACIÓN])</f>
        <v>2.8472222184063867E-3</v>
      </c>
      <c r="R18" s="51"/>
      <c r="T18" s="51"/>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53" t="s">
        <v>194</v>
      </c>
      <c r="GC128" s="33" t="s">
        <v>145</v>
      </c>
    </row>
  </sheetData>
  <sheetProtection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7">
    <cfRule type="expression" dxfId="19" priority="1" stopIfTrue="1">
      <formula>OR(TRUNC($P16)&lt;TODAY(),$N16&lt;&gt;"1 - 1")</formula>
    </cfRule>
    <cfRule type="expression" dxfId="18" priority="3116" stopIfTrue="1">
      <formula>$M16&gt;0</formula>
    </cfRule>
  </conditionalFormatting>
  <conditionalFormatting sqref="B16:B17">
    <cfRule type="colorScale" priority="3117">
      <colorScale>
        <cfvo type="num" val="0"/>
        <cfvo type="percentile" val="50"/>
        <cfvo type="num" val="6"/>
        <color rgb="FF63BE7B"/>
        <color rgb="FFFFEB84"/>
        <color rgb="FFF8696B"/>
      </colorScale>
    </cfRule>
  </conditionalFormatting>
  <conditionalFormatting sqref="C16:C17">
    <cfRule type="dataBar" priority="4254">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4255">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4256">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4257">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4258">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4259">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4260">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4261">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4262">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190500</xdr:colOff>
                <xdr:row>9</xdr:row>
                <xdr:rowOff>9525</xdr:rowOff>
              </from>
              <to>
                <xdr:col>4</xdr:col>
                <xdr:colOff>533400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1061" r:id="rId18" name="cmd_Refrescar_Alertas">
          <controlPr defaultSize="0" autoLine="0" r:id="rId19">
            <anchor>
              <from>
                <xdr:col>4</xdr:col>
                <xdr:colOff>523875</xdr:colOff>
                <xdr:row>9</xdr:row>
                <xdr:rowOff>9525</xdr:rowOff>
              </from>
              <to>
                <xdr:col>4</xdr:col>
                <xdr:colOff>819150</xdr:colOff>
                <xdr:row>9</xdr:row>
                <xdr:rowOff>180975</xdr:rowOff>
              </to>
            </anchor>
          </controlPr>
        </control>
      </mc:Choice>
      <mc:Fallback>
        <control shapeId="1061" r:id="rId18" name="cmd_Refrescar_Alertas"/>
      </mc:Fallback>
    </mc:AlternateContent>
    <mc:AlternateContent xmlns:mc="http://schemas.openxmlformats.org/markup-compatibility/2006">
      <mc:Choice Requires="x14">
        <control shapeId="97019" r:id="rId20" name="cmdTransferenciasActivas">
          <controlPr defaultSize="0" autoLine="0" r:id="rId21">
            <anchor>
              <from>
                <xdr:col>2</xdr:col>
                <xdr:colOff>276225</xdr:colOff>
                <xdr:row>5</xdr:row>
                <xdr:rowOff>123825</xdr:rowOff>
              </from>
              <to>
                <xdr:col>2</xdr:col>
                <xdr:colOff>628650</xdr:colOff>
                <xdr:row>7</xdr:row>
                <xdr:rowOff>28575</xdr:rowOff>
              </to>
            </anchor>
          </controlPr>
        </control>
      </mc:Choice>
      <mc:Fallback>
        <control shapeId="97019" r:id="rId20" name="cmdTransferenciasActivas"/>
      </mc:Fallback>
    </mc:AlternateContent>
    <mc:AlternateContent xmlns:mc="http://schemas.openxmlformats.org/markup-compatibility/2006">
      <mc:Choice Requires="x14">
        <control shapeId="170289" r:id="rId22"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3"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4" name="cmd_Importa_Datos_ERP">
          <controlPr defaultSize="0" print="0" autoFill="0" autoPict="0" macro="[0]!Trae_Datos_del_ERP">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5"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controls>
  <tableParts count="1">
    <tablePart r:id="rId26"/>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275</v>
      </c>
      <c r="B1" t="s">
        <v>276</v>
      </c>
      <c r="C1" t="s">
        <v>277</v>
      </c>
      <c r="D1" t="s">
        <v>278</v>
      </c>
      <c r="E1" t="s">
        <v>279</v>
      </c>
      <c r="F1" t="s">
        <v>280</v>
      </c>
      <c r="G1" t="s">
        <v>281</v>
      </c>
      <c r="H1" t="s">
        <v>282</v>
      </c>
      <c r="I1" t="s">
        <v>283</v>
      </c>
      <c r="J1" t="s">
        <v>284</v>
      </c>
      <c r="K1" t="s">
        <v>285</v>
      </c>
      <c r="L1" t="s">
        <v>286</v>
      </c>
      <c r="M1" t="s">
        <v>287</v>
      </c>
      <c r="N1" t="s">
        <v>288</v>
      </c>
      <c r="O1" t="s">
        <v>289</v>
      </c>
      <c r="P1" t="s">
        <v>290</v>
      </c>
      <c r="Q1" t="s">
        <v>291</v>
      </c>
      <c r="R1" t="s">
        <v>292</v>
      </c>
      <c r="S1" t="s">
        <v>293</v>
      </c>
      <c r="T1" t="s">
        <v>294</v>
      </c>
    </row>
    <row r="2" spans="1:20" x14ac:dyDescent="0.25">
      <c r="A2" t="s">
        <v>0</v>
      </c>
      <c r="B2" t="s">
        <v>253</v>
      </c>
      <c r="C2">
        <v>1</v>
      </c>
      <c r="D2">
        <v>1</v>
      </c>
      <c r="E2" s="24">
        <v>43242.870775462965</v>
      </c>
      <c r="F2" s="24">
        <v>43242.872048611112</v>
      </c>
      <c r="G2" s="24">
        <v>43242.872164351851</v>
      </c>
      <c r="I2">
        <v>193</v>
      </c>
      <c r="J2">
        <v>0</v>
      </c>
      <c r="K2">
        <v>80</v>
      </c>
      <c r="L2">
        <v>63</v>
      </c>
      <c r="M2">
        <v>108648.03</v>
      </c>
      <c r="N2">
        <v>40847.71</v>
      </c>
      <c r="O2">
        <v>66202.210000000006</v>
      </c>
      <c r="P2">
        <v>0</v>
      </c>
      <c r="Q2">
        <v>32485.01</v>
      </c>
      <c r="R2">
        <v>139534.93</v>
      </c>
      <c r="S2">
        <v>107049.92</v>
      </c>
      <c r="T2" s="2" t="str">
        <f>tbl_hojascb_estado_hoy[[#This Row],[empresa]]&amp;tbl_hojascb_estado_hoy[[#This Row],[hoja_cb]]</f>
        <v>AGROTAAccesorios.xlsm</v>
      </c>
    </row>
    <row r="3" spans="1:20" x14ac:dyDescent="0.25">
      <c r="A3" t="s">
        <v>0</v>
      </c>
      <c r="B3" t="s">
        <v>260</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43242.782511574071</v>
      </c>
      <c r="F4" s="24">
        <v>43242.787268518521</v>
      </c>
      <c r="G4" s="24">
        <v>43242.791307870371</v>
      </c>
      <c r="I4">
        <v>217</v>
      </c>
      <c r="J4">
        <v>0</v>
      </c>
      <c r="K4">
        <v>57</v>
      </c>
      <c r="L4">
        <v>45</v>
      </c>
      <c r="M4">
        <v>887483.71</v>
      </c>
      <c r="N4">
        <v>265942.90000000002</v>
      </c>
      <c r="O4">
        <v>209520.14</v>
      </c>
      <c r="P4">
        <v>0</v>
      </c>
      <c r="Q4">
        <v>1426.24</v>
      </c>
      <c r="R4">
        <v>476889.28</v>
      </c>
      <c r="S4">
        <v>475463.04</v>
      </c>
      <c r="T4" s="2" t="str">
        <f>tbl_hojascb_estado_hoy[[#This Row],[empresa]]&amp;tbl_hojascb_estado_hoy[[#This Row],[hoja_cb]]</f>
        <v>AGROTAControl Buffers.xlsm</v>
      </c>
    </row>
    <row r="5" spans="1:20" x14ac:dyDescent="0.25">
      <c r="A5" t="s">
        <v>0</v>
      </c>
      <c r="B5" t="s">
        <v>250</v>
      </c>
      <c r="C5">
        <v>1</v>
      </c>
      <c r="D5">
        <v>1</v>
      </c>
      <c r="E5" s="24">
        <v>43242.872453703705</v>
      </c>
      <c r="F5" s="24">
        <v>43242.874027777776</v>
      </c>
      <c r="G5" s="24">
        <v>43242.874120370368</v>
      </c>
      <c r="I5">
        <v>217</v>
      </c>
      <c r="J5">
        <v>0</v>
      </c>
      <c r="K5">
        <v>57</v>
      </c>
      <c r="L5">
        <v>45</v>
      </c>
      <c r="M5">
        <v>887483.71</v>
      </c>
      <c r="N5">
        <v>258865.93</v>
      </c>
      <c r="O5">
        <v>209520.14</v>
      </c>
      <c r="P5">
        <v>0</v>
      </c>
      <c r="Q5">
        <v>1426.24</v>
      </c>
      <c r="R5">
        <v>469812.31</v>
      </c>
      <c r="S5">
        <v>468386.07</v>
      </c>
      <c r="T5" s="2" t="str">
        <f>tbl_hojascb_estado_hoy[[#This Row],[empresa]]&amp;tbl_hojascb_estado_hoy[[#This Row],[hoja_cb]]</f>
        <v>AGROTAMaquinas ECHO - SHINDAIWA.xlsm</v>
      </c>
    </row>
    <row r="6" spans="1:20" x14ac:dyDescent="0.25">
      <c r="A6" t="s">
        <v>0</v>
      </c>
      <c r="B6" t="s">
        <v>299</v>
      </c>
      <c r="C6">
        <v>1</v>
      </c>
      <c r="D6">
        <v>1</v>
      </c>
      <c r="E6" s="24">
        <v>43237.484907407408</v>
      </c>
      <c r="F6" s="24">
        <v>43237.486157407409</v>
      </c>
      <c r="G6" s="24">
        <v>43237.874016203707</v>
      </c>
      <c r="I6">
        <v>220</v>
      </c>
      <c r="J6">
        <v>0</v>
      </c>
      <c r="K6">
        <v>1282</v>
      </c>
      <c r="L6">
        <v>1171</v>
      </c>
      <c r="M6">
        <v>97900.01</v>
      </c>
      <c r="N6">
        <v>120353.16</v>
      </c>
      <c r="O6">
        <v>8221.1</v>
      </c>
      <c r="P6">
        <v>0</v>
      </c>
      <c r="Q6">
        <v>2012.8</v>
      </c>
      <c r="R6">
        <v>130587.06</v>
      </c>
      <c r="S6">
        <v>128574.26</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43239.102777777778</v>
      </c>
      <c r="H2" s="26">
        <v>43239.103796296295</v>
      </c>
      <c r="I2" s="25">
        <f>tbl_Fechas_Refrescado[[#This Row],[FIN]]-tbl_Fechas_Refrescado[[#This Row],[INICIO]]</f>
        <v>1.0185185165028088E-3</v>
      </c>
      <c r="J2" s="25"/>
      <c r="K2" s="22">
        <v>217</v>
      </c>
      <c r="L2" s="22">
        <v>0</v>
      </c>
      <c r="M2" s="22">
        <v>57</v>
      </c>
      <c r="N2" s="22">
        <v>45</v>
      </c>
      <c r="O2" s="23">
        <v>0</v>
      </c>
      <c r="P2" s="23">
        <v>0</v>
      </c>
      <c r="Q2" s="23">
        <v>0</v>
      </c>
      <c r="V2" s="24"/>
    </row>
    <row r="3" spans="2:22" x14ac:dyDescent="0.25">
      <c r="B3" t="s">
        <v>0</v>
      </c>
      <c r="C3" t="s">
        <v>253</v>
      </c>
      <c r="D3" s="6">
        <v>1</v>
      </c>
      <c r="E3" s="6" t="s">
        <v>104</v>
      </c>
      <c r="F3" s="6">
        <v>1</v>
      </c>
      <c r="G3" s="26">
        <v>43239.101087962961</v>
      </c>
      <c r="H3" s="26">
        <v>43239.102083333331</v>
      </c>
      <c r="I3" s="25">
        <f>tbl_Fechas_Refrescado[[#This Row],[FIN]]-tbl_Fechas_Refrescado[[#This Row],[INICIO]]</f>
        <v>9.9537037021946162E-4</v>
      </c>
      <c r="J3" s="25"/>
      <c r="K3" s="22">
        <v>193</v>
      </c>
      <c r="L3" s="22">
        <v>0</v>
      </c>
      <c r="M3" s="22">
        <v>80</v>
      </c>
      <c r="N3" s="22">
        <v>63</v>
      </c>
      <c r="O3" s="23">
        <v>0</v>
      </c>
      <c r="P3" s="23">
        <v>0</v>
      </c>
      <c r="Q3" s="23">
        <v>0</v>
      </c>
    </row>
    <row r="4" spans="2:22" x14ac:dyDescent="0.25">
      <c r="B4" t="s">
        <v>105</v>
      </c>
      <c r="C4" s="6">
        <f>SUBTOTAL(103,tbl_Fechas_Refrescado[HOJA CB])</f>
        <v>2</v>
      </c>
      <c r="D4" s="6"/>
      <c r="E4" s="6"/>
      <c r="F4" s="6"/>
      <c r="G4" s="26">
        <f>SUBTOTAL(105,tbl_Fechas_Refrescado[INICIO])</f>
        <v>43239.101087962961</v>
      </c>
      <c r="H4" s="26">
        <f>SUBTOTAL(104,tbl_Fechas_Refrescado[FIN])</f>
        <v>43239.103796296295</v>
      </c>
      <c r="I4" s="25">
        <f>SUBTOTAL(109,tbl_Fechas_Refrescado[DURACIÓN])</f>
        <v>2.0138888867222704E-3</v>
      </c>
      <c r="J4" s="25"/>
      <c r="K4" s="6">
        <f>SUBTOTAL(104,tbl_Fechas_Refrescado[DIAS PERIODO])</f>
        <v>217</v>
      </c>
      <c r="L4" s="6">
        <f>SUBTOTAL(109,tbl_Fechas_Refrescado[DUPLICADOS])</f>
        <v>0</v>
      </c>
      <c r="M4" s="6">
        <f>SUBTOTAL(109,tbl_Fechas_Refrescado[SKUs Totales])</f>
        <v>137</v>
      </c>
      <c r="N4" s="6">
        <f>SUBTOTAL(109,tbl_Fechas_Refrescado[SKUs Buffer])</f>
        <v>108</v>
      </c>
      <c r="O4" s="23">
        <f>SUBTOTAL(109,tbl_Fechas_Refrescado[COSTO BUFFER])</f>
        <v>0</v>
      </c>
      <c r="P4" s="23">
        <f>SUBTOTAL(109,tbl_Fechas_Refrescado[COSTO FISICO])</f>
        <v>0</v>
      </c>
      <c r="Q4" s="23">
        <f>SUBTOTAL(109,tbl_Fechas_Refrescado[COSTO TRANSITO])</f>
        <v>0</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4251">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-1390</v>
      </c>
    </row>
    <row r="4" spans="1:3" x14ac:dyDescent="0.25">
      <c r="A4" s="1" t="s">
        <v>75</v>
      </c>
      <c r="B4" s="16">
        <v>41866</v>
      </c>
      <c r="C4" s="7">
        <f ca="1">Tabla_DIAS_RESTANTES[[#This Row],[FIN PERÍODO]]-TODAY()</f>
        <v>-1376</v>
      </c>
    </row>
    <row r="5" spans="1:3" x14ac:dyDescent="0.25">
      <c r="A5" s="1" t="s">
        <v>77</v>
      </c>
      <c r="B5" s="16">
        <v>41866</v>
      </c>
      <c r="C5" s="7">
        <f ca="1">Tabla_DIAS_RESTANTES[[#This Row],[FIN PERÍODO]]-TODAY()</f>
        <v>-1376</v>
      </c>
    </row>
    <row r="6" spans="1:3" x14ac:dyDescent="0.25">
      <c r="A6" s="1" t="s">
        <v>72</v>
      </c>
      <c r="B6" s="16">
        <v>41873</v>
      </c>
      <c r="C6" s="7">
        <f ca="1">Tabla_DIAS_RESTANTES[[#This Row],[FIN PERÍODO]]-TODAY()</f>
        <v>-1369</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
  <sheetViews>
    <sheetView topLeftCell="B1" workbookViewId="0">
      <selection activeCell="P2" sqref="P2:P3"/>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1" sqref="B1"/>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43239.100451388891</v>
      </c>
    </row>
    <row r="2" spans="1:2" x14ac:dyDescent="0.25">
      <c r="A2" t="s">
        <v>66</v>
      </c>
      <c r="B2" s="17">
        <v>43239.104108796295</v>
      </c>
    </row>
    <row r="4" spans="1:2" x14ac:dyDescent="0.25">
      <c r="A4" t="s">
        <v>67</v>
      </c>
      <c r="B4" s="18">
        <f>IF((FINREFRESCADO-INICIOREFRESCADO)&gt;0,FINREFRESCADO-INICIOREFRESCADO,"")</f>
        <v>3.6574074038071558E-3</v>
      </c>
    </row>
    <row r="6" spans="1:2" x14ac:dyDescent="0.25">
      <c r="A6" t="s">
        <v>123</v>
      </c>
      <c r="B6" t="s">
        <v>261</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8"/>
  <sheetViews>
    <sheetView showGridLines="0" workbookViewId="0">
      <selection activeCell="C1" sqref="C1"/>
    </sheetView>
  </sheetViews>
  <sheetFormatPr baseColWidth="10" defaultColWidth="11.42578125" defaultRowHeight="15" x14ac:dyDescent="0.25"/>
  <cols>
    <col min="1" max="1" width="25.28515625" bestFit="1" customWidth="1"/>
    <col min="2" max="2" width="34.85546875" bestFit="1" customWidth="1"/>
  </cols>
  <sheetData>
    <row r="1" spans="1:2" ht="38.25" customHeight="1" x14ac:dyDescent="0.25">
      <c r="A1" t="s">
        <v>253</v>
      </c>
      <c r="B1" t="s">
        <v>250</v>
      </c>
    </row>
    <row r="2" spans="1:2" x14ac:dyDescent="0.25">
      <c r="A2" t="s">
        <v>302</v>
      </c>
      <c r="B2" t="s">
        <v>302</v>
      </c>
    </row>
    <row r="3" spans="1:2" x14ac:dyDescent="0.25">
      <c r="A3" t="s">
        <v>254</v>
      </c>
      <c r="B3" t="s">
        <v>254</v>
      </c>
    </row>
    <row r="4" spans="1:2" x14ac:dyDescent="0.25">
      <c r="A4" t="s">
        <v>255</v>
      </c>
      <c r="B4" t="s">
        <v>255</v>
      </c>
    </row>
    <row r="5" spans="1:2" x14ac:dyDescent="0.25">
      <c r="A5" t="s">
        <v>256</v>
      </c>
      <c r="B5" t="s">
        <v>256</v>
      </c>
    </row>
    <row r="6" spans="1:2" x14ac:dyDescent="0.25">
      <c r="A6" t="s">
        <v>257</v>
      </c>
      <c r="B6" t="s">
        <v>257</v>
      </c>
    </row>
    <row r="7" spans="1:2" x14ac:dyDescent="0.25">
      <c r="A7" t="s">
        <v>258</v>
      </c>
      <c r="B7" t="s">
        <v>259</v>
      </c>
    </row>
    <row r="8" spans="1:2" x14ac:dyDescent="0.25">
      <c r="A8" t="s">
        <v>259</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300</v>
      </c>
    </row>
    <row r="3" spans="1:3" x14ac:dyDescent="0.25">
      <c r="A3" t="s">
        <v>0</v>
      </c>
      <c r="B3" t="s">
        <v>250</v>
      </c>
      <c r="C3"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596942-FEA6-4EEB-8E34-3E595299C28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2018-05-23T02:14:44Z</dcterms:modified>
</cp:coreProperties>
</file>